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defaultThemeVersion="166925"/>
  <mc:AlternateContent xmlns:mc="http://schemas.openxmlformats.org/markup-compatibility/2006">
    <mc:Choice Requires="x15">
      <x15ac:absPath xmlns:x15ac="http://schemas.microsoft.com/office/spreadsheetml/2010/11/ac" url="\\noldc1\users$\ppeterson\insolv report\insolv report\indus report\"/>
    </mc:Choice>
  </mc:AlternateContent>
  <xr:revisionPtr revIDLastSave="0" documentId="13_ncr:1_{F9F31974-85D0-4607-822E-E1B04CEAB423}" xr6:coauthVersionLast="47" xr6:coauthVersionMax="47" xr10:uidLastSave="{00000000-0000-0000-0000-000000000000}"/>
  <bookViews>
    <workbookView xWindow="6915" yWindow="585" windowWidth="21675" windowHeight="14310" firstSheet="90" activeTab="93" xr2:uid="{00000000-000D-0000-FFFF-FFFF00000000}"/>
  </bookViews>
  <sheets>
    <sheet name="Alabama Life" sheetId="1" r:id="rId1"/>
    <sheet name="American Chambers" sheetId="2" r:id="rId2"/>
    <sheet name="American Community" sheetId="3" r:id="rId3"/>
    <sheet name="American Educators" sheetId="4" r:id="rId4"/>
    <sheet name="American Integrity" sheetId="5" r:id="rId5"/>
    <sheet name="Amer Life Asr" sheetId="6" r:id="rId6"/>
    <sheet name="American Network" sheetId="7" r:id="rId7"/>
    <sheet name="Amer Std Life Acc" sheetId="8" r:id="rId8"/>
    <sheet name="AmerWstrn" sheetId="9" r:id="rId9"/>
    <sheet name="AMS Life" sheetId="10" r:id="rId10"/>
    <sheet name="Andrew Jackson" sheetId="11" r:id="rId11"/>
    <sheet name="Bankers Commercial" sheetId="12" r:id="rId12"/>
    <sheet name="Benicorp" sheetId="13" r:id="rId13"/>
    <sheet name="Booker T Washington" sheetId="14" r:id="rId14"/>
    <sheet name="Centennial" sheetId="15" r:id="rId15"/>
    <sheet name="Coastal States" sheetId="16" r:id="rId16"/>
    <sheet name="Colorado Health" sheetId="17" r:id="rId17"/>
    <sheet name="Compass (dbs Meritus)" sheetId="18" r:id="rId18"/>
    <sheet name="Confed Life &amp; Annty (CLIAC)" sheetId="19" r:id="rId19"/>
    <sheet name="Confed Life (CLIC)" sheetId="20" r:id="rId20"/>
    <sheet name="Consolidated National" sheetId="21" r:id="rId21"/>
    <sheet name="Consumers Choice" sheetId="22" r:id="rId22"/>
    <sheet name="Consumers Mutual" sheetId="23" r:id="rId23"/>
    <sheet name="Consumers United" sheetId="24" r:id="rId24"/>
    <sheet name="CoOportunity" sheetId="25" r:id="rId25"/>
    <sheet name="Coordinated Hlth" sheetId="26" r:id="rId26"/>
    <sheet name="Corporate Life" sheetId="27" r:id="rId27"/>
    <sheet name="Diamond Benefits" sheetId="28" r:id="rId28"/>
    <sheet name="EBL Life" sheetId="29" r:id="rId29"/>
    <sheet name="Executive Life" sheetId="30" r:id="rId30"/>
    <sheet name="ELNY" sheetId="31" r:id="rId31"/>
    <sheet name="Family Guaranty" sheetId="32" r:id="rId32"/>
    <sheet name="Farmers &amp; Ranchers" sheetId="33" r:id="rId33"/>
    <sheet name="Fidelity Bankers" sheetId="34" r:id="rId34"/>
    <sheet name="Fidelity Mutual" sheetId="35" r:id="rId35"/>
    <sheet name="First Capital" sheetId="36" r:id="rId36"/>
    <sheet name="First Natl" sheetId="37" r:id="rId37"/>
    <sheet name="First Natl (Thrnr)" sheetId="38" r:id="rId38"/>
    <sheet name="Franklin American" sheetId="39" r:id="rId39"/>
    <sheet name="Franklin Protective" sheetId="40" r:id="rId40"/>
    <sheet name="Freelancers CO-OP" sheetId="41" r:id="rId41"/>
    <sheet name="George Washington" sheetId="42" r:id="rId42"/>
    <sheet name="Golden State" sheetId="43" r:id="rId43"/>
    <sheet name="Guarantee Security" sheetId="44" r:id="rId44"/>
    <sheet name="HealthyCT" sheetId="45" r:id="rId45"/>
    <sheet name="Imerica" sheetId="46" r:id="rId46"/>
    <sheet name="Inter-American" sheetId="47" r:id="rId47"/>
    <sheet name="International Fin" sheetId="48" r:id="rId48"/>
    <sheet name="Investment Life of America" sheetId="49" r:id="rId49"/>
    <sheet name="Investors Equity" sheetId="50" r:id="rId50"/>
    <sheet name="Kentucky Central" sheetId="51" r:id="rId51"/>
    <sheet name="Land of Lincoln" sheetId="52" r:id="rId52"/>
    <sheet name="Legion" sheetId="53" r:id="rId53"/>
    <sheet name="Life Health America" sheetId="54" r:id="rId54"/>
    <sheet name="Lincoln Memorial" sheetId="55" r:id="rId55"/>
    <sheet name="London Pac" sheetId="56" r:id="rId56"/>
    <sheet name="Lumbermens" sheetId="57" r:id="rId57"/>
    <sheet name="Medical Savings" sheetId="58" r:id="rId58"/>
    <sheet name="Memorial Service" sheetId="59" r:id="rId59"/>
    <sheet name="Midcontinent" sheetId="60" r:id="rId60"/>
    <sheet name="Midwest Life" sheetId="61" r:id="rId61"/>
    <sheet name="Monarch Life" sheetId="62" r:id="rId62"/>
    <sheet name="Mutual Benefit" sheetId="63" r:id="rId63"/>
    <sheet name="Mutual Security" sheetId="64" r:id="rId64"/>
    <sheet name="National Affiliated" sheetId="65" r:id="rId65"/>
    <sheet name="Natl American" sheetId="66" r:id="rId66"/>
    <sheet name="National Heritage" sheetId="67" r:id="rId67"/>
    <sheet name="National States" sheetId="68" r:id="rId68"/>
    <sheet name="New Jersey Life" sheetId="69" r:id="rId69"/>
    <sheet name="NNIC" sheetId="70" r:id="rId70"/>
    <sheet name="Old Colony Life" sheetId="71" r:id="rId71"/>
    <sheet name="Old Faithful" sheetId="72" r:id="rId72"/>
    <sheet name="Pacific Standard" sheetId="73" r:id="rId73"/>
    <sheet name="Pen  Treaty" sheetId="74" r:id="rId74"/>
    <sheet name="Reliance" sheetId="75" r:id="rId75"/>
    <sheet name="SeeChange" sheetId="76" r:id="rId76"/>
    <sheet name="Senior American" sheetId="77" r:id="rId77"/>
    <sheet name="Settlers" sheetId="78" r:id="rId78"/>
    <sheet name="Shenandoah" sheetId="79" r:id="rId79"/>
    <sheet name="Standard Life IN" sheetId="80" r:id="rId80"/>
    <sheet name="States General" sheetId="81" r:id="rId81"/>
    <sheet name="Statesman" sheetId="82" r:id="rId82"/>
    <sheet name="Summit National" sheetId="83" r:id="rId83"/>
    <sheet name="Supreme" sheetId="84" r:id="rId84"/>
    <sheet name="Underwriters" sheetId="85" r:id="rId85"/>
    <sheet name="Unison" sheetId="86" r:id="rId86"/>
    <sheet name="United Republic" sheetId="87" r:id="rId87"/>
    <sheet name="Universal Health Care" sheetId="88" r:id="rId88"/>
    <sheet name="Universal Life" sheetId="89" r:id="rId89"/>
    <sheet name="Universe" sheetId="90" r:id="rId90"/>
    <sheet name="Villanova" sheetId="91" r:id="rId91"/>
    <sheet name="Summary" sheetId="92" r:id="rId92"/>
    <sheet name="Pre-Liquidation Summary" sheetId="93" r:id="rId93"/>
    <sheet name="Open Summary" sheetId="94" r:id="rId94"/>
    <sheet name="Closed Summary" sheetId="95" r:id="rId95"/>
    <sheet name="Estate Closed Summary" sheetId="96" r:id="rId96"/>
    <sheet name="Released from Oversight Summary" sheetId="97" r:id="rId97"/>
    <sheet name="Total Summary" sheetId="98" r:id="rId98"/>
    <sheet name="ELIC Funding" sheetId="99" r:id="rId99"/>
    <sheet name="ELIC Recon" sheetId="100" r:id="rId100"/>
    <sheet name="Premium" sheetId="101" r:id="rId101"/>
  </sheets>
  <definedNames>
    <definedName name="ADD_FINANCIAL" localSheetId="0">'Alabama Life'!$J$10:$J$16</definedName>
    <definedName name="ADD_FINANCIAL" localSheetId="5">'Amer Life Asr'!$J$10:$J$16</definedName>
    <definedName name="ADD_FINANCIAL" localSheetId="7">'Amer Std Life Acc'!$J$10:$J$16</definedName>
    <definedName name="ADD_FINANCIAL" localSheetId="1">'American Chambers'!$J$10:$J$16</definedName>
    <definedName name="ADD_FINANCIAL" localSheetId="2">'American Community'!$J$10:$J$16</definedName>
    <definedName name="ADD_FINANCIAL" localSheetId="3">'American Educators'!$J$10:$J$16</definedName>
    <definedName name="ADD_FINANCIAL" localSheetId="4">'American Integrity'!$J$10:$J$16</definedName>
    <definedName name="ADD_FINANCIAL" localSheetId="6">'American Network'!$J$10:$J$16</definedName>
    <definedName name="ADD_FINANCIAL" localSheetId="8">AmerWstrn!$J$10:$J$16</definedName>
    <definedName name="ADD_FINANCIAL" localSheetId="9">'AMS Life'!$J$10:$J$16</definedName>
    <definedName name="ADD_FINANCIAL" localSheetId="10">'Andrew Jackson'!$J$10:$J$16</definedName>
    <definedName name="ADD_FINANCIAL" localSheetId="11">'Bankers Commercial'!$J$10:$J$16</definedName>
    <definedName name="ADD_FINANCIAL" localSheetId="12">Benicorp!$J$10:$J$16</definedName>
    <definedName name="ADD_FINANCIAL" localSheetId="13">'Booker T Washington'!$J$10:$J$16</definedName>
    <definedName name="ADD_FINANCIAL" localSheetId="14">Centennial!$J$10:$J$16</definedName>
    <definedName name="ADD_FINANCIAL" localSheetId="15">'Coastal States'!$J$10:$J$16</definedName>
    <definedName name="ADD_FINANCIAL" localSheetId="16">'Colorado Health'!$J$10:$J$16</definedName>
    <definedName name="ADD_FINANCIAL" localSheetId="17">'Compass (dbs Meritus)'!$J$10:$J$16</definedName>
    <definedName name="ADD_FINANCIAL" localSheetId="18">'Confed Life &amp; Annty (CLIAC)'!$J$10:$J$16</definedName>
    <definedName name="ADD_FINANCIAL" localSheetId="19">'Confed Life (CLIC)'!$J$10:$J$16</definedName>
    <definedName name="ADD_FINANCIAL" localSheetId="20">'Consolidated National'!$J$10:$J$16</definedName>
    <definedName name="ADD_FINANCIAL" localSheetId="21">'Consumers Choice'!$J$10:$J$16</definedName>
    <definedName name="ADD_FINANCIAL" localSheetId="22">'Consumers Mutual'!$J$10:$J$16</definedName>
    <definedName name="ADD_FINANCIAL" localSheetId="23">'Consumers United'!$J$10:$J$16</definedName>
    <definedName name="ADD_FINANCIAL" localSheetId="24">CoOportunity!$J$10:$J$16</definedName>
    <definedName name="ADD_FINANCIAL" localSheetId="25">'Coordinated Hlth'!$J$10:$J$16</definedName>
    <definedName name="ADD_FINANCIAL" localSheetId="26">'Corporate Life'!$J$10:$J$16</definedName>
    <definedName name="ADD_FINANCIAL" localSheetId="27">'Diamond Benefits'!$J$10:$J$16</definedName>
    <definedName name="ADD_FINANCIAL" localSheetId="28">'EBL Life'!$J$10:$J$16</definedName>
    <definedName name="ADD_FINANCIAL" localSheetId="30">ELNY!$J$10:$J$16</definedName>
    <definedName name="ADD_FINANCIAL" localSheetId="29">'Executive Life'!$J$10:$J$16</definedName>
    <definedName name="ADD_FINANCIAL" localSheetId="31">'Family Guaranty'!$J$10:$J$16</definedName>
    <definedName name="ADD_FINANCIAL" localSheetId="32">'Farmers &amp; Ranchers'!$J$10:$J$16</definedName>
    <definedName name="ADD_FINANCIAL" localSheetId="33">'Fidelity Bankers'!$J$10:$J$16</definedName>
    <definedName name="ADD_FINANCIAL" localSheetId="34">'Fidelity Mutual'!$J$10:$J$16</definedName>
    <definedName name="ADD_FINANCIAL" localSheetId="35">'First Capital'!$J$10:$J$16</definedName>
    <definedName name="ADD_FINANCIAL" localSheetId="36">'First Natl'!$J$10:$J$16</definedName>
    <definedName name="ADD_FINANCIAL" localSheetId="37">'First Natl (Thrnr)'!$J$10:$J$16</definedName>
    <definedName name="ADD_FINANCIAL" localSheetId="38">'Franklin American'!$J$10:$J$16</definedName>
    <definedName name="ADD_FINANCIAL" localSheetId="39">'Franklin Protective'!$J$10:$J$16</definedName>
    <definedName name="ADD_FINANCIAL" localSheetId="40">'Freelancers CO-OP'!$J$10:$J$16</definedName>
    <definedName name="ADD_FINANCIAL" localSheetId="41">'George Washington'!$J$10:$J$16</definedName>
    <definedName name="ADD_FINANCIAL" localSheetId="42">'Golden State'!$J$10:$J$16</definedName>
    <definedName name="ADD_FINANCIAL" localSheetId="43">'Guarantee Security'!$J$10:$J$16</definedName>
    <definedName name="ADD_FINANCIAL" localSheetId="44">HealthyCT!$J$10:$J$16</definedName>
    <definedName name="ADD_FINANCIAL" localSheetId="45">Imerica!$J$10:$J$16</definedName>
    <definedName name="ADD_FINANCIAL" localSheetId="46">'Inter-American'!$J$10:$J$16</definedName>
    <definedName name="ADD_FINANCIAL" localSheetId="47">'International Fin'!$J$10:$J$16</definedName>
    <definedName name="ADD_FINANCIAL" localSheetId="48">'Investment Life of America'!$J$10:$J$16</definedName>
    <definedName name="ADD_FINANCIAL" localSheetId="49">'Investors Equity'!$J$10:$J$16</definedName>
    <definedName name="ADD_FINANCIAL" localSheetId="50">'Kentucky Central'!$J$10:$J$16</definedName>
    <definedName name="ADD_FINANCIAL" localSheetId="51">'Land of Lincoln'!$J$10:$J$16</definedName>
    <definedName name="ADD_FINANCIAL" localSheetId="52">Legion!$J$10:$J$16</definedName>
    <definedName name="ADD_FINANCIAL" localSheetId="53">'Life Health America'!$J$10:$J$16</definedName>
    <definedName name="ADD_FINANCIAL" localSheetId="54">'Lincoln Memorial'!$J$10:$J$16</definedName>
    <definedName name="ADD_FINANCIAL" localSheetId="55">'London Pac'!$J$10:$J$16</definedName>
    <definedName name="ADD_FINANCIAL" localSheetId="56">Lumbermens!$J$10:$J$16</definedName>
    <definedName name="ADD_FINANCIAL" localSheetId="57">'Medical Savings'!$J$10:$J$16</definedName>
    <definedName name="ADD_FINANCIAL" localSheetId="58">'Memorial Service'!$J$10:$J$16</definedName>
    <definedName name="ADD_FINANCIAL" localSheetId="59">Midcontinent!$J$10:$J$16</definedName>
    <definedName name="ADD_FINANCIAL" localSheetId="60">'Midwest Life'!$J$10:$J$16</definedName>
    <definedName name="ADD_FINANCIAL" localSheetId="61">'Monarch Life'!$J$10:$J$16</definedName>
    <definedName name="ADD_FINANCIAL" localSheetId="62">'Mutual Benefit'!$J$10:$J$16</definedName>
    <definedName name="ADD_FINANCIAL" localSheetId="63">'Mutual Security'!$J$10:$J$16</definedName>
    <definedName name="ADD_FINANCIAL" localSheetId="64">'National Affiliated'!$J$10:$J$16</definedName>
    <definedName name="ADD_FINANCIAL" localSheetId="66">'National Heritage'!$J$10:$J$16</definedName>
    <definedName name="ADD_FINANCIAL" localSheetId="67">'National States'!$J$10:$J$16</definedName>
    <definedName name="ADD_FINANCIAL" localSheetId="65">'Natl American'!$J$10:$J$16</definedName>
    <definedName name="ADD_FINANCIAL" localSheetId="68">'New Jersey Life'!$J$10:$J$16</definedName>
    <definedName name="ADD_FINANCIAL" localSheetId="69">NNIC!$J$10:$J$16</definedName>
    <definedName name="ADD_FINANCIAL" localSheetId="70">'Old Colony Life'!$J$10:$J$16</definedName>
    <definedName name="ADD_FINANCIAL" localSheetId="71">'Old Faithful'!$J$10:$J$16</definedName>
    <definedName name="ADD_FINANCIAL" localSheetId="72">'Pacific Standard'!$J$10:$J$16</definedName>
    <definedName name="ADD_FINANCIAL" localSheetId="73">'Pen  Treaty'!$J$10:$J$16</definedName>
    <definedName name="ADD_FINANCIAL" localSheetId="74">Reliance!$J$10:$J$16</definedName>
    <definedName name="ADD_FINANCIAL" localSheetId="75">SeeChange!$J$10:$J$16</definedName>
    <definedName name="ADD_FINANCIAL" localSheetId="76">'Senior American'!$J$10:$J$16</definedName>
    <definedName name="ADD_FINANCIAL" localSheetId="77">Settlers!$J$10:$J$16</definedName>
    <definedName name="ADD_FINANCIAL" localSheetId="78">Shenandoah!$J$10:$J$16</definedName>
    <definedName name="ADD_FINANCIAL" localSheetId="79">'Standard Life IN'!$J$10:$J$16</definedName>
    <definedName name="ADD_FINANCIAL" localSheetId="80">'States General'!$J$10:$J$16</definedName>
    <definedName name="ADD_FINANCIAL" localSheetId="81">Statesman!$J$10:$J$16</definedName>
    <definedName name="ADD_FINANCIAL" localSheetId="82">'Summit National'!$J$10:$J$16</definedName>
    <definedName name="ADD_FINANCIAL" localSheetId="83">Supreme!$J$10:$J$16</definedName>
    <definedName name="ADD_FINANCIAL" localSheetId="84">Underwriters!$J$10:$J$16</definedName>
    <definedName name="ADD_FINANCIAL" localSheetId="85">Unison!$J$10:$J$16</definedName>
    <definedName name="ADD_FINANCIAL" localSheetId="86">'United Republic'!$J$10:$J$16</definedName>
    <definedName name="ADD_FINANCIAL" localSheetId="87">'Universal Health Care'!$J$10:$J$16</definedName>
    <definedName name="ADD_FINANCIAL" localSheetId="88">'Universal Life'!$J$10:$J$16</definedName>
    <definedName name="ADD_FINANCIAL" localSheetId="89">Universe!$J$10:$J$16</definedName>
    <definedName name="ADD_FINANCIAL" localSheetId="90">Villanova!$J$10:$J$16</definedName>
    <definedName name="AK_FINANCIAL" localSheetId="0">'Alabama Life'!$B$7:$F$7</definedName>
    <definedName name="AK_FINANCIAL" localSheetId="5">'Amer Life Asr'!$B$7:$F$7</definedName>
    <definedName name="AK_FINANCIAL" localSheetId="7">'Amer Std Life Acc'!$B$7:$F$7</definedName>
    <definedName name="AK_FINANCIAL" localSheetId="1">'American Chambers'!$B$7:$F$7</definedName>
    <definedName name="AK_FINANCIAL" localSheetId="2">'American Community'!$B$7:$F$7</definedName>
    <definedName name="AK_FINANCIAL" localSheetId="3">'American Educators'!$B$7:$F$7</definedName>
    <definedName name="AK_FINANCIAL" localSheetId="4">'American Integrity'!$B$7:$F$7</definedName>
    <definedName name="AK_FINANCIAL" localSheetId="6">'American Network'!$B$7:$F$7</definedName>
    <definedName name="AK_FINANCIAL" localSheetId="8">AmerWstrn!$B$7:$F$7</definedName>
    <definedName name="AK_FINANCIAL" localSheetId="9">'AMS Life'!$B$7:$F$7</definedName>
    <definedName name="AK_FINANCIAL" localSheetId="10">'Andrew Jackson'!$B$7:$F$7</definedName>
    <definedName name="AK_FINANCIAL" localSheetId="11">'Bankers Commercial'!$B$7:$F$7</definedName>
    <definedName name="AK_FINANCIAL" localSheetId="12">Benicorp!$B$7:$F$7</definedName>
    <definedName name="AK_FINANCIAL" localSheetId="13">'Booker T Washington'!$B$7:$F$7</definedName>
    <definedName name="AK_FINANCIAL" localSheetId="14">Centennial!$B$7:$F$7</definedName>
    <definedName name="AK_FINANCIAL" localSheetId="15">'Coastal States'!$B$7:$F$7</definedName>
    <definedName name="AK_FINANCIAL" localSheetId="16">'Colorado Health'!$B$7:$F$7</definedName>
    <definedName name="AK_FINANCIAL" localSheetId="17">'Compass (dbs Meritus)'!$B$7:$F$7</definedName>
    <definedName name="AK_FINANCIAL" localSheetId="18">'Confed Life &amp; Annty (CLIAC)'!$B$7:$F$7</definedName>
    <definedName name="AK_FINANCIAL" localSheetId="19">'Confed Life (CLIC)'!$B$7:$F$7</definedName>
    <definedName name="AK_FINANCIAL" localSheetId="20">'Consolidated National'!$B$7:$F$7</definedName>
    <definedName name="AK_FINANCIAL" localSheetId="21">'Consumers Choice'!$B$7:$F$7</definedName>
    <definedName name="AK_FINANCIAL" localSheetId="22">'Consumers Mutual'!$B$7:$F$7</definedName>
    <definedName name="AK_FINANCIAL" localSheetId="23">'Consumers United'!$B$7:$F$7</definedName>
    <definedName name="AK_FINANCIAL" localSheetId="24">CoOportunity!$B$7:$F$7</definedName>
    <definedName name="AK_FINANCIAL" localSheetId="25">'Coordinated Hlth'!$B$7:$F$7</definedName>
    <definedName name="AK_FINANCIAL" localSheetId="26">'Corporate Life'!$B$7:$F$7</definedName>
    <definedName name="AK_FINANCIAL" localSheetId="27">'Diamond Benefits'!$B$7:$F$7</definedName>
    <definedName name="AK_FINANCIAL" localSheetId="28">'EBL Life'!$B$7:$F$7</definedName>
    <definedName name="AK_FINANCIAL" localSheetId="30">ELNY!$B$7:$F$7</definedName>
    <definedName name="AK_FINANCIAL" localSheetId="29">'Executive Life'!$B$7:$F$7</definedName>
    <definedName name="AK_FINANCIAL" localSheetId="31">'Family Guaranty'!$B$7:$F$7</definedName>
    <definedName name="AK_FINANCIAL" localSheetId="32">'Farmers &amp; Ranchers'!$B$7:$F$7</definedName>
    <definedName name="AK_FINANCIAL" localSheetId="33">'Fidelity Bankers'!$B$7:$F$7</definedName>
    <definedName name="AK_FINANCIAL" localSheetId="34">'Fidelity Mutual'!$B$7:$F$7</definedName>
    <definedName name="AK_FINANCIAL" localSheetId="35">'First Capital'!$B$7:$F$7</definedName>
    <definedName name="AK_FINANCIAL" localSheetId="36">'First Natl'!$B$7:$F$7</definedName>
    <definedName name="AK_FINANCIAL" localSheetId="37">'First Natl (Thrnr)'!$B$7:$F$7</definedName>
    <definedName name="AK_FINANCIAL" localSheetId="38">'Franklin American'!$B$7:$F$7</definedName>
    <definedName name="AK_FINANCIAL" localSheetId="39">'Franklin Protective'!$B$7:$F$7</definedName>
    <definedName name="AK_FINANCIAL" localSheetId="40">'Freelancers CO-OP'!$B$7:$F$7</definedName>
    <definedName name="AK_FINANCIAL" localSheetId="41">'George Washington'!$B$7:$F$7</definedName>
    <definedName name="AK_FINANCIAL" localSheetId="42">'Golden State'!$B$7:$F$7</definedName>
    <definedName name="AK_FINANCIAL" localSheetId="43">'Guarantee Security'!$B$7:$F$7</definedName>
    <definedName name="AK_FINANCIAL" localSheetId="44">HealthyCT!$B$7:$F$7</definedName>
    <definedName name="AK_FINANCIAL" localSheetId="45">Imerica!$B$7:$F$7</definedName>
    <definedName name="AK_FINANCIAL" localSheetId="46">'Inter-American'!$B$7:$F$7</definedName>
    <definedName name="AK_FINANCIAL" localSheetId="47">'International Fin'!$B$7:$F$7</definedName>
    <definedName name="AK_FINANCIAL" localSheetId="48">'Investment Life of America'!$B$7:$F$7</definedName>
    <definedName name="AK_FINANCIAL" localSheetId="49">'Investors Equity'!$B$7:$F$7</definedName>
    <definedName name="AK_FINANCIAL" localSheetId="50">'Kentucky Central'!$B$7:$F$7</definedName>
    <definedName name="AK_FINANCIAL" localSheetId="51">'Land of Lincoln'!$B$7:$F$7</definedName>
    <definedName name="AK_FINANCIAL" localSheetId="52">Legion!$B$7:$F$7</definedName>
    <definedName name="AK_FINANCIAL" localSheetId="53">'Life Health America'!$B$7:$F$7</definedName>
    <definedName name="AK_FINANCIAL" localSheetId="54">'Lincoln Memorial'!$B$7:$F$7</definedName>
    <definedName name="AK_FINANCIAL" localSheetId="55">'London Pac'!$B$7:$F$7</definedName>
    <definedName name="AK_FINANCIAL" localSheetId="56">Lumbermens!$B$7:$F$7</definedName>
    <definedName name="AK_FINANCIAL" localSheetId="57">'Medical Savings'!$B$7:$F$7</definedName>
    <definedName name="AK_FINANCIAL" localSheetId="58">'Memorial Service'!$B$7:$F$7</definedName>
    <definedName name="AK_FINANCIAL" localSheetId="59">Midcontinent!$B$7:$F$7</definedName>
    <definedName name="AK_FINANCIAL" localSheetId="60">'Midwest Life'!$B$7:$F$7</definedName>
    <definedName name="AK_FINANCIAL" localSheetId="61">'Monarch Life'!$B$7:$F$7</definedName>
    <definedName name="AK_FINANCIAL" localSheetId="62">'Mutual Benefit'!$B$7:$F$7</definedName>
    <definedName name="AK_FINANCIAL" localSheetId="63">'Mutual Security'!$B$7:$F$7</definedName>
    <definedName name="AK_FINANCIAL" localSheetId="64">'National Affiliated'!$B$7:$F$7</definedName>
    <definedName name="AK_FINANCIAL" localSheetId="66">'National Heritage'!$B$7:$F$7</definedName>
    <definedName name="AK_FINANCIAL" localSheetId="67">'National States'!$B$7:$F$7</definedName>
    <definedName name="AK_FINANCIAL" localSheetId="65">'Natl American'!$B$7:$F$7</definedName>
    <definedName name="AK_FINANCIAL" localSheetId="68">'New Jersey Life'!$B$7:$F$7</definedName>
    <definedName name="AK_FINANCIAL" localSheetId="69">NNIC!$B$7:$F$7</definedName>
    <definedName name="AK_FINANCIAL" localSheetId="70">'Old Colony Life'!$B$7:$F$7</definedName>
    <definedName name="AK_FINANCIAL" localSheetId="71">'Old Faithful'!$B$7:$F$7</definedName>
    <definedName name="AK_FINANCIAL" localSheetId="72">'Pacific Standard'!$B$7:$F$7</definedName>
    <definedName name="AK_FINANCIAL" localSheetId="73">'Pen  Treaty'!$B$7:$F$7</definedName>
    <definedName name="AK_FINANCIAL" localSheetId="74">Reliance!$B$7:$F$7</definedName>
    <definedName name="AK_FINANCIAL" localSheetId="75">SeeChange!$B$7:$F$7</definedName>
    <definedName name="AK_FINANCIAL" localSheetId="76">'Senior American'!$B$7:$F$7</definedName>
    <definedName name="AK_FINANCIAL" localSheetId="77">Settlers!$B$7:$F$7</definedName>
    <definedName name="AK_FINANCIAL" localSheetId="78">Shenandoah!$B$7:$F$7</definedName>
    <definedName name="AK_FINANCIAL" localSheetId="79">'Standard Life IN'!$B$7:$F$7</definedName>
    <definedName name="AK_FINANCIAL" localSheetId="80">'States General'!$B$7:$F$7</definedName>
    <definedName name="AK_FINANCIAL" localSheetId="81">Statesman!$B$7:$F$7</definedName>
    <definedName name="AK_FINANCIAL" localSheetId="82">'Summit National'!$B$7:$F$7</definedName>
    <definedName name="AK_FINANCIAL" localSheetId="83">Supreme!$B$7:$F$7</definedName>
    <definedName name="AK_FINANCIAL" localSheetId="97">'Total Summary'!$B$7:$F$7</definedName>
    <definedName name="AK_FINANCIAL" localSheetId="84">Underwriters!$B$7:$F$7</definedName>
    <definedName name="AK_FINANCIAL" localSheetId="85">Unison!$B$7:$F$7</definedName>
    <definedName name="AK_FINANCIAL" localSheetId="86">'United Republic'!$B$7:$F$7</definedName>
    <definedName name="AK_FINANCIAL" localSheetId="87">'Universal Health Care'!$B$7:$F$7</definedName>
    <definedName name="AK_FINANCIAL" localSheetId="88">'Universal Life'!$B$7:$F$7</definedName>
    <definedName name="AK_FINANCIAL" localSheetId="89">Universe!$B$7:$F$7</definedName>
    <definedName name="AK_FINANCIAL" localSheetId="90">Villanova!$B$7:$F$7</definedName>
    <definedName name="AL_FINANCIAL" localSheetId="0">'Alabama Life'!$B$6:$F$6</definedName>
    <definedName name="AL_FINANCIAL" localSheetId="5">'Amer Life Asr'!$B$6:$F$6</definedName>
    <definedName name="AL_FINANCIAL" localSheetId="7">'Amer Std Life Acc'!$B$6:$F$6</definedName>
    <definedName name="AL_FINANCIAL" localSheetId="1">'American Chambers'!$B$6:$F$6</definedName>
    <definedName name="AL_FINANCIAL" localSheetId="2">'American Community'!$B$6:$F$6</definedName>
    <definedName name="AL_FINANCIAL" localSheetId="3">'American Educators'!$B$6:$F$6</definedName>
    <definedName name="AL_FINANCIAL" localSheetId="4">'American Integrity'!$B$6:$F$6</definedName>
    <definedName name="AL_FINANCIAL" localSheetId="6">'American Network'!$B$6:$F$6</definedName>
    <definedName name="AL_FINANCIAL" localSheetId="8">AmerWstrn!$B$6:$F$6</definedName>
    <definedName name="AL_FINANCIAL" localSheetId="9">'AMS Life'!$B$6:$F$6</definedName>
    <definedName name="AL_FINANCIAL" localSheetId="10">'Andrew Jackson'!$B$6:$F$6</definedName>
    <definedName name="AL_FINANCIAL" localSheetId="11">'Bankers Commercial'!$B$6:$F$6</definedName>
    <definedName name="AL_FINANCIAL" localSheetId="12">Benicorp!$B$6:$F$6</definedName>
    <definedName name="AL_FINANCIAL" localSheetId="13">'Booker T Washington'!$B$6:$F$6</definedName>
    <definedName name="AL_FINANCIAL" localSheetId="14">Centennial!$B$6:$F$6</definedName>
    <definedName name="AL_FINANCIAL" localSheetId="15">'Coastal States'!$B$6:$F$6</definedName>
    <definedName name="AL_FINANCIAL" localSheetId="16">'Colorado Health'!$B$6:$F$6</definedName>
    <definedName name="AL_FINANCIAL" localSheetId="17">'Compass (dbs Meritus)'!$B$6:$F$6</definedName>
    <definedName name="AL_FINANCIAL" localSheetId="18">'Confed Life &amp; Annty (CLIAC)'!$B$6:$F$6</definedName>
    <definedName name="AL_FINANCIAL" localSheetId="19">'Confed Life (CLIC)'!$B$6:$F$6</definedName>
    <definedName name="AL_FINANCIAL" localSheetId="20">'Consolidated National'!$B$6:$F$6</definedName>
    <definedName name="AL_FINANCIAL" localSheetId="21">'Consumers Choice'!$B$6:$F$6</definedName>
    <definedName name="AL_FINANCIAL" localSheetId="22">'Consumers Mutual'!$B$6:$F$6</definedName>
    <definedName name="AL_FINANCIAL" localSheetId="23">'Consumers United'!$B$6:$F$6</definedName>
    <definedName name="AL_FINANCIAL" localSheetId="24">CoOportunity!$B$6:$F$6</definedName>
    <definedName name="AL_FINANCIAL" localSheetId="25">'Coordinated Hlth'!$B$6:$F$6</definedName>
    <definedName name="AL_FINANCIAL" localSheetId="26">'Corporate Life'!$B$6:$F$6</definedName>
    <definedName name="AL_FINANCIAL" localSheetId="27">'Diamond Benefits'!$B$6:$F$6</definedName>
    <definedName name="AL_FINANCIAL" localSheetId="28">'EBL Life'!$B$6:$F$6</definedName>
    <definedName name="AL_FINANCIAL" localSheetId="30">ELNY!$B$6:$F$6</definedName>
    <definedName name="AL_FINANCIAL" localSheetId="29">'Executive Life'!$B$6:$F$6</definedName>
    <definedName name="AL_FINANCIAL" localSheetId="31">'Family Guaranty'!$B$6:$F$6</definedName>
    <definedName name="AL_FINANCIAL" localSheetId="32">'Farmers &amp; Ranchers'!$B$6:$F$6</definedName>
    <definedName name="AL_FINANCIAL" localSheetId="33">'Fidelity Bankers'!$B$6:$F$6</definedName>
    <definedName name="AL_FINANCIAL" localSheetId="34">'Fidelity Mutual'!$B$6:$F$6</definedName>
    <definedName name="AL_FINANCIAL" localSheetId="35">'First Capital'!$B$6:$F$6</definedName>
    <definedName name="AL_FINANCIAL" localSheetId="36">'First Natl'!$B$6:$F$6</definedName>
    <definedName name="AL_FINANCIAL" localSheetId="37">'First Natl (Thrnr)'!$B$6:$F$6</definedName>
    <definedName name="AL_FINANCIAL" localSheetId="38">'Franklin American'!$B$6:$F$6</definedName>
    <definedName name="AL_FINANCIAL" localSheetId="39">'Franklin Protective'!$B$6:$F$6</definedName>
    <definedName name="AL_FINANCIAL" localSheetId="40">'Freelancers CO-OP'!$B$6:$F$6</definedName>
    <definedName name="AL_FINANCIAL" localSheetId="41">'George Washington'!$B$6:$F$6</definedName>
    <definedName name="AL_FINANCIAL" localSheetId="42">'Golden State'!$B$6:$F$6</definedName>
    <definedName name="AL_FINANCIAL" localSheetId="43">'Guarantee Security'!$B$6:$F$6</definedName>
    <definedName name="AL_FINANCIAL" localSheetId="44">HealthyCT!$B$6:$F$6</definedName>
    <definedName name="AL_FINANCIAL" localSheetId="45">Imerica!$B$6:$F$6</definedName>
    <definedName name="AL_FINANCIAL" localSheetId="46">'Inter-American'!$B$6:$F$6</definedName>
    <definedName name="AL_FINANCIAL" localSheetId="47">'International Fin'!$B$6:$F$6</definedName>
    <definedName name="AL_FINANCIAL" localSheetId="48">'Investment Life of America'!$B$6:$F$6</definedName>
    <definedName name="AL_FINANCIAL" localSheetId="49">'Investors Equity'!$B$6:$F$6</definedName>
    <definedName name="AL_FINANCIAL" localSheetId="50">'Kentucky Central'!$B$6:$F$6</definedName>
    <definedName name="AL_FINANCIAL" localSheetId="51">'Land of Lincoln'!$B$6:$F$6</definedName>
    <definedName name="AL_FINANCIAL" localSheetId="52">Legion!$B$6:$F$6</definedName>
    <definedName name="AL_FINANCIAL" localSheetId="53">'Life Health America'!$B$6:$F$6</definedName>
    <definedName name="AL_FINANCIAL" localSheetId="54">'Lincoln Memorial'!$B$6:$F$6</definedName>
    <definedName name="AL_FINANCIAL" localSheetId="55">'London Pac'!$B$6:$F$6</definedName>
    <definedName name="AL_FINANCIAL" localSheetId="56">Lumbermens!$B$6:$F$6</definedName>
    <definedName name="AL_FINANCIAL" localSheetId="57">'Medical Savings'!$B$6:$F$6</definedName>
    <definedName name="AL_FINANCIAL" localSheetId="58">'Memorial Service'!$B$6:$F$6</definedName>
    <definedName name="AL_FINANCIAL" localSheetId="59">Midcontinent!$B$6:$F$6</definedName>
    <definedName name="AL_FINANCIAL" localSheetId="60">'Midwest Life'!$B$6:$F$6</definedName>
    <definedName name="AL_FINANCIAL" localSheetId="61">'Monarch Life'!$B$6:$F$6</definedName>
    <definedName name="AL_FINANCIAL" localSheetId="62">'Mutual Benefit'!$B$6:$F$6</definedName>
    <definedName name="AL_FINANCIAL" localSheetId="63">'Mutual Security'!$B$6:$F$6</definedName>
    <definedName name="AL_FINANCIAL" localSheetId="64">'National Affiliated'!$B$6:$F$6</definedName>
    <definedName name="AL_FINANCIAL" localSheetId="66">'National Heritage'!$B$6:$F$6</definedName>
    <definedName name="AL_FINANCIAL" localSheetId="67">'National States'!$B$6:$F$6</definedName>
    <definedName name="AL_FINANCIAL" localSheetId="65">'Natl American'!$B$6:$F$6</definedName>
    <definedName name="AL_FINANCIAL" localSheetId="68">'New Jersey Life'!$B$6:$F$6</definedName>
    <definedName name="AL_FINANCIAL" localSheetId="69">NNIC!$B$6:$F$6</definedName>
    <definedName name="AL_FINANCIAL" localSheetId="70">'Old Colony Life'!$B$6:$F$6</definedName>
    <definedName name="AL_FINANCIAL" localSheetId="71">'Old Faithful'!$B$6:$F$6</definedName>
    <definedName name="AL_FINANCIAL" localSheetId="72">'Pacific Standard'!$B$6:$F$6</definedName>
    <definedName name="AL_FINANCIAL" localSheetId="73">'Pen  Treaty'!$B$6:$F$6</definedName>
    <definedName name="AL_FINANCIAL" localSheetId="74">Reliance!$B$6:$F$6</definedName>
    <definedName name="AL_FINANCIAL" localSheetId="75">SeeChange!$B$6:$F$6</definedName>
    <definedName name="AL_FINANCIAL" localSheetId="76">'Senior American'!$B$6:$F$6</definedName>
    <definedName name="AL_FINANCIAL" localSheetId="77">Settlers!$B$6:$F$6</definedName>
    <definedName name="AL_FINANCIAL" localSheetId="78">Shenandoah!$B$6:$F$6</definedName>
    <definedName name="AL_FINANCIAL" localSheetId="79">'Standard Life IN'!$B$6:$F$6</definedName>
    <definedName name="AL_FINANCIAL" localSheetId="80">'States General'!$B$6:$F$6</definedName>
    <definedName name="AL_FINANCIAL" localSheetId="81">Statesman!$B$6:$F$6</definedName>
    <definedName name="AL_FINANCIAL" localSheetId="82">'Summit National'!$B$6:$F$6</definedName>
    <definedName name="AL_FINANCIAL" localSheetId="83">Supreme!$B$6:$F$6</definedName>
    <definedName name="AL_FINANCIAL" localSheetId="97">'Total Summary'!$B$6:$F$6</definedName>
    <definedName name="AL_FINANCIAL" localSheetId="84">Underwriters!$B$6:$F$6</definedName>
    <definedName name="AL_FINANCIAL" localSheetId="85">Unison!$B$6:$F$6</definedName>
    <definedName name="AL_FINANCIAL" localSheetId="86">'United Republic'!$B$6:$F$6</definedName>
    <definedName name="AL_FINANCIAL" localSheetId="87">'Universal Health Care'!$B$6:$F$6</definedName>
    <definedName name="AL_FINANCIAL" localSheetId="88">'Universal Life'!$B$6:$F$6</definedName>
    <definedName name="AL_FINANCIAL" localSheetId="89">Universe!$B$6:$F$6</definedName>
    <definedName name="AL_FINANCIAL" localSheetId="90">Villanova!$B$6:$F$6</definedName>
    <definedName name="ALL_BLOCKS" localSheetId="0">'Alabama Life'!$G$6:$G$59</definedName>
    <definedName name="ALL_BLOCKS" localSheetId="5">'Amer Life Asr'!$G$6:$G$59</definedName>
    <definedName name="ALL_BLOCKS" localSheetId="7">'Amer Std Life Acc'!$G$6:$G$59</definedName>
    <definedName name="ALL_BLOCKS" localSheetId="1">'American Chambers'!$G$6:$G$59</definedName>
    <definedName name="ALL_BLOCKS" localSheetId="2">'American Community'!$G$6:$G$59</definedName>
    <definedName name="ALL_BLOCKS" localSheetId="3">'American Educators'!$G$6:$G$59</definedName>
    <definedName name="ALL_BLOCKS" localSheetId="4">'American Integrity'!$G$6:$G$59</definedName>
    <definedName name="ALL_BLOCKS" localSheetId="6">'American Network'!$G$6:$G$59</definedName>
    <definedName name="ALL_BLOCKS" localSheetId="8">AmerWstrn!$G$6:$G$59</definedName>
    <definedName name="ALL_BLOCKS" localSheetId="9">'AMS Life'!$G$6:$G$59</definedName>
    <definedName name="ALL_BLOCKS" localSheetId="10">'Andrew Jackson'!$G$6:$G$59</definedName>
    <definedName name="ALL_BLOCKS" localSheetId="11">'Bankers Commercial'!$G$6:$G$59</definedName>
    <definedName name="ALL_BLOCKS" localSheetId="12">Benicorp!$G$6:$G$59</definedName>
    <definedName name="ALL_BLOCKS" localSheetId="13">'Booker T Washington'!$G$6:$G$59</definedName>
    <definedName name="ALL_BLOCKS" localSheetId="14">Centennial!$G$6:$G$59</definedName>
    <definedName name="ALL_BLOCKS" localSheetId="15">'Coastal States'!$G$6:$G$59</definedName>
    <definedName name="ALL_BLOCKS" localSheetId="16">'Colorado Health'!$G$6:$G$59</definedName>
    <definedName name="ALL_BLOCKS" localSheetId="17">'Compass (dbs Meritus)'!$G$6:$G$59</definedName>
    <definedName name="ALL_BLOCKS" localSheetId="18">'Confed Life &amp; Annty (CLIAC)'!$G$6:$G$59</definedName>
    <definedName name="ALL_BLOCKS" localSheetId="19">'Confed Life (CLIC)'!$G$6:$G$59</definedName>
    <definedName name="ALL_BLOCKS" localSheetId="20">'Consolidated National'!$G$6:$G$59</definedName>
    <definedName name="ALL_BLOCKS" localSheetId="21">'Consumers Choice'!$G$6:$G$59</definedName>
    <definedName name="ALL_BLOCKS" localSheetId="22">'Consumers Mutual'!$G$6:$G$59</definedName>
    <definedName name="ALL_BLOCKS" localSheetId="23">'Consumers United'!$G$6:$G$59</definedName>
    <definedName name="ALL_BLOCKS" localSheetId="24">CoOportunity!$G$6:$G$59</definedName>
    <definedName name="ALL_BLOCKS" localSheetId="25">'Coordinated Hlth'!$G$6:$G$59</definedName>
    <definedName name="ALL_BLOCKS" localSheetId="26">'Corporate Life'!$G$6:$G$59</definedName>
    <definedName name="ALL_BLOCKS" localSheetId="27">'Diamond Benefits'!$G$6:$G$59</definedName>
    <definedName name="ALL_BLOCKS" localSheetId="28">'EBL Life'!$G$6:$G$59</definedName>
    <definedName name="ALL_BLOCKS" localSheetId="30">ELNY!$G$6:$G$59</definedName>
    <definedName name="ALL_BLOCKS" localSheetId="29">'Executive Life'!$G$6:$G$59</definedName>
    <definedName name="ALL_BLOCKS" localSheetId="31">'Family Guaranty'!$G$6:$G$59</definedName>
    <definedName name="ALL_BLOCKS" localSheetId="32">'Farmers &amp; Ranchers'!$G$6:$G$59</definedName>
    <definedName name="ALL_BLOCKS" localSheetId="33">'Fidelity Bankers'!$G$6:$G$59</definedName>
    <definedName name="ALL_BLOCKS" localSheetId="34">'Fidelity Mutual'!$G$6:$G$59</definedName>
    <definedName name="ALL_BLOCKS" localSheetId="35">'First Capital'!$G$6:$G$59</definedName>
    <definedName name="ALL_BLOCKS" localSheetId="36">'First Natl'!$G$6:$G$59</definedName>
    <definedName name="ALL_BLOCKS" localSheetId="37">'First Natl (Thrnr)'!$G$6:$G$59</definedName>
    <definedName name="ALL_BLOCKS" localSheetId="38">'Franklin American'!$G$6:$G$59</definedName>
    <definedName name="ALL_BLOCKS" localSheetId="39">'Franklin Protective'!$G$6:$G$59</definedName>
    <definedName name="ALL_BLOCKS" localSheetId="40">'Freelancers CO-OP'!$G$6:$G$59</definedName>
    <definedName name="ALL_BLOCKS" localSheetId="41">'George Washington'!$G$6:$G$59</definedName>
    <definedName name="ALL_BLOCKS" localSheetId="42">'Golden State'!$G$6:$G$59</definedName>
    <definedName name="ALL_BLOCKS" localSheetId="43">'Guarantee Security'!$G$6:$G$59</definedName>
    <definedName name="ALL_BLOCKS" localSheetId="44">HealthyCT!$G$6:$G$59</definedName>
    <definedName name="ALL_BLOCKS" localSheetId="45">Imerica!$G$6:$G$59</definedName>
    <definedName name="ALL_BLOCKS" localSheetId="46">'Inter-American'!$G$6:$G$59</definedName>
    <definedName name="ALL_BLOCKS" localSheetId="47">'International Fin'!$G$6:$G$59</definedName>
    <definedName name="ALL_BLOCKS" localSheetId="48">'Investment Life of America'!$G$6:$G$59</definedName>
    <definedName name="ALL_BLOCKS" localSheetId="49">'Investors Equity'!$G$6:$G$59</definedName>
    <definedName name="ALL_BLOCKS" localSheetId="50">'Kentucky Central'!$G$6:$G$59</definedName>
    <definedName name="ALL_BLOCKS" localSheetId="51">'Land of Lincoln'!$G$6:$G$59</definedName>
    <definedName name="ALL_BLOCKS" localSheetId="52">Legion!$G$6:$G$59</definedName>
    <definedName name="ALL_BLOCKS" localSheetId="53">'Life Health America'!$G$6:$G$59</definedName>
    <definedName name="ALL_BLOCKS" localSheetId="54">'Lincoln Memorial'!$G$6:$G$59</definedName>
    <definedName name="ALL_BLOCKS" localSheetId="55">'London Pac'!$G$6:$G$59</definedName>
    <definedName name="ALL_BLOCKS" localSheetId="56">Lumbermens!$G$6:$G$59</definedName>
    <definedName name="ALL_BLOCKS" localSheetId="57">'Medical Savings'!$G$6:$G$59</definedName>
    <definedName name="ALL_BLOCKS" localSheetId="58">'Memorial Service'!$G$6:$G$59</definedName>
    <definedName name="ALL_BLOCKS" localSheetId="59">Midcontinent!$G$6:$G$59</definedName>
    <definedName name="ALL_BLOCKS" localSheetId="60">'Midwest Life'!$G$6:$G$59</definedName>
    <definedName name="ALL_BLOCKS" localSheetId="61">'Monarch Life'!$G$6:$G$59</definedName>
    <definedName name="ALL_BLOCKS" localSheetId="62">'Mutual Benefit'!$G$6:$G$59</definedName>
    <definedName name="ALL_BLOCKS" localSheetId="63">'Mutual Security'!$G$6:$G$59</definedName>
    <definedName name="ALL_BLOCKS" localSheetId="64">'National Affiliated'!$G$6:$G$59</definedName>
    <definedName name="ALL_BLOCKS" localSheetId="66">'National Heritage'!$G$6:$G$59</definedName>
    <definedName name="ALL_BLOCKS" localSheetId="67">'National States'!$G$6:$G$59</definedName>
    <definedName name="ALL_BLOCKS" localSheetId="65">'Natl American'!$G$6:$G$59</definedName>
    <definedName name="ALL_BLOCKS" localSheetId="68">'New Jersey Life'!$G$6:$G$59</definedName>
    <definedName name="ALL_BLOCKS" localSheetId="69">NNIC!$G$6:$G$59</definedName>
    <definedName name="ALL_BLOCKS" localSheetId="70">'Old Colony Life'!$G$6:$G$59</definedName>
    <definedName name="ALL_BLOCKS" localSheetId="71">'Old Faithful'!$G$6:$G$59</definedName>
    <definedName name="ALL_BLOCKS" localSheetId="72">'Pacific Standard'!$G$6:$G$59</definedName>
    <definedName name="ALL_BLOCKS" localSheetId="73">'Pen  Treaty'!$G$6:$G$59</definedName>
    <definedName name="ALL_BLOCKS" localSheetId="74">Reliance!$G$6:$G$59</definedName>
    <definedName name="ALL_BLOCKS" localSheetId="75">SeeChange!$G$6:$G$59</definedName>
    <definedName name="ALL_BLOCKS" localSheetId="76">'Senior American'!$G$6:$G$59</definedName>
    <definedName name="ALL_BLOCKS" localSheetId="77">Settlers!$G$6:$G$59</definedName>
    <definedName name="ALL_BLOCKS" localSheetId="78">Shenandoah!$G$6:$G$59</definedName>
    <definedName name="ALL_BLOCKS" localSheetId="79">'Standard Life IN'!$G$6:$G$59</definedName>
    <definedName name="ALL_BLOCKS" localSheetId="80">'States General'!$G$6:$G$59</definedName>
    <definedName name="ALL_BLOCKS" localSheetId="81">Statesman!$G$6:$G$59</definedName>
    <definedName name="ALL_BLOCKS" localSheetId="82">'Summit National'!$G$6:$G$59</definedName>
    <definedName name="ALL_BLOCKS" localSheetId="83">Supreme!$G$6:$G$59</definedName>
    <definedName name="ALL_BLOCKS" localSheetId="97">'Total Summary'!$G$6:$G$59</definedName>
    <definedName name="ALL_BLOCKS" localSheetId="84">Underwriters!$G$6:$G$59</definedName>
    <definedName name="ALL_BLOCKS" localSheetId="85">Unison!$G$6:$G$59</definedName>
    <definedName name="ALL_BLOCKS" localSheetId="86">'United Republic'!$G$6:$G$59</definedName>
    <definedName name="ALL_BLOCKS" localSheetId="87">'Universal Health Care'!$G$6:$G$59</definedName>
    <definedName name="ALL_BLOCKS" localSheetId="88">'Universal Life'!$G$6:$G$59</definedName>
    <definedName name="ALL_BLOCKS" localSheetId="89">Universe!$G$6:$G$59</definedName>
    <definedName name="ALL_BLOCKS" localSheetId="90">Villanova!$G$6:$G$59</definedName>
    <definedName name="ALLOC_CALLED" localSheetId="0">'Alabama Life'!$O$6:$O$58</definedName>
    <definedName name="ALLOC_CALLED" localSheetId="5">'Amer Life Asr'!$O$6:$O$58</definedName>
    <definedName name="ALLOC_CALLED" localSheetId="7">'Amer Std Life Acc'!$O$6:$O$58</definedName>
    <definedName name="ALLOC_CALLED" localSheetId="1">'American Chambers'!$O$6:$O$58</definedName>
    <definedName name="ALLOC_CALLED" localSheetId="2">'American Community'!$O$6:$O$58</definedName>
    <definedName name="ALLOC_CALLED" localSheetId="3">'American Educators'!$O$6:$O$58</definedName>
    <definedName name="ALLOC_CALLED" localSheetId="4">'American Integrity'!$O$6:$O$58</definedName>
    <definedName name="ALLOC_CALLED" localSheetId="6">'American Network'!$O$6:$O$58</definedName>
    <definedName name="ALLOC_CALLED" localSheetId="8">AmerWstrn!$O$6:$O$58</definedName>
    <definedName name="ALLOC_CALLED" localSheetId="9">'AMS Life'!$O$6:$O$58</definedName>
    <definedName name="ALLOC_CALLED" localSheetId="10">'Andrew Jackson'!$O$6:$O$58</definedName>
    <definedName name="ALLOC_CALLED" localSheetId="11">'Bankers Commercial'!$O$6:$O$58</definedName>
    <definedName name="ALLOC_CALLED" localSheetId="12">Benicorp!$O$6:$O$58</definedName>
    <definedName name="ALLOC_CALLED" localSheetId="13">'Booker T Washington'!$O$6:$O$58</definedName>
    <definedName name="ALLOC_CALLED" localSheetId="14">Centennial!$O$6:$O$58</definedName>
    <definedName name="ALLOC_CALLED" localSheetId="15">'Coastal States'!$O$6:$O$58</definedName>
    <definedName name="ALLOC_CALLED" localSheetId="16">'Colorado Health'!$O$6:$O$58</definedName>
    <definedName name="ALLOC_CALLED" localSheetId="17">'Compass (dbs Meritus)'!$O$6:$O$58</definedName>
    <definedName name="ALLOC_CALLED" localSheetId="18">'Confed Life &amp; Annty (CLIAC)'!$O$6:$O$58</definedName>
    <definedName name="ALLOC_CALLED" localSheetId="19">'Confed Life (CLIC)'!$O$6:$O$58</definedName>
    <definedName name="ALLOC_CALLED" localSheetId="20">'Consolidated National'!$O$6:$O$58</definedName>
    <definedName name="ALLOC_CALLED" localSheetId="21">'Consumers Choice'!$O$6:$O$58</definedName>
    <definedName name="ALLOC_CALLED" localSheetId="22">'Consumers Mutual'!$O$6:$O$58</definedName>
    <definedName name="ALLOC_CALLED" localSheetId="23">'Consumers United'!$O$6:$O$58</definedName>
    <definedName name="ALLOC_CALLED" localSheetId="24">CoOportunity!$O$6:$O$58</definedName>
    <definedName name="ALLOC_CALLED" localSheetId="25">'Coordinated Hlth'!$O$6:$O$58</definedName>
    <definedName name="ALLOC_CALLED" localSheetId="26">'Corporate Life'!$O$6:$O$58</definedName>
    <definedName name="ALLOC_CALLED" localSheetId="27">'Diamond Benefits'!$O$6:$O$58</definedName>
    <definedName name="ALLOC_CALLED" localSheetId="28">'EBL Life'!$O$6:$O$58</definedName>
    <definedName name="ALLOC_CALLED" localSheetId="30">ELNY!$O$6:$O$58</definedName>
    <definedName name="ALLOC_CALLED" localSheetId="29">'Executive Life'!$O$6:$O$58</definedName>
    <definedName name="ALLOC_CALLED" localSheetId="31">'Family Guaranty'!$O$6:$O$58</definedName>
    <definedName name="ALLOC_CALLED" localSheetId="32">'Farmers &amp; Ranchers'!$O$6:$O$58</definedName>
    <definedName name="ALLOC_CALLED" localSheetId="33">'Fidelity Bankers'!$O$6:$O$58</definedName>
    <definedName name="ALLOC_CALLED" localSheetId="34">'Fidelity Mutual'!$O$6:$O$58</definedName>
    <definedName name="ALLOC_CALLED" localSheetId="35">'First Capital'!$O$6:$O$58</definedName>
    <definedName name="ALLOC_CALLED" localSheetId="36">'First Natl'!$O$6:$O$58</definedName>
    <definedName name="ALLOC_CALLED" localSheetId="37">'First Natl (Thrnr)'!$O$6:$O$58</definedName>
    <definedName name="ALLOC_CALLED" localSheetId="38">'Franklin American'!$O$6:$O$58</definedName>
    <definedName name="ALLOC_CALLED" localSheetId="39">'Franklin Protective'!$O$6:$O$58</definedName>
    <definedName name="ALLOC_CALLED" localSheetId="40">'Freelancers CO-OP'!$O$6:$O$58</definedName>
    <definedName name="ALLOC_CALLED" localSheetId="41">'George Washington'!$O$6:$O$58</definedName>
    <definedName name="ALLOC_CALLED" localSheetId="42">'Golden State'!$O$6:$O$58</definedName>
    <definedName name="ALLOC_CALLED" localSheetId="43">'Guarantee Security'!$O$6:$O$58</definedName>
    <definedName name="ALLOC_CALLED" localSheetId="44">HealthyCT!$O$6:$O$58</definedName>
    <definedName name="ALLOC_CALLED" localSheetId="45">Imerica!$O$6:$O$58</definedName>
    <definedName name="ALLOC_CALLED" localSheetId="46">'Inter-American'!$O$6:$O$58</definedName>
    <definedName name="ALLOC_CALLED" localSheetId="47">'International Fin'!$O$6:$O$58</definedName>
    <definedName name="ALLOC_CALLED" localSheetId="48">'Investment Life of America'!$O$6:$O$58</definedName>
    <definedName name="ALLOC_CALLED" localSheetId="49">'Investors Equity'!$O$6:$O$58</definedName>
    <definedName name="ALLOC_CALLED" localSheetId="50">'Kentucky Central'!$O$6:$O$58</definedName>
    <definedName name="ALLOC_CALLED" localSheetId="51">'Land of Lincoln'!$O$6:$O$58</definedName>
    <definedName name="ALLOC_CALLED" localSheetId="52">Legion!$O$6:$O$58</definedName>
    <definedName name="ALLOC_CALLED" localSheetId="53">'Life Health America'!$O$6:$O$58</definedName>
    <definedName name="ALLOC_CALLED" localSheetId="54">'Lincoln Memorial'!$O$6:$O$58</definedName>
    <definedName name="ALLOC_CALLED" localSheetId="55">'London Pac'!$O$6:$O$58</definedName>
    <definedName name="ALLOC_CALLED" localSheetId="56">Lumbermens!$O$6:$O$58</definedName>
    <definedName name="ALLOC_CALLED" localSheetId="57">'Medical Savings'!$O$6:$O$58</definedName>
    <definedName name="ALLOC_CALLED" localSheetId="58">'Memorial Service'!$O$6:$O$58</definedName>
    <definedName name="ALLOC_CALLED" localSheetId="59">Midcontinent!$O$6:$O$58</definedName>
    <definedName name="ALLOC_CALLED" localSheetId="60">'Midwest Life'!$O$6:$O$58</definedName>
    <definedName name="ALLOC_CALLED" localSheetId="61">'Monarch Life'!$O$6:$O$58</definedName>
    <definedName name="ALLOC_CALLED" localSheetId="62">'Mutual Benefit'!$O$6:$O$58</definedName>
    <definedName name="ALLOC_CALLED" localSheetId="63">'Mutual Security'!$O$6:$O$58</definedName>
    <definedName name="ALLOC_CALLED" localSheetId="64">'National Affiliated'!$O$6:$O$58</definedName>
    <definedName name="ALLOC_CALLED" localSheetId="66">'National Heritage'!$O$6:$O$58</definedName>
    <definedName name="ALLOC_CALLED" localSheetId="67">'National States'!$O$6:$O$58</definedName>
    <definedName name="ALLOC_CALLED" localSheetId="65">'Natl American'!$O$6:$O$58</definedName>
    <definedName name="ALLOC_CALLED" localSheetId="68">'New Jersey Life'!$O$6:$O$58</definedName>
    <definedName name="ALLOC_CALLED" localSheetId="69">NNIC!$O$6:$O$58</definedName>
    <definedName name="ALLOC_CALLED" localSheetId="70">'Old Colony Life'!$O$6:$O$58</definedName>
    <definedName name="ALLOC_CALLED" localSheetId="71">'Old Faithful'!$O$6:$O$58</definedName>
    <definedName name="ALLOC_CALLED" localSheetId="72">'Pacific Standard'!$O$6:$O$58</definedName>
    <definedName name="ALLOC_CALLED" localSheetId="73">'Pen  Treaty'!$O$6:$O$58</definedName>
    <definedName name="ALLOC_CALLED" localSheetId="74">Reliance!$O$6:$O$58</definedName>
    <definedName name="ALLOC_CALLED" localSheetId="75">SeeChange!$O$6:$O$58</definedName>
    <definedName name="ALLOC_CALLED" localSheetId="76">'Senior American'!$O$6:$O$58</definedName>
    <definedName name="ALLOC_CALLED" localSheetId="77">Settlers!$O$6:$O$58</definedName>
    <definedName name="ALLOC_CALLED" localSheetId="78">Shenandoah!$O$6:$O$58</definedName>
    <definedName name="ALLOC_CALLED" localSheetId="79">'Standard Life IN'!$O$6:$O$58</definedName>
    <definedName name="ALLOC_CALLED" localSheetId="80">'States General'!$O$6:$O$58</definedName>
    <definedName name="ALLOC_CALLED" localSheetId="81">Statesman!$O$6:$O$58</definedName>
    <definedName name="ALLOC_CALLED" localSheetId="82">'Summit National'!$O$6:$O$58</definedName>
    <definedName name="ALLOC_CALLED" localSheetId="83">Supreme!$O$6:$O$58</definedName>
    <definedName name="ALLOC_CALLED" localSheetId="97">'Total Summary'!$L$6:$L$59</definedName>
    <definedName name="ALLOC_CALLED" localSheetId="84">Underwriters!$O$6:$O$58</definedName>
    <definedName name="ALLOC_CALLED" localSheetId="85">Unison!$O$6:$O$58</definedName>
    <definedName name="ALLOC_CALLED" localSheetId="86">'United Republic'!$O$6:$O$58</definedName>
    <definedName name="ALLOC_CALLED" localSheetId="87">'Universal Health Care'!$O$6:$O$58</definedName>
    <definedName name="ALLOC_CALLED" localSheetId="88">'Universal Life'!$O$6:$O$58</definedName>
    <definedName name="ALLOC_CALLED" localSheetId="89">Universe!$O$6:$O$58</definedName>
    <definedName name="ALLOC_CALLED" localSheetId="90">Villanova!$O$6:$O$58</definedName>
    <definedName name="ALLOC_REFUNDED" localSheetId="0">'Alabama Life'!$P$6:$P$58</definedName>
    <definedName name="ALLOC_REFUNDED" localSheetId="5">'Amer Life Asr'!$P$6:$P$58</definedName>
    <definedName name="ALLOC_REFUNDED" localSheetId="7">'Amer Std Life Acc'!$P$6:$P$58</definedName>
    <definedName name="ALLOC_REFUNDED" localSheetId="1">'American Chambers'!$P$6:$P$58</definedName>
    <definedName name="ALLOC_REFUNDED" localSheetId="2">'American Community'!$P$6:$P$58</definedName>
    <definedName name="ALLOC_REFUNDED" localSheetId="3">'American Educators'!$P$6:$P$58</definedName>
    <definedName name="ALLOC_REFUNDED" localSheetId="4">'American Integrity'!$P$6:$P$58</definedName>
    <definedName name="ALLOC_REFUNDED" localSheetId="6">'American Network'!$P$6:$P$58</definedName>
    <definedName name="ALLOC_REFUNDED" localSheetId="8">AmerWstrn!$P$6:$P$58</definedName>
    <definedName name="ALLOC_REFUNDED" localSheetId="9">'AMS Life'!$P$6:$P$58</definedName>
    <definedName name="ALLOC_REFUNDED" localSheetId="10">'Andrew Jackson'!$P$6:$P$58</definedName>
    <definedName name="ALLOC_REFUNDED" localSheetId="11">'Bankers Commercial'!$P$6:$P$58</definedName>
    <definedName name="ALLOC_REFUNDED" localSheetId="12">Benicorp!$P$6:$P$58</definedName>
    <definedName name="ALLOC_REFUNDED" localSheetId="13">'Booker T Washington'!$P$6:$P$58</definedName>
    <definedName name="ALLOC_REFUNDED" localSheetId="14">Centennial!$P$6:$P$58</definedName>
    <definedName name="ALLOC_REFUNDED" localSheetId="15">'Coastal States'!$P$6:$P$58</definedName>
    <definedName name="ALLOC_REFUNDED" localSheetId="16">'Colorado Health'!$P$6:$P$58</definedName>
    <definedName name="ALLOC_REFUNDED" localSheetId="17">'Compass (dbs Meritus)'!$P$6:$P$58</definedName>
    <definedName name="ALLOC_REFUNDED" localSheetId="18">'Confed Life &amp; Annty (CLIAC)'!$P$6:$P$58</definedName>
    <definedName name="ALLOC_REFUNDED" localSheetId="19">'Confed Life (CLIC)'!$P$6:$P$58</definedName>
    <definedName name="ALLOC_REFUNDED" localSheetId="20">'Consolidated National'!$P$6:$P$58</definedName>
    <definedName name="ALLOC_REFUNDED" localSheetId="21">'Consumers Choice'!$P$6:$P$58</definedName>
    <definedName name="ALLOC_REFUNDED" localSheetId="22">'Consumers Mutual'!$P$6:$P$58</definedName>
    <definedName name="ALLOC_REFUNDED" localSheetId="23">'Consumers United'!$P$6:$P$58</definedName>
    <definedName name="ALLOC_REFUNDED" localSheetId="24">CoOportunity!$P$6:$P$58</definedName>
    <definedName name="ALLOC_REFUNDED" localSheetId="25">'Coordinated Hlth'!$P$6:$P$58</definedName>
    <definedName name="ALLOC_REFUNDED" localSheetId="26">'Corporate Life'!$P$6:$P$58</definedName>
    <definedName name="ALLOC_REFUNDED" localSheetId="27">'Diamond Benefits'!$P$6:$P$58</definedName>
    <definedName name="ALLOC_REFUNDED" localSheetId="28">'EBL Life'!$P$6:$P$58</definedName>
    <definedName name="ALLOC_REFUNDED" localSheetId="30">ELNY!$P$6:$P$58</definedName>
    <definedName name="ALLOC_REFUNDED" localSheetId="29">'Executive Life'!$P$6:$P$58</definedName>
    <definedName name="ALLOC_REFUNDED" localSheetId="31">'Family Guaranty'!$P$6:$P$58</definedName>
    <definedName name="ALLOC_REFUNDED" localSheetId="32">'Farmers &amp; Ranchers'!$P$6:$P$58</definedName>
    <definedName name="ALLOC_REFUNDED" localSheetId="33">'Fidelity Bankers'!$P$6:$P$58</definedName>
    <definedName name="ALLOC_REFUNDED" localSheetId="34">'Fidelity Mutual'!$P$6:$P$58</definedName>
    <definedName name="ALLOC_REFUNDED" localSheetId="35">'First Capital'!$P$6:$P$58</definedName>
    <definedName name="ALLOC_REFUNDED" localSheetId="36">'First Natl'!$P$6:$P$58</definedName>
    <definedName name="ALLOC_REFUNDED" localSheetId="37">'First Natl (Thrnr)'!$P$6:$P$58</definedName>
    <definedName name="ALLOC_REFUNDED" localSheetId="38">'Franklin American'!$P$6:$P$58</definedName>
    <definedName name="ALLOC_REFUNDED" localSheetId="39">'Franklin Protective'!$P$6:$P$58</definedName>
    <definedName name="ALLOC_REFUNDED" localSheetId="40">'Freelancers CO-OP'!$P$6:$P$58</definedName>
    <definedName name="ALLOC_REFUNDED" localSheetId="41">'George Washington'!$P$6:$P$58</definedName>
    <definedName name="ALLOC_REFUNDED" localSheetId="42">'Golden State'!$P$6:$P$58</definedName>
    <definedName name="ALLOC_REFUNDED" localSheetId="43">'Guarantee Security'!$P$6:$P$58</definedName>
    <definedName name="ALLOC_REFUNDED" localSheetId="44">HealthyCT!$P$6:$P$58</definedName>
    <definedName name="ALLOC_REFUNDED" localSheetId="45">Imerica!$P$6:$P$58</definedName>
    <definedName name="ALLOC_REFUNDED" localSheetId="46">'Inter-American'!$P$6:$P$58</definedName>
    <definedName name="ALLOC_REFUNDED" localSheetId="47">'International Fin'!$P$6:$P$58</definedName>
    <definedName name="ALLOC_REFUNDED" localSheetId="48">'Investment Life of America'!$P$6:$P$58</definedName>
    <definedName name="ALLOC_REFUNDED" localSheetId="49">'Investors Equity'!$P$6:$P$58</definedName>
    <definedName name="ALLOC_REFUNDED" localSheetId="50">'Kentucky Central'!$P$6:$P$58</definedName>
    <definedName name="ALLOC_REFUNDED" localSheetId="51">'Land of Lincoln'!$P$6:$P$58</definedName>
    <definedName name="ALLOC_REFUNDED" localSheetId="52">Legion!$P$6:$P$58</definedName>
    <definedName name="ALLOC_REFUNDED" localSheetId="53">'Life Health America'!$P$6:$P$58</definedName>
    <definedName name="ALLOC_REFUNDED" localSheetId="54">'Lincoln Memorial'!$P$6:$P$58</definedName>
    <definedName name="ALLOC_REFUNDED" localSheetId="55">'London Pac'!$P$6:$P$58</definedName>
    <definedName name="ALLOC_REFUNDED" localSheetId="56">Lumbermens!$P$6:$P$58</definedName>
    <definedName name="ALLOC_REFUNDED" localSheetId="57">'Medical Savings'!$P$6:$P$58</definedName>
    <definedName name="ALLOC_REFUNDED" localSheetId="58">'Memorial Service'!$P$6:$P$58</definedName>
    <definedName name="ALLOC_REFUNDED" localSheetId="59">Midcontinent!$P$6:$P$58</definedName>
    <definedName name="ALLOC_REFUNDED" localSheetId="60">'Midwest Life'!$P$6:$P$58</definedName>
    <definedName name="ALLOC_REFUNDED" localSheetId="61">'Monarch Life'!$P$6:$P$58</definedName>
    <definedName name="ALLOC_REFUNDED" localSheetId="62">'Mutual Benefit'!$P$6:$P$58</definedName>
    <definedName name="ALLOC_REFUNDED" localSheetId="63">'Mutual Security'!$P$6:$P$58</definedName>
    <definedName name="ALLOC_REFUNDED" localSheetId="64">'National Affiliated'!$P$6:$P$58</definedName>
    <definedName name="ALLOC_REFUNDED" localSheetId="66">'National Heritage'!$P$6:$P$58</definedName>
    <definedName name="ALLOC_REFUNDED" localSheetId="67">'National States'!$P$6:$P$58</definedName>
    <definedName name="ALLOC_REFUNDED" localSheetId="65">'Natl American'!$P$6:$P$58</definedName>
    <definedName name="ALLOC_REFUNDED" localSheetId="68">'New Jersey Life'!$P$6:$P$58</definedName>
    <definedName name="ALLOC_REFUNDED" localSheetId="69">NNIC!$P$6:$P$58</definedName>
    <definedName name="ALLOC_REFUNDED" localSheetId="70">'Old Colony Life'!$P$6:$P$58</definedName>
    <definedName name="ALLOC_REFUNDED" localSheetId="71">'Old Faithful'!$P$6:$P$58</definedName>
    <definedName name="ALLOC_REFUNDED" localSheetId="72">'Pacific Standard'!$P$6:$P$58</definedName>
    <definedName name="ALLOC_REFUNDED" localSheetId="73">'Pen  Treaty'!$P$6:$P$58</definedName>
    <definedName name="ALLOC_REFUNDED" localSheetId="74">Reliance!$P$6:$P$58</definedName>
    <definedName name="ALLOC_REFUNDED" localSheetId="75">SeeChange!$P$6:$P$58</definedName>
    <definedName name="ALLOC_REFUNDED" localSheetId="76">'Senior American'!$P$6:$P$58</definedName>
    <definedName name="ALLOC_REFUNDED" localSheetId="77">Settlers!$P$6:$P$58</definedName>
    <definedName name="ALLOC_REFUNDED" localSheetId="78">Shenandoah!$P$6:$P$58</definedName>
    <definedName name="ALLOC_REFUNDED" localSheetId="79">'Standard Life IN'!$P$6:$P$58</definedName>
    <definedName name="ALLOC_REFUNDED" localSheetId="80">'States General'!$P$6:$P$58</definedName>
    <definedName name="ALLOC_REFUNDED" localSheetId="81">Statesman!$P$6:$P$58</definedName>
    <definedName name="ALLOC_REFUNDED" localSheetId="82">'Summit National'!$P$6:$P$58</definedName>
    <definedName name="ALLOC_REFUNDED" localSheetId="83">Supreme!$P$6:$P$58</definedName>
    <definedName name="ALLOC_REFUNDED" localSheetId="97">'Total Summary'!$M$6:$M$59</definedName>
    <definedName name="ALLOC_REFUNDED" localSheetId="84">Underwriters!$P$6:$P$58</definedName>
    <definedName name="ALLOC_REFUNDED" localSheetId="85">Unison!$P$6:$P$58</definedName>
    <definedName name="ALLOC_REFUNDED" localSheetId="86">'United Republic'!$P$6:$P$58</definedName>
    <definedName name="ALLOC_REFUNDED" localSheetId="87">'Universal Health Care'!$P$6:$P$58</definedName>
    <definedName name="ALLOC_REFUNDED" localSheetId="88">'Universal Life'!$P$6:$P$58</definedName>
    <definedName name="ALLOC_REFUNDED" localSheetId="89">Universe!$P$6:$P$58</definedName>
    <definedName name="ALLOC_REFUNDED" localSheetId="90">Villanova!$P$6:$P$58</definedName>
    <definedName name="ALLOCATED" localSheetId="0">'Alabama Life'!$C$6:$C$59</definedName>
    <definedName name="ALLOCATED" localSheetId="5">'Amer Life Asr'!$C$6:$C$59</definedName>
    <definedName name="ALLOCATED" localSheetId="7">'Amer Std Life Acc'!$C$6:$C$59</definedName>
    <definedName name="ALLOCATED" localSheetId="1">'American Chambers'!$C$6:$C$59</definedName>
    <definedName name="ALLOCATED" localSheetId="2">'American Community'!$C$6:$C$59</definedName>
    <definedName name="ALLOCATED" localSheetId="3">'American Educators'!$C$6:$C$59</definedName>
    <definedName name="ALLOCATED" localSheetId="4">'American Integrity'!$C$6:$C$59</definedName>
    <definedName name="ALLOCATED" localSheetId="6">'American Network'!$C$6:$C$59</definedName>
    <definedName name="ALLOCATED" localSheetId="8">AmerWstrn!$C$6:$C$59</definedName>
    <definedName name="ALLOCATED" localSheetId="9">'AMS Life'!$C$6:$C$59</definedName>
    <definedName name="ALLOCATED" localSheetId="10">'Andrew Jackson'!$C$6:$C$59</definedName>
    <definedName name="ALLOCATED" localSheetId="11">'Bankers Commercial'!$C$6:$C$59</definedName>
    <definedName name="ALLOCATED" localSheetId="12">Benicorp!$C$6:$C$59</definedName>
    <definedName name="ALLOCATED" localSheetId="13">'Booker T Washington'!$C$6:$C$59</definedName>
    <definedName name="ALLOCATED" localSheetId="14">Centennial!$C$6:$C$59</definedName>
    <definedName name="ALLOCATED" localSheetId="94">'Closed Summary'!$C$6:$C$58</definedName>
    <definedName name="ALLOCATED" localSheetId="15">'Coastal States'!$C$6:$C$59</definedName>
    <definedName name="ALLOCATED" localSheetId="16">'Colorado Health'!$C$6:$C$59</definedName>
    <definedName name="ALLOCATED" localSheetId="17">'Compass (dbs Meritus)'!$C$6:$C$59</definedName>
    <definedName name="ALLOCATED" localSheetId="18">'Confed Life &amp; Annty (CLIAC)'!$C$6:$C$59</definedName>
    <definedName name="ALLOCATED" localSheetId="19">'Confed Life (CLIC)'!$C$6:$C$59</definedName>
    <definedName name="ALLOCATED" localSheetId="20">'Consolidated National'!$C$6:$C$59</definedName>
    <definedName name="ALLOCATED" localSheetId="21">'Consumers Choice'!$C$6:$C$59</definedName>
    <definedName name="ALLOCATED" localSheetId="22">'Consumers Mutual'!$C$6:$C$59</definedName>
    <definedName name="ALLOCATED" localSheetId="23">'Consumers United'!$C$6:$C$59</definedName>
    <definedName name="ALLOCATED" localSheetId="24">CoOportunity!$C$6:$C$59</definedName>
    <definedName name="ALLOCATED" localSheetId="25">'Coordinated Hlth'!$C$6:$C$59</definedName>
    <definedName name="ALLOCATED" localSheetId="26">'Corporate Life'!$C$6:$C$59</definedName>
    <definedName name="ALLOCATED" localSheetId="27">'Diamond Benefits'!$C$6:$C$59</definedName>
    <definedName name="ALLOCATED" localSheetId="28">'EBL Life'!$C$6:$C$59</definedName>
    <definedName name="ALLOCATED" localSheetId="30">ELNY!$C$6:$C$59</definedName>
    <definedName name="ALLOCATED" localSheetId="95">'Estate Closed Summary'!$C$6:$C$58</definedName>
    <definedName name="ALLOCATED" localSheetId="29">'Executive Life'!$C$6:$C$59</definedName>
    <definedName name="ALLOCATED" localSheetId="31">'Family Guaranty'!$C$6:$C$59</definedName>
    <definedName name="ALLOCATED" localSheetId="32">'Farmers &amp; Ranchers'!$C$6:$C$59</definedName>
    <definedName name="ALLOCATED" localSheetId="33">'Fidelity Bankers'!$C$6:$C$59</definedName>
    <definedName name="ALLOCATED" localSheetId="34">'Fidelity Mutual'!$C$6:$C$59</definedName>
    <definedName name="ALLOCATED" localSheetId="35">'First Capital'!$C$6:$C$59</definedName>
    <definedName name="ALLOCATED" localSheetId="36">'First Natl'!$C$6:$C$59</definedName>
    <definedName name="ALLOCATED" localSheetId="37">'First Natl (Thrnr)'!$C$6:$C$59</definedName>
    <definedName name="ALLOCATED" localSheetId="38">'Franklin American'!$C$6:$C$59</definedName>
    <definedName name="ALLOCATED" localSheetId="39">'Franklin Protective'!$C$6:$C$59</definedName>
    <definedName name="ALLOCATED" localSheetId="40">'Freelancers CO-OP'!$C$6:$C$59</definedName>
    <definedName name="ALLOCATED" localSheetId="41">'George Washington'!$C$6:$C$59</definedName>
    <definedName name="ALLOCATED" localSheetId="42">'Golden State'!$C$6:$C$59</definedName>
    <definedName name="ALLOCATED" localSheetId="43">'Guarantee Security'!$C$6:$C$59</definedName>
    <definedName name="ALLOCATED" localSheetId="44">HealthyCT!$C$6:$C$59</definedName>
    <definedName name="ALLOCATED" localSheetId="45">Imerica!$C$6:$C$59</definedName>
    <definedName name="ALLOCATED" localSheetId="46">'Inter-American'!$C$6:$C$59</definedName>
    <definedName name="ALLOCATED" localSheetId="47">'International Fin'!$C$6:$C$59</definedName>
    <definedName name="ALLOCATED" localSheetId="48">'Investment Life of America'!$C$6:$C$59</definedName>
    <definedName name="ALLOCATED" localSheetId="49">'Investors Equity'!$C$6:$C$59</definedName>
    <definedName name="ALLOCATED" localSheetId="50">'Kentucky Central'!$C$6:$C$59</definedName>
    <definedName name="ALLOCATED" localSheetId="51">'Land of Lincoln'!$C$6:$C$59</definedName>
    <definedName name="ALLOCATED" localSheetId="52">Legion!$C$6:$C$59</definedName>
    <definedName name="ALLOCATED" localSheetId="53">'Life Health America'!$C$6:$C$59</definedName>
    <definedName name="ALLOCATED" localSheetId="54">'Lincoln Memorial'!$C$6:$C$59</definedName>
    <definedName name="ALLOCATED" localSheetId="55">'London Pac'!$C$6:$C$59</definedName>
    <definedName name="ALLOCATED" localSheetId="56">Lumbermens!$C$6:$C$59</definedName>
    <definedName name="ALLOCATED" localSheetId="57">'Medical Savings'!$C$6:$C$59</definedName>
    <definedName name="ALLOCATED" localSheetId="58">'Memorial Service'!$C$6:$C$59</definedName>
    <definedName name="ALLOCATED" localSheetId="59">Midcontinent!$C$6:$C$59</definedName>
    <definedName name="ALLOCATED" localSheetId="60">'Midwest Life'!$C$6:$C$59</definedName>
    <definedName name="ALLOCATED" localSheetId="61">'Monarch Life'!$C$6:$C$59</definedName>
    <definedName name="ALLOCATED" localSheetId="62">'Mutual Benefit'!$C$6:$C$59</definedName>
    <definedName name="ALLOCATED" localSheetId="63">'Mutual Security'!$C$6:$C$59</definedName>
    <definedName name="ALLOCATED" localSheetId="64">'National Affiliated'!$C$6:$C$59</definedName>
    <definedName name="ALLOCATED" localSheetId="66">'National Heritage'!$C$6:$C$59</definedName>
    <definedName name="ALLOCATED" localSheetId="67">'National States'!$C$6:$C$59</definedName>
    <definedName name="ALLOCATED" localSheetId="65">'Natl American'!$C$6:$C$59</definedName>
    <definedName name="ALLOCATED" localSheetId="68">'New Jersey Life'!$C$6:$C$59</definedName>
    <definedName name="ALLOCATED" localSheetId="69">NNIC!$C$6:$C$59</definedName>
    <definedName name="ALLOCATED" localSheetId="70">'Old Colony Life'!$C$6:$C$59</definedName>
    <definedName name="ALLOCATED" localSheetId="71">'Old Faithful'!$C$6:$C$59</definedName>
    <definedName name="ALLOCATED" localSheetId="93">'Open Summary'!$C$6:$C$58</definedName>
    <definedName name="ALLOCATED" localSheetId="72">'Pacific Standard'!$C$6:$C$59</definedName>
    <definedName name="ALLOCATED" localSheetId="73">'Pen  Treaty'!$C$6:$C$59</definedName>
    <definedName name="ALLOCATED" localSheetId="92">'Pre-Liquidation Summary'!$C$6:$C$58</definedName>
    <definedName name="ALLOCATED" localSheetId="96">'Released from Oversight Summary'!$C$6:$C$58</definedName>
    <definedName name="ALLOCATED" localSheetId="74">Reliance!$C$6:$C$59</definedName>
    <definedName name="ALLOCATED" localSheetId="75">SeeChange!$C$6:$C$59</definedName>
    <definedName name="ALLOCATED" localSheetId="76">'Senior American'!$C$6:$C$59</definedName>
    <definedName name="ALLOCATED" localSheetId="77">Settlers!$C$6:$C$59</definedName>
    <definedName name="ALLOCATED" localSheetId="78">Shenandoah!$C$6:$C$59</definedName>
    <definedName name="ALLOCATED" localSheetId="79">'Standard Life IN'!$C$6:$C$59</definedName>
    <definedName name="ALLOCATED" localSheetId="80">'States General'!$C$6:$C$59</definedName>
    <definedName name="ALLOCATED" localSheetId="81">Statesman!$C$6:$C$59</definedName>
    <definedName name="ALLOCATED" localSheetId="82">'Summit National'!$C$6:$C$59</definedName>
    <definedName name="ALLOCATED" localSheetId="83">Supreme!$C$6:$C$59</definedName>
    <definedName name="ALLOCATED" localSheetId="97">'Total Summary'!$C$6:$C$59</definedName>
    <definedName name="ALLOCATED" localSheetId="84">Underwriters!$C$6:$C$59</definedName>
    <definedName name="ALLOCATED" localSheetId="85">Unison!$C$6:$C$59</definedName>
    <definedName name="ALLOCATED" localSheetId="86">'United Republic'!$C$6:$C$59</definedName>
    <definedName name="ALLOCATED" localSheetId="87">'Universal Health Care'!$C$6:$C$59</definedName>
    <definedName name="ALLOCATED" localSheetId="88">'Universal Life'!$C$6:$C$59</definedName>
    <definedName name="ALLOCATED" localSheetId="89">Universe!$C$6:$C$59</definedName>
    <definedName name="ALLOCATED" localSheetId="90">Villanova!$C$6:$C$59</definedName>
    <definedName name="AR_FINANCIAL" localSheetId="0">'Alabama Life'!$B$9:$F$9</definedName>
    <definedName name="AR_FINANCIAL" localSheetId="5">'Amer Life Asr'!$B$9:$F$9</definedName>
    <definedName name="AR_FINANCIAL" localSheetId="7">'Amer Std Life Acc'!$B$9:$F$9</definedName>
    <definedName name="AR_FINANCIAL" localSheetId="1">'American Chambers'!$B$9:$F$9</definedName>
    <definedName name="AR_FINANCIAL" localSheetId="2">'American Community'!$B$9:$F$9</definedName>
    <definedName name="AR_FINANCIAL" localSheetId="3">'American Educators'!$B$9:$F$9</definedName>
    <definedName name="AR_FINANCIAL" localSheetId="4">'American Integrity'!$B$9:$F$9</definedName>
    <definedName name="AR_FINANCIAL" localSheetId="6">'American Network'!$B$9:$F$9</definedName>
    <definedName name="AR_FINANCIAL" localSheetId="8">AmerWstrn!$B$9:$F$9</definedName>
    <definedName name="AR_FINANCIAL" localSheetId="9">'AMS Life'!$B$9:$F$9</definedName>
    <definedName name="AR_FINANCIAL" localSheetId="10">'Andrew Jackson'!$B$9:$F$9</definedName>
    <definedName name="AR_FINANCIAL" localSheetId="11">'Bankers Commercial'!$B$9:$F$9</definedName>
    <definedName name="AR_FINANCIAL" localSheetId="12">Benicorp!$B$9:$F$9</definedName>
    <definedName name="AR_FINANCIAL" localSheetId="13">'Booker T Washington'!$B$9:$F$9</definedName>
    <definedName name="AR_FINANCIAL" localSheetId="14">Centennial!$B$9:$F$9</definedName>
    <definedName name="AR_FINANCIAL" localSheetId="15">'Coastal States'!$B$9:$F$9</definedName>
    <definedName name="AR_FINANCIAL" localSheetId="16">'Colorado Health'!$B$9:$F$9</definedName>
    <definedName name="AR_FINANCIAL" localSheetId="17">'Compass (dbs Meritus)'!$B$9:$F$9</definedName>
    <definedName name="AR_FINANCIAL" localSheetId="18">'Confed Life &amp; Annty (CLIAC)'!$B$9:$F$9</definedName>
    <definedName name="AR_FINANCIAL" localSheetId="19">'Confed Life (CLIC)'!$B$9:$F$9</definedName>
    <definedName name="AR_FINANCIAL" localSheetId="20">'Consolidated National'!$B$9:$F$9</definedName>
    <definedName name="AR_FINANCIAL" localSheetId="21">'Consumers Choice'!$B$9:$F$9</definedName>
    <definedName name="AR_FINANCIAL" localSheetId="22">'Consumers Mutual'!$B$9:$F$9</definedName>
    <definedName name="AR_FINANCIAL" localSheetId="23">'Consumers United'!$B$9:$F$9</definedName>
    <definedName name="AR_FINANCIAL" localSheetId="24">CoOportunity!$B$9:$F$9</definedName>
    <definedName name="AR_FINANCIAL" localSheetId="25">'Coordinated Hlth'!$B$9:$F$9</definedName>
    <definedName name="AR_FINANCIAL" localSheetId="26">'Corporate Life'!$B$9:$F$9</definedName>
    <definedName name="AR_FINANCIAL" localSheetId="27">'Diamond Benefits'!$B$9:$F$9</definedName>
    <definedName name="AR_FINANCIAL" localSheetId="28">'EBL Life'!$B$9:$F$9</definedName>
    <definedName name="AR_FINANCIAL" localSheetId="30">ELNY!$B$9:$F$9</definedName>
    <definedName name="AR_FINANCIAL" localSheetId="29">'Executive Life'!$B$9:$F$9</definedName>
    <definedName name="AR_FINANCIAL" localSheetId="31">'Family Guaranty'!$B$9:$F$9</definedName>
    <definedName name="AR_FINANCIAL" localSheetId="32">'Farmers &amp; Ranchers'!$B$9:$F$9</definedName>
    <definedName name="AR_FINANCIAL" localSheetId="33">'Fidelity Bankers'!$B$9:$F$9</definedName>
    <definedName name="AR_FINANCIAL" localSheetId="34">'Fidelity Mutual'!$B$9:$F$9</definedName>
    <definedName name="AR_FINANCIAL" localSheetId="35">'First Capital'!$B$9:$F$9</definedName>
    <definedName name="AR_FINANCIAL" localSheetId="36">'First Natl'!$B$9:$F$9</definedName>
    <definedName name="AR_FINANCIAL" localSheetId="37">'First Natl (Thrnr)'!$B$9:$F$9</definedName>
    <definedName name="AR_FINANCIAL" localSheetId="38">'Franklin American'!$B$9:$F$9</definedName>
    <definedName name="AR_FINANCIAL" localSheetId="39">'Franklin Protective'!$B$9:$F$9</definedName>
    <definedName name="AR_FINANCIAL" localSheetId="40">'Freelancers CO-OP'!$B$9:$F$9</definedName>
    <definedName name="AR_FINANCIAL" localSheetId="41">'George Washington'!$B$9:$F$9</definedName>
    <definedName name="AR_FINANCIAL" localSheetId="42">'Golden State'!$B$9:$F$9</definedName>
    <definedName name="AR_FINANCIAL" localSheetId="43">'Guarantee Security'!$B$9:$F$9</definedName>
    <definedName name="AR_FINANCIAL" localSheetId="44">HealthyCT!$B$9:$F$9</definedName>
    <definedName name="AR_FINANCIAL" localSheetId="45">Imerica!$B$9:$F$9</definedName>
    <definedName name="AR_FINANCIAL" localSheetId="46">'Inter-American'!$B$9:$F$9</definedName>
    <definedName name="AR_FINANCIAL" localSheetId="47">'International Fin'!$B$9:$F$9</definedName>
    <definedName name="AR_FINANCIAL" localSheetId="48">'Investment Life of America'!$B$9:$F$9</definedName>
    <definedName name="AR_FINANCIAL" localSheetId="49">'Investors Equity'!$B$9:$F$9</definedName>
    <definedName name="AR_FINANCIAL" localSheetId="50">'Kentucky Central'!$B$9:$F$9</definedName>
    <definedName name="AR_FINANCIAL" localSheetId="51">'Land of Lincoln'!$B$9:$F$9</definedName>
    <definedName name="AR_FINANCIAL" localSheetId="52">Legion!$B$9:$F$9</definedName>
    <definedName name="AR_FINANCIAL" localSheetId="53">'Life Health America'!$B$9:$F$9</definedName>
    <definedName name="AR_FINANCIAL" localSheetId="54">'Lincoln Memorial'!$B$9:$F$9</definedName>
    <definedName name="AR_FINANCIAL" localSheetId="55">'London Pac'!$B$9:$F$9</definedName>
    <definedName name="AR_FINANCIAL" localSheetId="56">Lumbermens!$B$9:$F$9</definedName>
    <definedName name="AR_FINANCIAL" localSheetId="57">'Medical Savings'!$B$9:$F$9</definedName>
    <definedName name="AR_FINANCIAL" localSheetId="58">'Memorial Service'!$B$9:$F$9</definedName>
    <definedName name="AR_FINANCIAL" localSheetId="59">Midcontinent!$B$9:$F$9</definedName>
    <definedName name="AR_FINANCIAL" localSheetId="60">'Midwest Life'!$B$9:$F$9</definedName>
    <definedName name="AR_FINANCIAL" localSheetId="61">'Monarch Life'!$B$9:$F$9</definedName>
    <definedName name="AR_FINANCIAL" localSheetId="62">'Mutual Benefit'!$B$9:$F$9</definedName>
    <definedName name="AR_FINANCIAL" localSheetId="63">'Mutual Security'!$B$9:$F$9</definedName>
    <definedName name="AR_FINANCIAL" localSheetId="64">'National Affiliated'!$B$9:$F$9</definedName>
    <definedName name="AR_FINANCIAL" localSheetId="66">'National Heritage'!$B$9:$F$9</definedName>
    <definedName name="AR_FINANCIAL" localSheetId="67">'National States'!$B$9:$F$9</definedName>
    <definedName name="AR_FINANCIAL" localSheetId="65">'Natl American'!$B$9:$F$9</definedName>
    <definedName name="AR_FINANCIAL" localSheetId="68">'New Jersey Life'!$B$9:$F$9</definedName>
    <definedName name="AR_FINANCIAL" localSheetId="69">NNIC!$B$9:$F$9</definedName>
    <definedName name="AR_FINANCIAL" localSheetId="70">'Old Colony Life'!$B$9:$F$9</definedName>
    <definedName name="AR_FINANCIAL" localSheetId="71">'Old Faithful'!$B$9:$F$9</definedName>
    <definedName name="AR_FINANCIAL" localSheetId="72">'Pacific Standard'!$B$9:$F$9</definedName>
    <definedName name="AR_FINANCIAL" localSheetId="73">'Pen  Treaty'!$B$9:$F$9</definedName>
    <definedName name="AR_FINANCIAL" localSheetId="74">Reliance!$B$9:$F$9</definedName>
    <definedName name="AR_FINANCIAL" localSheetId="75">SeeChange!$B$9:$F$9</definedName>
    <definedName name="AR_FINANCIAL" localSheetId="76">'Senior American'!$B$9:$F$9</definedName>
    <definedName name="AR_FINANCIAL" localSheetId="77">Settlers!$B$9:$F$9</definedName>
    <definedName name="AR_FINANCIAL" localSheetId="78">Shenandoah!$B$9:$F$9</definedName>
    <definedName name="AR_FINANCIAL" localSheetId="79">'Standard Life IN'!$B$9:$F$9</definedName>
    <definedName name="AR_FINANCIAL" localSheetId="80">'States General'!$B$9:$F$9</definedName>
    <definedName name="AR_FINANCIAL" localSheetId="81">Statesman!$B$9:$F$9</definedName>
    <definedName name="AR_FINANCIAL" localSheetId="82">'Summit National'!$B$9:$F$9</definedName>
    <definedName name="AR_FINANCIAL" localSheetId="83">Supreme!$B$9:$F$9</definedName>
    <definedName name="AR_FINANCIAL" localSheetId="97">'Total Summary'!$B$9:$F$9</definedName>
    <definedName name="AR_FINANCIAL" localSheetId="84">Underwriters!$B$9:$F$9</definedName>
    <definedName name="AR_FINANCIAL" localSheetId="85">Unison!$B$9:$F$9</definedName>
    <definedName name="AR_FINANCIAL" localSheetId="86">'United Republic'!$B$9:$F$9</definedName>
    <definedName name="AR_FINANCIAL" localSheetId="87">'Universal Health Care'!$B$9:$F$9</definedName>
    <definedName name="AR_FINANCIAL" localSheetId="88">'Universal Life'!$B$9:$F$9</definedName>
    <definedName name="AR_FINANCIAL" localSheetId="89">Universe!$B$9:$F$9</definedName>
    <definedName name="AR_FINANCIAL" localSheetId="90">Villanova!$B$9:$F$9</definedName>
    <definedName name="AZ_FINANCIAL" localSheetId="0">'Alabama Life'!$B$8:$F$8</definedName>
    <definedName name="AZ_FINANCIAL" localSheetId="5">'Amer Life Asr'!$B$8:$F$8</definedName>
    <definedName name="AZ_FINANCIAL" localSheetId="7">'Amer Std Life Acc'!$B$8:$F$8</definedName>
    <definedName name="AZ_FINANCIAL" localSheetId="1">'American Chambers'!$B$8:$F$8</definedName>
    <definedName name="AZ_FINANCIAL" localSheetId="2">'American Community'!$B$8:$F$8</definedName>
    <definedName name="AZ_FINANCIAL" localSheetId="3">'American Educators'!$B$8:$F$8</definedName>
    <definedName name="AZ_FINANCIAL" localSheetId="4">'American Integrity'!$B$8:$F$8</definedName>
    <definedName name="AZ_FINANCIAL" localSheetId="6">'American Network'!$B$8:$F$8</definedName>
    <definedName name="AZ_FINANCIAL" localSheetId="8">AmerWstrn!$B$8:$F$8</definedName>
    <definedName name="AZ_FINANCIAL" localSheetId="9">'AMS Life'!$B$8:$F$8</definedName>
    <definedName name="AZ_FINANCIAL" localSheetId="10">'Andrew Jackson'!$B$8:$F$8</definedName>
    <definedName name="AZ_FINANCIAL" localSheetId="11">'Bankers Commercial'!$B$8:$F$8</definedName>
    <definedName name="AZ_FINANCIAL" localSheetId="12">Benicorp!$B$8:$F$8</definedName>
    <definedName name="AZ_FINANCIAL" localSheetId="13">'Booker T Washington'!$B$8:$F$8</definedName>
    <definedName name="AZ_FINANCIAL" localSheetId="14">Centennial!$B$8:$F$8</definedName>
    <definedName name="AZ_FINANCIAL" localSheetId="15">'Coastal States'!$B$8:$F$8</definedName>
    <definedName name="AZ_FINANCIAL" localSheetId="16">'Colorado Health'!$B$8:$F$8</definedName>
    <definedName name="AZ_FINANCIAL" localSheetId="17">'Compass (dbs Meritus)'!$B$8:$F$8</definedName>
    <definedName name="AZ_FINANCIAL" localSheetId="18">'Confed Life &amp; Annty (CLIAC)'!$B$8:$F$8</definedName>
    <definedName name="AZ_FINANCIAL" localSheetId="19">'Confed Life (CLIC)'!$B$8:$F$8</definedName>
    <definedName name="AZ_FINANCIAL" localSheetId="20">'Consolidated National'!$B$8:$F$8</definedName>
    <definedName name="AZ_FINANCIAL" localSheetId="21">'Consumers Choice'!$B$8:$F$8</definedName>
    <definedName name="AZ_FINANCIAL" localSheetId="22">'Consumers Mutual'!$B$8:$F$8</definedName>
    <definedName name="AZ_FINANCIAL" localSheetId="23">'Consumers United'!$B$8:$F$8</definedName>
    <definedName name="AZ_FINANCIAL" localSheetId="24">CoOportunity!$B$8:$F$8</definedName>
    <definedName name="AZ_FINANCIAL" localSheetId="25">'Coordinated Hlth'!$B$8:$F$8</definedName>
    <definedName name="AZ_FINANCIAL" localSheetId="26">'Corporate Life'!$B$8:$F$8</definedName>
    <definedName name="AZ_FINANCIAL" localSheetId="27">'Diamond Benefits'!$B$8:$F$8</definedName>
    <definedName name="AZ_FINANCIAL" localSheetId="28">'EBL Life'!$B$8:$F$8</definedName>
    <definedName name="AZ_FINANCIAL" localSheetId="30">ELNY!$B$8:$F$8</definedName>
    <definedName name="AZ_FINANCIAL" localSheetId="29">'Executive Life'!$B$8:$F$8</definedName>
    <definedName name="AZ_FINANCIAL" localSheetId="31">'Family Guaranty'!$B$8:$F$8</definedName>
    <definedName name="AZ_FINANCIAL" localSheetId="32">'Farmers &amp; Ranchers'!$B$8:$F$8</definedName>
    <definedName name="AZ_FINANCIAL" localSheetId="33">'Fidelity Bankers'!$B$8:$F$8</definedName>
    <definedName name="AZ_FINANCIAL" localSheetId="34">'Fidelity Mutual'!$B$8:$F$8</definedName>
    <definedName name="AZ_FINANCIAL" localSheetId="35">'First Capital'!$B$8:$F$8</definedName>
    <definedName name="AZ_FINANCIAL" localSheetId="36">'First Natl'!$B$8:$F$8</definedName>
    <definedName name="AZ_FINANCIAL" localSheetId="37">'First Natl (Thrnr)'!$B$8:$F$8</definedName>
    <definedName name="AZ_FINANCIAL" localSheetId="38">'Franklin American'!$B$8:$F$8</definedName>
    <definedName name="AZ_FINANCIAL" localSheetId="39">'Franklin Protective'!$B$8:$F$8</definedName>
    <definedName name="AZ_FINANCIAL" localSheetId="40">'Freelancers CO-OP'!$B$8:$F$8</definedName>
    <definedName name="AZ_FINANCIAL" localSheetId="41">'George Washington'!$B$8:$F$8</definedName>
    <definedName name="AZ_FINANCIAL" localSheetId="42">'Golden State'!$B$8:$F$8</definedName>
    <definedName name="AZ_FINANCIAL" localSheetId="43">'Guarantee Security'!$B$8:$F$8</definedName>
    <definedName name="AZ_FINANCIAL" localSheetId="44">HealthyCT!$B$8:$F$8</definedName>
    <definedName name="AZ_FINANCIAL" localSheetId="45">Imerica!$B$8:$F$8</definedName>
    <definedName name="AZ_FINANCIAL" localSheetId="46">'Inter-American'!$B$8:$F$8</definedName>
    <definedName name="AZ_FINANCIAL" localSheetId="47">'International Fin'!$B$8:$F$8</definedName>
    <definedName name="AZ_FINANCIAL" localSheetId="48">'Investment Life of America'!$B$8:$F$8</definedName>
    <definedName name="AZ_FINANCIAL" localSheetId="49">'Investors Equity'!$B$8:$F$8</definedName>
    <definedName name="AZ_FINANCIAL" localSheetId="50">'Kentucky Central'!$B$8:$F$8</definedName>
    <definedName name="AZ_FINANCIAL" localSheetId="51">'Land of Lincoln'!$B$8:$F$8</definedName>
    <definedName name="AZ_FINANCIAL" localSheetId="52">Legion!$B$8:$F$8</definedName>
    <definedName name="AZ_FINANCIAL" localSheetId="53">'Life Health America'!$B$8:$F$8</definedName>
    <definedName name="AZ_FINANCIAL" localSheetId="54">'Lincoln Memorial'!$B$8:$F$8</definedName>
    <definedName name="AZ_FINANCIAL" localSheetId="55">'London Pac'!$B$8:$F$8</definedName>
    <definedName name="AZ_FINANCIAL" localSheetId="56">Lumbermens!$B$8:$F$8</definedName>
    <definedName name="AZ_FINANCIAL" localSheetId="57">'Medical Savings'!$B$8:$F$8</definedName>
    <definedName name="AZ_FINANCIAL" localSheetId="58">'Memorial Service'!$B$8:$F$8</definedName>
    <definedName name="AZ_FINANCIAL" localSheetId="59">Midcontinent!$B$8:$F$8</definedName>
    <definedName name="AZ_FINANCIAL" localSheetId="60">'Midwest Life'!$B$8:$F$8</definedName>
    <definedName name="AZ_FINANCIAL" localSheetId="61">'Monarch Life'!$B$8:$F$8</definedName>
    <definedName name="AZ_FINANCIAL" localSheetId="62">'Mutual Benefit'!$B$8:$F$8</definedName>
    <definedName name="AZ_FINANCIAL" localSheetId="63">'Mutual Security'!$B$8:$F$8</definedName>
    <definedName name="AZ_FINANCIAL" localSheetId="64">'National Affiliated'!$B$8:$F$8</definedName>
    <definedName name="AZ_FINANCIAL" localSheetId="66">'National Heritage'!$B$8:$F$8</definedName>
    <definedName name="AZ_FINANCIAL" localSheetId="67">'National States'!$B$8:$F$8</definedName>
    <definedName name="AZ_FINANCIAL" localSheetId="65">'Natl American'!$B$8:$F$8</definedName>
    <definedName name="AZ_FINANCIAL" localSheetId="68">'New Jersey Life'!$B$8:$F$8</definedName>
    <definedName name="AZ_FINANCIAL" localSheetId="69">NNIC!$B$8:$F$8</definedName>
    <definedName name="AZ_FINANCIAL" localSheetId="70">'Old Colony Life'!$B$8:$F$8</definedName>
    <definedName name="AZ_FINANCIAL" localSheetId="71">'Old Faithful'!$B$8:$F$8</definedName>
    <definedName name="AZ_FINANCIAL" localSheetId="72">'Pacific Standard'!$B$8:$F$8</definedName>
    <definedName name="AZ_FINANCIAL" localSheetId="73">'Pen  Treaty'!$B$8:$F$8</definedName>
    <definedName name="AZ_FINANCIAL" localSheetId="74">Reliance!$B$8:$F$8</definedName>
    <definedName name="AZ_FINANCIAL" localSheetId="75">SeeChange!$B$8:$F$8</definedName>
    <definedName name="AZ_FINANCIAL" localSheetId="76">'Senior American'!$B$8:$F$8</definedName>
    <definedName name="AZ_FINANCIAL" localSheetId="77">Settlers!$B$8:$F$8</definedName>
    <definedName name="AZ_FINANCIAL" localSheetId="78">Shenandoah!$B$8:$F$8</definedName>
    <definedName name="AZ_FINANCIAL" localSheetId="79">'Standard Life IN'!$B$8:$F$8</definedName>
    <definedName name="AZ_FINANCIAL" localSheetId="80">'States General'!$B$8:$F$8</definedName>
    <definedName name="AZ_FINANCIAL" localSheetId="81">Statesman!$B$8:$F$8</definedName>
    <definedName name="AZ_FINANCIAL" localSheetId="82">'Summit National'!$B$8:$F$8</definedName>
    <definedName name="AZ_FINANCIAL" localSheetId="83">Supreme!$B$8:$F$8</definedName>
    <definedName name="AZ_FINANCIAL" localSheetId="97">'Total Summary'!$B$8:$F$8</definedName>
    <definedName name="AZ_FINANCIAL" localSheetId="84">Underwriters!$B$8:$F$8</definedName>
    <definedName name="AZ_FINANCIAL" localSheetId="85">Unison!$B$8:$F$8</definedName>
    <definedName name="AZ_FINANCIAL" localSheetId="86">'United Republic'!$B$8:$F$8</definedName>
    <definedName name="AZ_FINANCIAL" localSheetId="87">'Universal Health Care'!$B$8:$F$8</definedName>
    <definedName name="AZ_FINANCIAL" localSheetId="88">'Universal Life'!$B$8:$F$8</definedName>
    <definedName name="AZ_FINANCIAL" localSheetId="89">Universe!$B$8:$F$8</definedName>
    <definedName name="AZ_FINANCIAL" localSheetId="90">Villanova!$B$8:$F$8</definedName>
    <definedName name="CA_FINANCIAL" localSheetId="0">'Alabama Life'!$B$10:$F$10</definedName>
    <definedName name="CA_FINANCIAL" localSheetId="5">'Amer Life Asr'!$B$10:$F$10</definedName>
    <definedName name="CA_FINANCIAL" localSheetId="7">'Amer Std Life Acc'!$B$10:$F$10</definedName>
    <definedName name="CA_FINANCIAL" localSheetId="1">'American Chambers'!$B$10:$F$10</definedName>
    <definedName name="CA_FINANCIAL" localSheetId="2">'American Community'!$B$10:$F$10</definedName>
    <definedName name="CA_FINANCIAL" localSheetId="3">'American Educators'!$B$10:$F$10</definedName>
    <definedName name="CA_FINANCIAL" localSheetId="4">'American Integrity'!$B$10:$F$10</definedName>
    <definedName name="CA_FINANCIAL" localSheetId="6">'American Network'!$B$10:$F$10</definedName>
    <definedName name="CA_FINANCIAL" localSheetId="8">AmerWstrn!$B$10:$F$10</definedName>
    <definedName name="CA_FINANCIAL" localSheetId="9">'AMS Life'!$B$10:$F$10</definedName>
    <definedName name="CA_FINANCIAL" localSheetId="10">'Andrew Jackson'!$B$10:$F$10</definedName>
    <definedName name="CA_FINANCIAL" localSheetId="11">'Bankers Commercial'!$B$10:$F$10</definedName>
    <definedName name="CA_FINANCIAL" localSheetId="12">Benicorp!$B$10:$F$10</definedName>
    <definedName name="CA_FINANCIAL" localSheetId="13">'Booker T Washington'!$B$10:$F$10</definedName>
    <definedName name="CA_FINANCIAL" localSheetId="14">Centennial!$B$10:$F$10</definedName>
    <definedName name="CA_FINANCIAL" localSheetId="15">'Coastal States'!$B$10:$F$10</definedName>
    <definedName name="CA_FINANCIAL" localSheetId="16">'Colorado Health'!$B$10:$F$10</definedName>
    <definedName name="CA_FINANCIAL" localSheetId="17">'Compass (dbs Meritus)'!$B$10:$F$10</definedName>
    <definedName name="CA_FINANCIAL" localSheetId="18">'Confed Life &amp; Annty (CLIAC)'!$B$10:$F$10</definedName>
    <definedName name="CA_FINANCIAL" localSheetId="19">'Confed Life (CLIC)'!$B$10:$F$10</definedName>
    <definedName name="CA_FINANCIAL" localSheetId="20">'Consolidated National'!$B$10:$F$10</definedName>
    <definedName name="CA_FINANCIAL" localSheetId="21">'Consumers Choice'!$B$10:$F$10</definedName>
    <definedName name="CA_FINANCIAL" localSheetId="22">'Consumers Mutual'!$B$10:$F$10</definedName>
    <definedName name="CA_FINANCIAL" localSheetId="23">'Consumers United'!$B$10:$F$10</definedName>
    <definedName name="CA_FINANCIAL" localSheetId="24">CoOportunity!$B$10:$F$10</definedName>
    <definedName name="CA_FINANCIAL" localSheetId="25">'Coordinated Hlth'!$B$10:$F$10</definedName>
    <definedName name="CA_FINANCIAL" localSheetId="26">'Corporate Life'!$B$10:$F$10</definedName>
    <definedName name="CA_FINANCIAL" localSheetId="27">'Diamond Benefits'!$B$10:$F$10</definedName>
    <definedName name="CA_FINANCIAL" localSheetId="28">'EBL Life'!$B$10:$F$10</definedName>
    <definedName name="CA_FINANCIAL" localSheetId="30">ELNY!$B$10:$F$10</definedName>
    <definedName name="CA_FINANCIAL" localSheetId="29">'Executive Life'!$B$10:$F$10</definedName>
    <definedName name="CA_FINANCIAL" localSheetId="31">'Family Guaranty'!$B$10:$F$10</definedName>
    <definedName name="CA_FINANCIAL" localSheetId="32">'Farmers &amp; Ranchers'!$B$10:$F$10</definedName>
    <definedName name="CA_FINANCIAL" localSheetId="33">'Fidelity Bankers'!$B$10:$F$10</definedName>
    <definedName name="CA_FINANCIAL" localSheetId="34">'Fidelity Mutual'!$B$10:$F$10</definedName>
    <definedName name="CA_FINANCIAL" localSheetId="35">'First Capital'!$B$10:$F$10</definedName>
    <definedName name="CA_FINANCIAL" localSheetId="36">'First Natl'!$B$10:$F$10</definedName>
    <definedName name="CA_FINANCIAL" localSheetId="37">'First Natl (Thrnr)'!$B$10:$F$10</definedName>
    <definedName name="CA_FINANCIAL" localSheetId="38">'Franklin American'!$B$10:$F$10</definedName>
    <definedName name="CA_FINANCIAL" localSheetId="39">'Franklin Protective'!$B$10:$F$10</definedName>
    <definedName name="CA_FINANCIAL" localSheetId="40">'Freelancers CO-OP'!$B$10:$F$10</definedName>
    <definedName name="CA_FINANCIAL" localSheetId="41">'George Washington'!$B$10:$F$10</definedName>
    <definedName name="CA_FINANCIAL" localSheetId="42">'Golden State'!$B$10:$F$10</definedName>
    <definedName name="CA_FINANCIAL" localSheetId="43">'Guarantee Security'!$B$10:$F$10</definedName>
    <definedName name="CA_FINANCIAL" localSheetId="44">HealthyCT!$B$10:$F$10</definedName>
    <definedName name="CA_FINANCIAL" localSheetId="45">Imerica!$B$10:$F$10</definedName>
    <definedName name="CA_FINANCIAL" localSheetId="46">'Inter-American'!$B$10:$F$10</definedName>
    <definedName name="CA_FINANCIAL" localSheetId="47">'International Fin'!$B$10:$F$10</definedName>
    <definedName name="CA_FINANCIAL" localSheetId="48">'Investment Life of America'!$B$10:$F$10</definedName>
    <definedName name="CA_FINANCIAL" localSheetId="49">'Investors Equity'!$B$10:$F$10</definedName>
    <definedName name="CA_FINANCIAL" localSheetId="50">'Kentucky Central'!$B$10:$F$10</definedName>
    <definedName name="CA_FINANCIAL" localSheetId="51">'Land of Lincoln'!$B$10:$F$10</definedName>
    <definedName name="CA_FINANCIAL" localSheetId="52">Legion!$B$10:$F$10</definedName>
    <definedName name="CA_FINANCIAL" localSheetId="53">'Life Health America'!$B$10:$F$10</definedName>
    <definedName name="CA_FINANCIAL" localSheetId="54">'Lincoln Memorial'!$B$10:$F$10</definedName>
    <definedName name="CA_FINANCIAL" localSheetId="55">'London Pac'!$B$10:$F$10</definedName>
    <definedName name="CA_FINANCIAL" localSheetId="56">Lumbermens!$B$10:$F$10</definedName>
    <definedName name="CA_FINANCIAL" localSheetId="57">'Medical Savings'!$B$10:$F$10</definedName>
    <definedName name="CA_FINANCIAL" localSheetId="58">'Memorial Service'!$B$10:$F$10</definedName>
    <definedName name="CA_FINANCIAL" localSheetId="59">Midcontinent!$B$10:$F$10</definedName>
    <definedName name="CA_FINANCIAL" localSheetId="60">'Midwest Life'!$B$10:$F$10</definedName>
    <definedName name="CA_FINANCIAL" localSheetId="61">'Monarch Life'!$B$10:$F$10</definedName>
    <definedName name="CA_FINANCIAL" localSheetId="62">'Mutual Benefit'!$B$10:$F$10</definedName>
    <definedName name="CA_FINANCIAL" localSheetId="63">'Mutual Security'!$B$10:$F$10</definedName>
    <definedName name="CA_FINANCIAL" localSheetId="64">'National Affiliated'!$B$10:$F$10</definedName>
    <definedName name="CA_FINANCIAL" localSheetId="66">'National Heritage'!$B$10:$F$10</definedName>
    <definedName name="CA_FINANCIAL" localSheetId="67">'National States'!$B$10:$F$10</definedName>
    <definedName name="CA_FINANCIAL" localSheetId="65">'Natl American'!$B$10:$F$10</definedName>
    <definedName name="CA_FINANCIAL" localSheetId="68">'New Jersey Life'!$B$10:$F$10</definedName>
    <definedName name="CA_FINANCIAL" localSheetId="69">NNIC!$B$10:$F$10</definedName>
    <definedName name="CA_FINANCIAL" localSheetId="70">'Old Colony Life'!$B$10:$F$10</definedName>
    <definedName name="CA_FINANCIAL" localSheetId="71">'Old Faithful'!$B$10:$F$10</definedName>
    <definedName name="CA_FINANCIAL" localSheetId="72">'Pacific Standard'!$B$10:$F$10</definedName>
    <definedName name="CA_FINANCIAL" localSheetId="73">'Pen  Treaty'!$B$10:$F$10</definedName>
    <definedName name="CA_FINANCIAL" localSheetId="74">Reliance!$B$10:$F$10</definedName>
    <definedName name="CA_FINANCIAL" localSheetId="75">SeeChange!$B$10:$F$10</definedName>
    <definedName name="CA_FINANCIAL" localSheetId="76">'Senior American'!$B$10:$F$10</definedName>
    <definedName name="CA_FINANCIAL" localSheetId="77">Settlers!$B$10:$F$10</definedName>
    <definedName name="CA_FINANCIAL" localSheetId="78">Shenandoah!$B$10:$F$10</definedName>
    <definedName name="CA_FINANCIAL" localSheetId="79">'Standard Life IN'!$B$10:$F$10</definedName>
    <definedName name="CA_FINANCIAL" localSheetId="80">'States General'!$B$10:$F$10</definedName>
    <definedName name="CA_FINANCIAL" localSheetId="81">Statesman!$B$10:$F$10</definedName>
    <definedName name="CA_FINANCIAL" localSheetId="82">'Summit National'!$B$10:$F$10</definedName>
    <definedName name="CA_FINANCIAL" localSheetId="83">Supreme!$B$10:$F$10</definedName>
    <definedName name="CA_FINANCIAL" localSheetId="97">'Total Summary'!$B$10:$F$10</definedName>
    <definedName name="CA_FINANCIAL" localSheetId="84">Underwriters!$B$10:$F$10</definedName>
    <definedName name="CA_FINANCIAL" localSheetId="85">Unison!$B$10:$F$10</definedName>
    <definedName name="CA_FINANCIAL" localSheetId="86">'United Republic'!$B$10:$F$10</definedName>
    <definedName name="CA_FINANCIAL" localSheetId="87">'Universal Health Care'!$B$10:$F$10</definedName>
    <definedName name="CA_FINANCIAL" localSheetId="88">'Universal Life'!$B$10:$F$10</definedName>
    <definedName name="CA_FINANCIAL" localSheetId="89">Universe!$B$10:$F$10</definedName>
    <definedName name="CA_FINANCIAL" localSheetId="90">Villanova!$B$10:$F$10</definedName>
    <definedName name="CL_ALLOC_CALLED" localSheetId="91">Summary!$V$23:$V$45</definedName>
    <definedName name="CL_ALLOC_REFUNDED" localSheetId="91">Summary!$W$23:$W$45</definedName>
    <definedName name="CL_ALLOCATED" localSheetId="91">Summary!$I$23:$I$45</definedName>
    <definedName name="CL_CHANGE" localSheetId="91">Summary!$P$23:$P$45</definedName>
    <definedName name="CL_HEALTH" localSheetId="91">Summary!$J$23:$J$45</definedName>
    <definedName name="CL_HEALTH_CALLED" localSheetId="91">Summary!$Y$23:$Y$45</definedName>
    <definedName name="CL_HEALTH_REFUNDED" localSheetId="91">Summary!$Z$23:$Z$45</definedName>
    <definedName name="CL_LIFE" localSheetId="91">Summary!$H$23:$H$45</definedName>
    <definedName name="CL_LIFE_CALLED" localSheetId="91">Summary!$S$23:$S$45</definedName>
    <definedName name="CL_LIFE_REFUNDED" localSheetId="91">Summary!$T$23:$T$45</definedName>
    <definedName name="CL_LTC" localSheetId="91">Summary!$L$23:$L$45</definedName>
    <definedName name="CL_RECON" localSheetId="91">Summary!$N$23:$N$45</definedName>
    <definedName name="CL_TOTAL" localSheetId="91">Summary!$M$23:$M$45</definedName>
    <definedName name="CL_TOTAL_PREV" localSheetId="91">Summary!$O$23:$O$45</definedName>
    <definedName name="CL_UNALLOC_CALLED" localSheetId="91">Summary!$AB$23:$AB$45</definedName>
    <definedName name="CL_UNALLOC_REFUNDED" localSheetId="91">Summary!$AC$23:$AC$45</definedName>
    <definedName name="CL_UNALLOCATED" localSheetId="91">Summary!$K$23:$K$45</definedName>
    <definedName name="CO_FINANCIAL" localSheetId="0">'Alabama Life'!$B$11:$F$11</definedName>
    <definedName name="CO_FINANCIAL" localSheetId="5">'Amer Life Asr'!$B$11:$F$11</definedName>
    <definedName name="CO_FINANCIAL" localSheetId="7">'Amer Std Life Acc'!$B$11:$F$11</definedName>
    <definedName name="CO_FINANCIAL" localSheetId="1">'American Chambers'!$B$11:$F$11</definedName>
    <definedName name="CO_FINANCIAL" localSheetId="2">'American Community'!$B$11:$F$11</definedName>
    <definedName name="CO_FINANCIAL" localSheetId="3">'American Educators'!$B$11:$F$11</definedName>
    <definedName name="CO_FINANCIAL" localSheetId="4">'American Integrity'!$B$11:$F$11</definedName>
    <definedName name="CO_FINANCIAL" localSheetId="6">'American Network'!$B$11:$F$11</definedName>
    <definedName name="CO_FINANCIAL" localSheetId="8">AmerWstrn!$B$11:$F$11</definedName>
    <definedName name="CO_FINANCIAL" localSheetId="9">'AMS Life'!$B$11:$F$11</definedName>
    <definedName name="CO_FINANCIAL" localSheetId="10">'Andrew Jackson'!$B$11:$F$11</definedName>
    <definedName name="CO_FINANCIAL" localSheetId="11">'Bankers Commercial'!$B$11:$F$11</definedName>
    <definedName name="CO_FINANCIAL" localSheetId="12">Benicorp!$B$11:$F$11</definedName>
    <definedName name="CO_FINANCIAL" localSheetId="13">'Booker T Washington'!$B$11:$F$11</definedName>
    <definedName name="CO_FINANCIAL" localSheetId="14">Centennial!$B$11:$F$11</definedName>
    <definedName name="CO_FINANCIAL" localSheetId="15">'Coastal States'!$B$11:$F$11</definedName>
    <definedName name="CO_FINANCIAL" localSheetId="16">'Colorado Health'!$B$11:$F$11</definedName>
    <definedName name="CO_FINANCIAL" localSheetId="17">'Compass (dbs Meritus)'!$B$11:$F$11</definedName>
    <definedName name="CO_FINANCIAL" localSheetId="18">'Confed Life &amp; Annty (CLIAC)'!$B$11:$F$11</definedName>
    <definedName name="CO_FINANCIAL" localSheetId="19">'Confed Life (CLIC)'!$B$11:$F$11</definedName>
    <definedName name="CO_FINANCIAL" localSheetId="20">'Consolidated National'!$B$11:$F$11</definedName>
    <definedName name="CO_FINANCIAL" localSheetId="21">'Consumers Choice'!$B$11:$F$11</definedName>
    <definedName name="CO_FINANCIAL" localSheetId="22">'Consumers Mutual'!$B$11:$F$11</definedName>
    <definedName name="CO_FINANCIAL" localSheetId="23">'Consumers United'!$B$11:$F$11</definedName>
    <definedName name="CO_FINANCIAL" localSheetId="24">CoOportunity!$B$11:$F$11</definedName>
    <definedName name="CO_FINANCIAL" localSheetId="25">'Coordinated Hlth'!$B$11:$F$11</definedName>
    <definedName name="CO_FINANCIAL" localSheetId="26">'Corporate Life'!$B$11:$F$11</definedName>
    <definedName name="CO_FINANCIAL" localSheetId="27">'Diamond Benefits'!$B$11:$F$11</definedName>
    <definedName name="CO_FINANCIAL" localSheetId="28">'EBL Life'!$B$11:$F$11</definedName>
    <definedName name="CO_FINANCIAL" localSheetId="30">ELNY!$B$11:$F$11</definedName>
    <definedName name="CO_FINANCIAL" localSheetId="29">'Executive Life'!$B$11:$F$11</definedName>
    <definedName name="CO_FINANCIAL" localSheetId="31">'Family Guaranty'!$B$11:$F$11</definedName>
    <definedName name="CO_FINANCIAL" localSheetId="32">'Farmers &amp; Ranchers'!$B$11:$F$11</definedName>
    <definedName name="CO_FINANCIAL" localSheetId="33">'Fidelity Bankers'!$B$11:$F$11</definedName>
    <definedName name="CO_FINANCIAL" localSheetId="34">'Fidelity Mutual'!$B$11:$F$11</definedName>
    <definedName name="CO_FINANCIAL" localSheetId="35">'First Capital'!$B$11:$F$11</definedName>
    <definedName name="CO_FINANCIAL" localSheetId="36">'First Natl'!$B$11:$F$11</definedName>
    <definedName name="CO_FINANCIAL" localSheetId="37">'First Natl (Thrnr)'!$B$11:$F$11</definedName>
    <definedName name="CO_FINANCIAL" localSheetId="38">'Franklin American'!$B$11:$F$11</definedName>
    <definedName name="CO_FINANCIAL" localSheetId="39">'Franklin Protective'!$B$11:$F$11</definedName>
    <definedName name="CO_FINANCIAL" localSheetId="40">'Freelancers CO-OP'!$B$11:$F$11</definedName>
    <definedName name="CO_FINANCIAL" localSheetId="41">'George Washington'!$B$11:$F$11</definedName>
    <definedName name="CO_FINANCIAL" localSheetId="42">'Golden State'!$B$11:$F$11</definedName>
    <definedName name="CO_FINANCIAL" localSheetId="43">'Guarantee Security'!$B$11:$F$11</definedName>
    <definedName name="CO_FINANCIAL" localSheetId="44">HealthyCT!$B$11:$F$11</definedName>
    <definedName name="CO_FINANCIAL" localSheetId="45">Imerica!$B$11:$F$11</definedName>
    <definedName name="CO_FINANCIAL" localSheetId="46">'Inter-American'!$B$11:$F$11</definedName>
    <definedName name="CO_FINANCIAL" localSheetId="47">'International Fin'!$B$11:$F$11</definedName>
    <definedName name="CO_FINANCIAL" localSheetId="48">'Investment Life of America'!$B$11:$F$11</definedName>
    <definedName name="CO_FINANCIAL" localSheetId="49">'Investors Equity'!$B$11:$F$11</definedName>
    <definedName name="CO_FINANCIAL" localSheetId="50">'Kentucky Central'!$B$11:$F$11</definedName>
    <definedName name="CO_FINANCIAL" localSheetId="51">'Land of Lincoln'!$B$11:$F$11</definedName>
    <definedName name="CO_FINANCIAL" localSheetId="52">Legion!$B$11:$F$11</definedName>
    <definedName name="CO_FINANCIAL" localSheetId="53">'Life Health America'!$B$11:$F$11</definedName>
    <definedName name="CO_FINANCIAL" localSheetId="54">'Lincoln Memorial'!$B$11:$F$11</definedName>
    <definedName name="CO_FINANCIAL" localSheetId="55">'London Pac'!$B$11:$F$11</definedName>
    <definedName name="CO_FINANCIAL" localSheetId="56">Lumbermens!$B$11:$F$11</definedName>
    <definedName name="CO_FINANCIAL" localSheetId="57">'Medical Savings'!$B$11:$F$11</definedName>
    <definedName name="CO_FINANCIAL" localSheetId="58">'Memorial Service'!$B$11:$F$11</definedName>
    <definedName name="CO_FINANCIAL" localSheetId="59">Midcontinent!$B$11:$F$11</definedName>
    <definedName name="CO_FINANCIAL" localSheetId="60">'Midwest Life'!$B$11:$F$11</definedName>
    <definedName name="CO_FINANCIAL" localSheetId="61">'Monarch Life'!$B$11:$F$11</definedName>
    <definedName name="CO_FINANCIAL" localSheetId="62">'Mutual Benefit'!$B$11:$F$11</definedName>
    <definedName name="CO_FINANCIAL" localSheetId="63">'Mutual Security'!$B$11:$F$11</definedName>
    <definedName name="CO_FINANCIAL" localSheetId="64">'National Affiliated'!$B$11:$F$11</definedName>
    <definedName name="CO_FINANCIAL" localSheetId="66">'National Heritage'!$B$11:$F$11</definedName>
    <definedName name="CO_FINANCIAL" localSheetId="67">'National States'!$B$11:$F$11</definedName>
    <definedName name="CO_FINANCIAL" localSheetId="65">'Natl American'!$B$11:$F$11</definedName>
    <definedName name="CO_FINANCIAL" localSheetId="68">'New Jersey Life'!$B$11:$F$11</definedName>
    <definedName name="CO_FINANCIAL" localSheetId="69">NNIC!$B$11:$F$11</definedName>
    <definedName name="CO_FINANCIAL" localSheetId="70">'Old Colony Life'!$B$11:$F$11</definedName>
    <definedName name="CO_FINANCIAL" localSheetId="71">'Old Faithful'!$B$11:$F$11</definedName>
    <definedName name="CO_FINANCIAL" localSheetId="72">'Pacific Standard'!$B$11:$F$11</definedName>
    <definedName name="CO_FINANCIAL" localSheetId="73">'Pen  Treaty'!$B$11:$F$11</definedName>
    <definedName name="CO_FINANCIAL" localSheetId="74">Reliance!$B$11:$F$11</definedName>
    <definedName name="CO_FINANCIAL" localSheetId="75">SeeChange!$B$11:$F$11</definedName>
    <definedName name="CO_FINANCIAL" localSheetId="76">'Senior American'!$B$11:$F$11</definedName>
    <definedName name="CO_FINANCIAL" localSheetId="77">Settlers!$B$11:$F$11</definedName>
    <definedName name="CO_FINANCIAL" localSheetId="78">Shenandoah!$B$11:$F$11</definedName>
    <definedName name="CO_FINANCIAL" localSheetId="79">'Standard Life IN'!$B$11:$F$11</definedName>
    <definedName name="CO_FINANCIAL" localSheetId="80">'States General'!$B$11:$F$11</definedName>
    <definedName name="CO_FINANCIAL" localSheetId="81">Statesman!$B$11:$F$11</definedName>
    <definedName name="CO_FINANCIAL" localSheetId="82">'Summit National'!$B$11:$F$11</definedName>
    <definedName name="CO_FINANCIAL" localSheetId="83">Supreme!$B$11:$F$11</definedName>
    <definedName name="CO_FINANCIAL" localSheetId="97">'Total Summary'!$B$11:$F$11</definedName>
    <definedName name="CO_FINANCIAL" localSheetId="84">Underwriters!$B$11:$F$11</definedName>
    <definedName name="CO_FINANCIAL" localSheetId="85">Unison!$B$11:$F$11</definedName>
    <definedName name="CO_FINANCIAL" localSheetId="86">'United Republic'!$B$11:$F$11</definedName>
    <definedName name="CO_FINANCIAL" localSheetId="87">'Universal Health Care'!$B$11:$F$11</definedName>
    <definedName name="CO_FINANCIAL" localSheetId="88">'Universal Life'!$B$11:$F$11</definedName>
    <definedName name="CO_FINANCIAL" localSheetId="89">Universe!$B$11:$F$11</definedName>
    <definedName name="CO_FINANCIAL" localSheetId="90">Villanova!$B$11:$F$11</definedName>
    <definedName name="CT_FINANCIAL" localSheetId="0">'Alabama Life'!$B$12:$F$12</definedName>
    <definedName name="CT_FINANCIAL" localSheetId="5">'Amer Life Asr'!$B$12:$F$12</definedName>
    <definedName name="CT_FINANCIAL" localSheetId="7">'Amer Std Life Acc'!$B$12:$F$12</definedName>
    <definedName name="CT_FINANCIAL" localSheetId="1">'American Chambers'!$B$12:$F$12</definedName>
    <definedName name="CT_FINANCIAL" localSheetId="2">'American Community'!$B$12:$F$12</definedName>
    <definedName name="CT_FINANCIAL" localSheetId="3">'American Educators'!$B$12:$F$12</definedName>
    <definedName name="CT_FINANCIAL" localSheetId="4">'American Integrity'!$B$12:$F$12</definedName>
    <definedName name="CT_FINANCIAL" localSheetId="6">'American Network'!$B$12:$F$12</definedName>
    <definedName name="CT_FINANCIAL" localSheetId="8">AmerWstrn!$B$12:$F$12</definedName>
    <definedName name="CT_FINANCIAL" localSheetId="9">'AMS Life'!$B$12:$F$12</definedName>
    <definedName name="CT_FINANCIAL" localSheetId="10">'Andrew Jackson'!$B$12:$F$12</definedName>
    <definedName name="CT_FINANCIAL" localSheetId="11">'Bankers Commercial'!$B$12:$F$12</definedName>
    <definedName name="CT_FINANCIAL" localSheetId="12">Benicorp!$B$12:$F$12</definedName>
    <definedName name="CT_FINANCIAL" localSheetId="13">'Booker T Washington'!$B$12:$F$12</definedName>
    <definedName name="CT_FINANCIAL" localSheetId="14">Centennial!$B$12:$F$12</definedName>
    <definedName name="CT_FINANCIAL" localSheetId="15">'Coastal States'!$B$12:$F$12</definedName>
    <definedName name="CT_FINANCIAL" localSheetId="16">'Colorado Health'!$B$12:$F$12</definedName>
    <definedName name="CT_FINANCIAL" localSheetId="17">'Compass (dbs Meritus)'!$B$12:$F$12</definedName>
    <definedName name="CT_FINANCIAL" localSheetId="18">'Confed Life &amp; Annty (CLIAC)'!$B$12:$F$12</definedName>
    <definedName name="CT_FINANCIAL" localSheetId="19">'Confed Life (CLIC)'!$B$12:$F$12</definedName>
    <definedName name="CT_FINANCIAL" localSheetId="20">'Consolidated National'!$B$12:$F$12</definedName>
    <definedName name="CT_FINANCIAL" localSheetId="21">'Consumers Choice'!$B$12:$F$12</definedName>
    <definedName name="CT_FINANCIAL" localSheetId="22">'Consumers Mutual'!$B$12:$F$12</definedName>
    <definedName name="CT_FINANCIAL" localSheetId="23">'Consumers United'!$B$12:$F$12</definedName>
    <definedName name="CT_FINANCIAL" localSheetId="24">CoOportunity!$B$12:$F$12</definedName>
    <definedName name="CT_FINANCIAL" localSheetId="25">'Coordinated Hlth'!$B$12:$F$12</definedName>
    <definedName name="CT_FINANCIAL" localSheetId="26">'Corporate Life'!$B$12:$F$12</definedName>
    <definedName name="CT_FINANCIAL" localSheetId="27">'Diamond Benefits'!$B$12:$F$12</definedName>
    <definedName name="CT_FINANCIAL" localSheetId="28">'EBL Life'!$B$12:$F$12</definedName>
    <definedName name="CT_FINANCIAL" localSheetId="30">ELNY!$B$12:$F$12</definedName>
    <definedName name="CT_FINANCIAL" localSheetId="29">'Executive Life'!$B$12:$F$12</definedName>
    <definedName name="CT_FINANCIAL" localSheetId="31">'Family Guaranty'!$B$12:$F$12</definedName>
    <definedName name="CT_FINANCIAL" localSheetId="32">'Farmers &amp; Ranchers'!$B$12:$F$12</definedName>
    <definedName name="CT_FINANCIAL" localSheetId="33">'Fidelity Bankers'!$B$12:$F$12</definedName>
    <definedName name="CT_FINANCIAL" localSheetId="34">'Fidelity Mutual'!$B$12:$F$12</definedName>
    <definedName name="CT_FINANCIAL" localSheetId="35">'First Capital'!$B$12:$F$12</definedName>
    <definedName name="CT_FINANCIAL" localSheetId="36">'First Natl'!$B$12:$F$12</definedName>
    <definedName name="CT_FINANCIAL" localSheetId="37">'First Natl (Thrnr)'!$B$12:$F$12</definedName>
    <definedName name="CT_FINANCIAL" localSheetId="38">'Franklin American'!$B$12:$F$12</definedName>
    <definedName name="CT_FINANCIAL" localSheetId="39">'Franklin Protective'!$B$12:$F$12</definedName>
    <definedName name="CT_FINANCIAL" localSheetId="40">'Freelancers CO-OP'!$B$12:$F$12</definedName>
    <definedName name="CT_FINANCIAL" localSheetId="41">'George Washington'!$B$12:$F$12</definedName>
    <definedName name="CT_FINANCIAL" localSheetId="42">'Golden State'!$B$12:$F$12</definedName>
    <definedName name="CT_FINANCIAL" localSheetId="43">'Guarantee Security'!$B$12:$F$12</definedName>
    <definedName name="CT_FINANCIAL" localSheetId="44">HealthyCT!$B$12:$F$12</definedName>
    <definedName name="CT_FINANCIAL" localSheetId="45">Imerica!$B$12:$F$12</definedName>
    <definedName name="CT_FINANCIAL" localSheetId="46">'Inter-American'!$B$12:$F$12</definedName>
    <definedName name="CT_FINANCIAL" localSheetId="47">'International Fin'!$B$12:$F$12</definedName>
    <definedName name="CT_FINANCIAL" localSheetId="48">'Investment Life of America'!$B$12:$F$12</definedName>
    <definedName name="CT_FINANCIAL" localSheetId="49">'Investors Equity'!$B$12:$F$12</definedName>
    <definedName name="CT_FINANCIAL" localSheetId="50">'Kentucky Central'!$B$12:$F$12</definedName>
    <definedName name="CT_FINANCIAL" localSheetId="51">'Land of Lincoln'!$B$12:$F$12</definedName>
    <definedName name="CT_FINANCIAL" localSheetId="52">Legion!$B$12:$F$12</definedName>
    <definedName name="CT_FINANCIAL" localSheetId="53">'Life Health America'!$B$12:$F$12</definedName>
    <definedName name="CT_FINANCIAL" localSheetId="54">'Lincoln Memorial'!$B$12:$F$12</definedName>
    <definedName name="CT_FINANCIAL" localSheetId="55">'London Pac'!$B$12:$F$12</definedName>
    <definedName name="CT_FINANCIAL" localSheetId="56">Lumbermens!$B$12:$F$12</definedName>
    <definedName name="CT_FINANCIAL" localSheetId="57">'Medical Savings'!$B$12:$F$12</definedName>
    <definedName name="CT_FINANCIAL" localSheetId="58">'Memorial Service'!$B$12:$F$12</definedName>
    <definedName name="CT_FINANCIAL" localSheetId="59">Midcontinent!$B$12:$F$12</definedName>
    <definedName name="CT_FINANCIAL" localSheetId="60">'Midwest Life'!$B$12:$F$12</definedName>
    <definedName name="CT_FINANCIAL" localSheetId="61">'Monarch Life'!$B$12:$F$12</definedName>
    <definedName name="CT_FINANCIAL" localSheetId="62">'Mutual Benefit'!$B$12:$F$12</definedName>
    <definedName name="CT_FINANCIAL" localSheetId="63">'Mutual Security'!$B$12:$F$12</definedName>
    <definedName name="CT_FINANCIAL" localSheetId="64">'National Affiliated'!$B$12:$F$12</definedName>
    <definedName name="CT_FINANCIAL" localSheetId="66">'National Heritage'!$B$12:$F$12</definedName>
    <definedName name="CT_FINANCIAL" localSheetId="67">'National States'!$B$12:$F$12</definedName>
    <definedName name="CT_FINANCIAL" localSheetId="65">'Natl American'!$B$12:$F$12</definedName>
    <definedName name="CT_FINANCIAL" localSheetId="68">'New Jersey Life'!$B$12:$F$12</definedName>
    <definedName name="CT_FINANCIAL" localSheetId="69">NNIC!$B$12:$F$12</definedName>
    <definedName name="CT_FINANCIAL" localSheetId="70">'Old Colony Life'!$B$12:$F$12</definedName>
    <definedName name="CT_FINANCIAL" localSheetId="71">'Old Faithful'!$B$12:$F$12</definedName>
    <definedName name="CT_FINANCIAL" localSheetId="72">'Pacific Standard'!$B$12:$F$12</definedName>
    <definedName name="CT_FINANCIAL" localSheetId="73">'Pen  Treaty'!$B$12:$F$12</definedName>
    <definedName name="CT_FINANCIAL" localSheetId="74">Reliance!$B$12:$F$12</definedName>
    <definedName name="CT_FINANCIAL" localSheetId="75">SeeChange!$B$12:$F$12</definedName>
    <definedName name="CT_FINANCIAL" localSheetId="76">'Senior American'!$B$12:$F$12</definedName>
    <definedName name="CT_FINANCIAL" localSheetId="77">Settlers!$B$12:$F$12</definedName>
    <definedName name="CT_FINANCIAL" localSheetId="78">Shenandoah!$B$12:$F$12</definedName>
    <definedName name="CT_FINANCIAL" localSheetId="79">'Standard Life IN'!$B$12:$F$12</definedName>
    <definedName name="CT_FINANCIAL" localSheetId="80">'States General'!$B$12:$F$12</definedName>
    <definedName name="CT_FINANCIAL" localSheetId="81">Statesman!$B$12:$F$12</definedName>
    <definedName name="CT_FINANCIAL" localSheetId="82">'Summit National'!$B$12:$F$12</definedName>
    <definedName name="CT_FINANCIAL" localSheetId="83">Supreme!$B$12:$F$12</definedName>
    <definedName name="CT_FINANCIAL" localSheetId="97">'Total Summary'!$B$12:$F$12</definedName>
    <definedName name="CT_FINANCIAL" localSheetId="84">Underwriters!$B$12:$F$12</definedName>
    <definedName name="CT_FINANCIAL" localSheetId="85">Unison!$B$12:$F$12</definedName>
    <definedName name="CT_FINANCIAL" localSheetId="86">'United Republic'!$B$12:$F$12</definedName>
    <definedName name="CT_FINANCIAL" localSheetId="87">'Universal Health Care'!$B$12:$F$12</definedName>
    <definedName name="CT_FINANCIAL" localSheetId="88">'Universal Life'!$B$12:$F$12</definedName>
    <definedName name="CT_FINANCIAL" localSheetId="89">Universe!$B$12:$F$12</definedName>
    <definedName name="CT_FINANCIAL" localSheetId="90">Villanova!$B$12:$F$12</definedName>
    <definedName name="DC_FINANCIAL" localSheetId="0">'Alabama Life'!$B$14:$F$14</definedName>
    <definedName name="DC_FINANCIAL" localSheetId="5">'Amer Life Asr'!$B$14:$F$14</definedName>
    <definedName name="DC_FINANCIAL" localSheetId="7">'Amer Std Life Acc'!$B$14:$F$14</definedName>
    <definedName name="DC_FINANCIAL" localSheetId="1">'American Chambers'!$B$14:$F$14</definedName>
    <definedName name="DC_FINANCIAL" localSheetId="2">'American Community'!$B$14:$F$14</definedName>
    <definedName name="DC_FINANCIAL" localSheetId="3">'American Educators'!$B$14:$F$14</definedName>
    <definedName name="DC_FINANCIAL" localSheetId="4">'American Integrity'!$B$14:$F$14</definedName>
    <definedName name="DC_FINANCIAL" localSheetId="6">'American Network'!$B$14:$F$14</definedName>
    <definedName name="DC_FINANCIAL" localSheetId="8">AmerWstrn!$B$14:$F$14</definedName>
    <definedName name="DC_FINANCIAL" localSheetId="9">'AMS Life'!$B$14:$F$14</definedName>
    <definedName name="DC_FINANCIAL" localSheetId="10">'Andrew Jackson'!$B$14:$F$14</definedName>
    <definedName name="DC_FINANCIAL" localSheetId="11">'Bankers Commercial'!$B$14:$F$14</definedName>
    <definedName name="DC_FINANCIAL" localSheetId="12">Benicorp!$B$14:$F$14</definedName>
    <definedName name="DC_FINANCIAL" localSheetId="13">'Booker T Washington'!$B$14:$F$14</definedName>
    <definedName name="DC_FINANCIAL" localSheetId="14">Centennial!$B$14:$F$14</definedName>
    <definedName name="DC_FINANCIAL" localSheetId="15">'Coastal States'!$B$14:$F$14</definedName>
    <definedName name="DC_FINANCIAL" localSheetId="16">'Colorado Health'!$B$14:$F$14</definedName>
    <definedName name="DC_FINANCIAL" localSheetId="17">'Compass (dbs Meritus)'!$B$14:$F$14</definedName>
    <definedName name="DC_FINANCIAL" localSheetId="18">'Confed Life &amp; Annty (CLIAC)'!$B$14:$F$14</definedName>
    <definedName name="DC_FINANCIAL" localSheetId="19">'Confed Life (CLIC)'!$B$14:$F$14</definedName>
    <definedName name="DC_FINANCIAL" localSheetId="20">'Consolidated National'!$B$14:$F$14</definedName>
    <definedName name="DC_FINANCIAL" localSheetId="21">'Consumers Choice'!$B$14:$F$14</definedName>
    <definedName name="DC_FINANCIAL" localSheetId="22">'Consumers Mutual'!$B$14:$F$14</definedName>
    <definedName name="DC_FINANCIAL" localSheetId="23">'Consumers United'!$B$14:$F$14</definedName>
    <definedName name="DC_FINANCIAL" localSheetId="24">CoOportunity!$B$14:$F$14</definedName>
    <definedName name="DC_FINANCIAL" localSheetId="25">'Coordinated Hlth'!$B$14:$F$14</definedName>
    <definedName name="DC_FINANCIAL" localSheetId="26">'Corporate Life'!$B$14:$F$14</definedName>
    <definedName name="DC_FINANCIAL" localSheetId="27">'Diamond Benefits'!$B$14:$F$14</definedName>
    <definedName name="DC_FINANCIAL" localSheetId="28">'EBL Life'!$B$14:$F$14</definedName>
    <definedName name="DC_FINANCIAL" localSheetId="30">ELNY!$B$14:$F$14</definedName>
    <definedName name="DC_FINANCIAL" localSheetId="29">'Executive Life'!$B$14:$F$14</definedName>
    <definedName name="DC_FINANCIAL" localSheetId="31">'Family Guaranty'!$B$14:$F$14</definedName>
    <definedName name="DC_FINANCIAL" localSheetId="32">'Farmers &amp; Ranchers'!$B$14:$F$14</definedName>
    <definedName name="DC_FINANCIAL" localSheetId="33">'Fidelity Bankers'!$B$14:$F$14</definedName>
    <definedName name="DC_FINANCIAL" localSheetId="34">'Fidelity Mutual'!$B$14:$F$14</definedName>
    <definedName name="DC_FINANCIAL" localSheetId="35">'First Capital'!$B$14:$F$14</definedName>
    <definedName name="DC_FINANCIAL" localSheetId="36">'First Natl'!$B$14:$F$14</definedName>
    <definedName name="DC_FINANCIAL" localSheetId="37">'First Natl (Thrnr)'!$B$14:$F$14</definedName>
    <definedName name="DC_FINANCIAL" localSheetId="38">'Franklin American'!$B$14:$F$14</definedName>
    <definedName name="DC_FINANCIAL" localSheetId="39">'Franklin Protective'!$B$14:$F$14</definedName>
    <definedName name="DC_FINANCIAL" localSheetId="40">'Freelancers CO-OP'!$B$14:$F$14</definedName>
    <definedName name="DC_FINANCIAL" localSheetId="41">'George Washington'!$B$14:$F$14</definedName>
    <definedName name="DC_FINANCIAL" localSheetId="42">'Golden State'!$B$14:$F$14</definedName>
    <definedName name="DC_FINANCIAL" localSheetId="43">'Guarantee Security'!$B$14:$F$14</definedName>
    <definedName name="DC_FINANCIAL" localSheetId="44">HealthyCT!$B$14:$F$14</definedName>
    <definedName name="DC_FINANCIAL" localSheetId="45">Imerica!$B$14:$F$14</definedName>
    <definedName name="DC_FINANCIAL" localSheetId="46">'Inter-American'!$B$14:$F$14</definedName>
    <definedName name="DC_FINANCIAL" localSheetId="47">'International Fin'!$B$14:$F$14</definedName>
    <definedName name="DC_FINANCIAL" localSheetId="48">'Investment Life of America'!$B$14:$F$14</definedName>
    <definedName name="DC_FINANCIAL" localSheetId="49">'Investors Equity'!$B$14:$F$14</definedName>
    <definedName name="DC_FINANCIAL" localSheetId="50">'Kentucky Central'!$B$14:$F$14</definedName>
    <definedName name="DC_FINANCIAL" localSheetId="51">'Land of Lincoln'!$B$14:$F$14</definedName>
    <definedName name="DC_FINANCIAL" localSheetId="52">Legion!$B$14:$F$14</definedName>
    <definedName name="DC_FINANCIAL" localSheetId="53">'Life Health America'!$B$14:$F$14</definedName>
    <definedName name="DC_FINANCIAL" localSheetId="54">'Lincoln Memorial'!$B$14:$F$14</definedName>
    <definedName name="DC_FINANCIAL" localSheetId="55">'London Pac'!$B$14:$F$14</definedName>
    <definedName name="DC_FINANCIAL" localSheetId="56">Lumbermens!$B$14:$F$14</definedName>
    <definedName name="DC_FINANCIAL" localSheetId="57">'Medical Savings'!$B$14:$F$14</definedName>
    <definedName name="DC_FINANCIAL" localSheetId="58">'Memorial Service'!$B$14:$F$14</definedName>
    <definedName name="DC_FINANCIAL" localSheetId="59">Midcontinent!$B$14:$F$14</definedName>
    <definedName name="DC_FINANCIAL" localSheetId="60">'Midwest Life'!$B$14:$F$14</definedName>
    <definedName name="DC_FINANCIAL" localSheetId="61">'Monarch Life'!$B$14:$F$14</definedName>
    <definedName name="DC_FINANCIAL" localSheetId="62">'Mutual Benefit'!$B$14:$F$14</definedName>
    <definedName name="DC_FINANCIAL" localSheetId="63">'Mutual Security'!$B$14:$F$14</definedName>
    <definedName name="DC_FINANCIAL" localSheetId="64">'National Affiliated'!$B$14:$F$14</definedName>
    <definedName name="DC_FINANCIAL" localSheetId="66">'National Heritage'!$B$14:$F$14</definedName>
    <definedName name="DC_FINANCIAL" localSheetId="67">'National States'!$B$14:$F$14</definedName>
    <definedName name="DC_FINANCIAL" localSheetId="65">'Natl American'!$B$14:$F$14</definedName>
    <definedName name="DC_FINANCIAL" localSheetId="68">'New Jersey Life'!$B$14:$F$14</definedName>
    <definedName name="DC_FINANCIAL" localSheetId="69">NNIC!$B$14:$F$14</definedName>
    <definedName name="DC_FINANCIAL" localSheetId="70">'Old Colony Life'!$B$14:$F$14</definedName>
    <definedName name="DC_FINANCIAL" localSheetId="71">'Old Faithful'!$B$14:$F$14</definedName>
    <definedName name="DC_FINANCIAL" localSheetId="72">'Pacific Standard'!$B$14:$F$14</definedName>
    <definedName name="DC_FINANCIAL" localSheetId="73">'Pen  Treaty'!$B$14:$F$14</definedName>
    <definedName name="DC_FINANCIAL" localSheetId="74">Reliance!$B$14:$F$14</definedName>
    <definedName name="DC_FINANCIAL" localSheetId="75">SeeChange!$B$14:$F$14</definedName>
    <definedName name="DC_FINANCIAL" localSheetId="76">'Senior American'!$B$14:$F$14</definedName>
    <definedName name="DC_FINANCIAL" localSheetId="77">Settlers!$B$14:$F$14</definedName>
    <definedName name="DC_FINANCIAL" localSheetId="78">Shenandoah!$B$14:$F$14</definedName>
    <definedName name="DC_FINANCIAL" localSheetId="79">'Standard Life IN'!$B$14:$F$14</definedName>
    <definedName name="DC_FINANCIAL" localSheetId="80">'States General'!$B$14:$F$14</definedName>
    <definedName name="DC_FINANCIAL" localSheetId="81">Statesman!$B$14:$F$14</definedName>
    <definedName name="DC_FINANCIAL" localSheetId="82">'Summit National'!$B$14:$F$14</definedName>
    <definedName name="DC_FINANCIAL" localSheetId="83">Supreme!$B$14:$F$14</definedName>
    <definedName name="DC_FINANCIAL" localSheetId="97">'Total Summary'!$B$14:$F$14</definedName>
    <definedName name="DC_FINANCIAL" localSheetId="84">Underwriters!$B$14:$F$14</definedName>
    <definedName name="DC_FINANCIAL" localSheetId="85">Unison!$B$14:$F$14</definedName>
    <definedName name="DC_FINANCIAL" localSheetId="86">'United Republic'!$B$14:$F$14</definedName>
    <definedName name="DC_FINANCIAL" localSheetId="87">'Universal Health Care'!$B$14:$F$14</definedName>
    <definedName name="DC_FINANCIAL" localSheetId="88">'Universal Life'!$B$14:$F$14</definedName>
    <definedName name="DC_FINANCIAL" localSheetId="89">Universe!$B$14:$F$14</definedName>
    <definedName name="DC_FINANCIAL" localSheetId="90">Villanova!$B$14:$F$14</definedName>
    <definedName name="DE_FINANCIAL" localSheetId="0">'Alabama Life'!$B$13:$F$13</definedName>
    <definedName name="DE_FINANCIAL" localSheetId="5">'Amer Life Asr'!$B$13:$F$13</definedName>
    <definedName name="DE_FINANCIAL" localSheetId="7">'Amer Std Life Acc'!$B$13:$F$13</definedName>
    <definedName name="DE_FINANCIAL" localSheetId="1">'American Chambers'!$B$13:$F$13</definedName>
    <definedName name="DE_FINANCIAL" localSheetId="2">'American Community'!$B$13:$F$13</definedName>
    <definedName name="DE_FINANCIAL" localSheetId="3">'American Educators'!$B$13:$F$13</definedName>
    <definedName name="DE_FINANCIAL" localSheetId="4">'American Integrity'!$B$13:$F$13</definedName>
    <definedName name="DE_FINANCIAL" localSheetId="6">'American Network'!$B$13:$F$13</definedName>
    <definedName name="DE_FINANCIAL" localSheetId="8">AmerWstrn!$B$13:$F$13</definedName>
    <definedName name="DE_FINANCIAL" localSheetId="9">'AMS Life'!$B$13:$F$13</definedName>
    <definedName name="DE_FINANCIAL" localSheetId="10">'Andrew Jackson'!$B$13:$F$13</definedName>
    <definedName name="DE_FINANCIAL" localSheetId="11">'Bankers Commercial'!$B$13:$F$13</definedName>
    <definedName name="DE_FINANCIAL" localSheetId="12">Benicorp!$B$13:$F$13</definedName>
    <definedName name="DE_FINANCIAL" localSheetId="13">'Booker T Washington'!$B$13:$F$13</definedName>
    <definedName name="DE_FINANCIAL" localSheetId="14">Centennial!$B$13:$F$13</definedName>
    <definedName name="DE_FINANCIAL" localSheetId="15">'Coastal States'!$B$13:$F$13</definedName>
    <definedName name="DE_FINANCIAL" localSheetId="16">'Colorado Health'!$B$13:$F$13</definedName>
    <definedName name="DE_FINANCIAL" localSheetId="17">'Compass (dbs Meritus)'!$B$13:$F$13</definedName>
    <definedName name="DE_FINANCIAL" localSheetId="18">'Confed Life &amp; Annty (CLIAC)'!$B$13:$F$13</definedName>
    <definedName name="DE_FINANCIAL" localSheetId="19">'Confed Life (CLIC)'!$B$13:$F$13</definedName>
    <definedName name="DE_FINANCIAL" localSheetId="20">'Consolidated National'!$B$13:$F$13</definedName>
    <definedName name="DE_FINANCIAL" localSheetId="21">'Consumers Choice'!$B$13:$F$13</definedName>
    <definedName name="DE_FINANCIAL" localSheetId="22">'Consumers Mutual'!$B$13:$F$13</definedName>
    <definedName name="DE_FINANCIAL" localSheetId="23">'Consumers United'!$B$13:$F$13</definedName>
    <definedName name="DE_FINANCIAL" localSheetId="24">CoOportunity!$B$13:$F$13</definedName>
    <definedName name="DE_FINANCIAL" localSheetId="25">'Coordinated Hlth'!$B$13:$F$13</definedName>
    <definedName name="DE_FINANCIAL" localSheetId="26">'Corporate Life'!$B$13:$F$13</definedName>
    <definedName name="DE_FINANCIAL" localSheetId="27">'Diamond Benefits'!$B$13:$F$13</definedName>
    <definedName name="DE_FINANCIAL" localSheetId="28">'EBL Life'!$B$13:$F$13</definedName>
    <definedName name="DE_FINANCIAL" localSheetId="30">ELNY!$B$13:$F$13</definedName>
    <definedName name="DE_FINANCIAL" localSheetId="29">'Executive Life'!$B$13:$F$13</definedName>
    <definedName name="DE_FINANCIAL" localSheetId="31">'Family Guaranty'!$B$13:$F$13</definedName>
    <definedName name="DE_FINANCIAL" localSheetId="32">'Farmers &amp; Ranchers'!$B$13:$F$13</definedName>
    <definedName name="DE_FINANCIAL" localSheetId="33">'Fidelity Bankers'!$B$13:$F$13</definedName>
    <definedName name="DE_FINANCIAL" localSheetId="34">'Fidelity Mutual'!$B$13:$F$13</definedName>
    <definedName name="DE_FINANCIAL" localSheetId="35">'First Capital'!$B$13:$F$13</definedName>
    <definedName name="DE_FINANCIAL" localSheetId="36">'First Natl'!$B$13:$F$13</definedName>
    <definedName name="DE_FINANCIAL" localSheetId="37">'First Natl (Thrnr)'!$B$13:$F$13</definedName>
    <definedName name="DE_FINANCIAL" localSheetId="38">'Franklin American'!$B$13:$F$13</definedName>
    <definedName name="DE_FINANCIAL" localSheetId="39">'Franklin Protective'!$B$13:$F$13</definedName>
    <definedName name="DE_FINANCIAL" localSheetId="40">'Freelancers CO-OP'!$B$13:$F$13</definedName>
    <definedName name="DE_FINANCIAL" localSheetId="41">'George Washington'!$B$13:$F$13</definedName>
    <definedName name="DE_FINANCIAL" localSheetId="42">'Golden State'!$B$13:$F$13</definedName>
    <definedName name="DE_FINANCIAL" localSheetId="43">'Guarantee Security'!$B$13:$F$13</definedName>
    <definedName name="DE_FINANCIAL" localSheetId="44">HealthyCT!$B$13:$F$13</definedName>
    <definedName name="DE_FINANCIAL" localSheetId="45">Imerica!$B$13:$F$13</definedName>
    <definedName name="DE_FINANCIAL" localSheetId="46">'Inter-American'!$B$13:$F$13</definedName>
    <definedName name="DE_FINANCIAL" localSheetId="47">'International Fin'!$B$13:$F$13</definedName>
    <definedName name="DE_FINANCIAL" localSheetId="48">'Investment Life of America'!$B$13:$F$13</definedName>
    <definedName name="DE_FINANCIAL" localSheetId="49">'Investors Equity'!$B$13:$F$13</definedName>
    <definedName name="DE_FINANCIAL" localSheetId="50">'Kentucky Central'!$B$13:$F$13</definedName>
    <definedName name="DE_FINANCIAL" localSheetId="51">'Land of Lincoln'!$B$13:$F$13</definedName>
    <definedName name="DE_FINANCIAL" localSheetId="52">Legion!$B$13:$F$13</definedName>
    <definedName name="DE_FINANCIAL" localSheetId="53">'Life Health America'!$B$13:$F$13</definedName>
    <definedName name="DE_FINANCIAL" localSheetId="54">'Lincoln Memorial'!$B$13:$F$13</definedName>
    <definedName name="DE_FINANCIAL" localSheetId="55">'London Pac'!$B$13:$F$13</definedName>
    <definedName name="DE_FINANCIAL" localSheetId="56">Lumbermens!$B$13:$F$13</definedName>
    <definedName name="DE_FINANCIAL" localSheetId="57">'Medical Savings'!$B$13:$F$13</definedName>
    <definedName name="DE_FINANCIAL" localSheetId="58">'Memorial Service'!$B$13:$F$13</definedName>
    <definedName name="DE_FINANCIAL" localSheetId="59">Midcontinent!$B$13:$F$13</definedName>
    <definedName name="DE_FINANCIAL" localSheetId="60">'Midwest Life'!$B$13:$F$13</definedName>
    <definedName name="DE_FINANCIAL" localSheetId="61">'Monarch Life'!$B$13:$F$13</definedName>
    <definedName name="DE_FINANCIAL" localSheetId="62">'Mutual Benefit'!$B$13:$F$13</definedName>
    <definedName name="DE_FINANCIAL" localSheetId="63">'Mutual Security'!$B$13:$F$13</definedName>
    <definedName name="DE_FINANCIAL" localSheetId="64">'National Affiliated'!$B$13:$F$13</definedName>
    <definedName name="DE_FINANCIAL" localSheetId="66">'National Heritage'!$B$13:$F$13</definedName>
    <definedName name="DE_FINANCIAL" localSheetId="67">'National States'!$B$13:$F$13</definedName>
    <definedName name="DE_FINANCIAL" localSheetId="65">'Natl American'!$B$13:$F$13</definedName>
    <definedName name="DE_FINANCIAL" localSheetId="68">'New Jersey Life'!$B$13:$F$13</definedName>
    <definedName name="DE_FINANCIAL" localSheetId="69">NNIC!$B$13:$F$13</definedName>
    <definedName name="DE_FINANCIAL" localSheetId="70">'Old Colony Life'!$B$13:$F$13</definedName>
    <definedName name="DE_FINANCIAL" localSheetId="71">'Old Faithful'!$B$13:$F$13</definedName>
    <definedName name="DE_FINANCIAL" localSheetId="72">'Pacific Standard'!$B$13:$F$13</definedName>
    <definedName name="DE_FINANCIAL" localSheetId="73">'Pen  Treaty'!$B$13:$F$13</definedName>
    <definedName name="DE_FINANCIAL" localSheetId="74">Reliance!$B$13:$F$13</definedName>
    <definedName name="DE_FINANCIAL" localSheetId="75">SeeChange!$B$13:$F$13</definedName>
    <definedName name="DE_FINANCIAL" localSheetId="76">'Senior American'!$B$13:$F$13</definedName>
    <definedName name="DE_FINANCIAL" localSheetId="77">Settlers!$B$13:$F$13</definedName>
    <definedName name="DE_FINANCIAL" localSheetId="78">Shenandoah!$B$13:$F$13</definedName>
    <definedName name="DE_FINANCIAL" localSheetId="79">'Standard Life IN'!$B$13:$F$13</definedName>
    <definedName name="DE_FINANCIAL" localSheetId="80">'States General'!$B$13:$F$13</definedName>
    <definedName name="DE_FINANCIAL" localSheetId="81">Statesman!$B$13:$F$13</definedName>
    <definedName name="DE_FINANCIAL" localSheetId="82">'Summit National'!$B$13:$F$13</definedName>
    <definedName name="DE_FINANCIAL" localSheetId="83">Supreme!$B$13:$F$13</definedName>
    <definedName name="DE_FINANCIAL" localSheetId="97">'Total Summary'!$B$13:$F$13</definedName>
    <definedName name="DE_FINANCIAL" localSheetId="84">Underwriters!$B$13:$F$13</definedName>
    <definedName name="DE_FINANCIAL" localSheetId="85">Unison!$B$13:$F$13</definedName>
    <definedName name="DE_FINANCIAL" localSheetId="86">'United Republic'!$B$13:$F$13</definedName>
    <definedName name="DE_FINANCIAL" localSheetId="87">'Universal Health Care'!$B$13:$F$13</definedName>
    <definedName name="DE_FINANCIAL" localSheetId="88">'Universal Life'!$B$13:$F$13</definedName>
    <definedName name="DE_FINANCIAL" localSheetId="89">Universe!$B$13:$F$13</definedName>
    <definedName name="DE_FINANCIAL" localSheetId="90">Villanova!$B$13:$F$13</definedName>
    <definedName name="EC_ALLOC_CALLED" localSheetId="91">Summary!$V$48:$V$106</definedName>
    <definedName name="EC_ALLOC_REFUNDED" localSheetId="91">Summary!$W$48:$W$106</definedName>
    <definedName name="EC_ALLOCATED" localSheetId="91">Summary!$I$48:$I$106</definedName>
    <definedName name="EC_CHANGE" localSheetId="91">Summary!$P$48:$P$106</definedName>
    <definedName name="EC_HEALTH" localSheetId="91">Summary!$J$48:$J$106</definedName>
    <definedName name="EC_HEALTH_CALLED" localSheetId="91">Summary!$Y$48:$Y$106</definedName>
    <definedName name="EC_HEALTH_REFUNDED" localSheetId="91">Summary!$Z$48:$Z$106</definedName>
    <definedName name="EC_LIFE" localSheetId="91">Summary!$H$48:$H$106</definedName>
    <definedName name="EC_LIFE_CALLED" localSheetId="91">Summary!$S$48:$S$106</definedName>
    <definedName name="EC_LIFE_REFUNDED" localSheetId="91">Summary!$T$48:$T$106</definedName>
    <definedName name="EC_LTC" localSheetId="91">Summary!$L$48:$L$106</definedName>
    <definedName name="EC_RECON" localSheetId="91">Summary!$N$48:$N$106</definedName>
    <definedName name="EC_TOTAL" localSheetId="91">Summary!$M$48:$M$106</definedName>
    <definedName name="EC_TOTAL_PREV" localSheetId="91">Summary!$O$48:$O$106</definedName>
    <definedName name="EC_UNALLOC_CALLED" localSheetId="91">Summary!$AB$48:$AB$106</definedName>
    <definedName name="EC_UNALLOC_REFUNDED" localSheetId="91">Summary!$AC$48:$AC$106</definedName>
    <definedName name="EC_UNALLOCATED" localSheetId="91">Summary!$K$48:$K$106</definedName>
    <definedName name="FL_FINANCIAL" localSheetId="0">'Alabama Life'!$B$15:$F$15</definedName>
    <definedName name="FL_FINANCIAL" localSheetId="5">'Amer Life Asr'!$B$15:$F$15</definedName>
    <definedName name="FL_FINANCIAL" localSheetId="7">'Amer Std Life Acc'!$B$15:$F$15</definedName>
    <definedName name="FL_FINANCIAL" localSheetId="1">'American Chambers'!$B$15:$F$15</definedName>
    <definedName name="FL_FINANCIAL" localSheetId="2">'American Community'!$B$15:$F$15</definedName>
    <definedName name="FL_FINANCIAL" localSheetId="3">'American Educators'!$B$15:$F$15</definedName>
    <definedName name="FL_FINANCIAL" localSheetId="4">'American Integrity'!$B$15:$F$15</definedName>
    <definedName name="FL_FINANCIAL" localSheetId="6">'American Network'!$B$15:$F$15</definedName>
    <definedName name="FL_FINANCIAL" localSheetId="8">AmerWstrn!$B$15:$F$15</definedName>
    <definedName name="FL_FINANCIAL" localSheetId="9">'AMS Life'!$B$15:$F$15</definedName>
    <definedName name="FL_FINANCIAL" localSheetId="10">'Andrew Jackson'!$B$15:$F$15</definedName>
    <definedName name="FL_FINANCIAL" localSheetId="11">'Bankers Commercial'!$B$15:$F$15</definedName>
    <definedName name="FL_FINANCIAL" localSheetId="12">Benicorp!$B$15:$F$15</definedName>
    <definedName name="FL_FINANCIAL" localSheetId="13">'Booker T Washington'!$B$15:$F$15</definedName>
    <definedName name="FL_FINANCIAL" localSheetId="14">Centennial!$B$15:$F$15</definedName>
    <definedName name="FL_FINANCIAL" localSheetId="15">'Coastal States'!$B$15:$F$15</definedName>
    <definedName name="FL_FINANCIAL" localSheetId="16">'Colorado Health'!$B$15:$F$15</definedName>
    <definedName name="FL_FINANCIAL" localSheetId="17">'Compass (dbs Meritus)'!$B$15:$F$15</definedName>
    <definedName name="FL_FINANCIAL" localSheetId="18">'Confed Life &amp; Annty (CLIAC)'!$B$15:$F$15</definedName>
    <definedName name="FL_FINANCIAL" localSheetId="19">'Confed Life (CLIC)'!$B$15:$F$15</definedName>
    <definedName name="FL_FINANCIAL" localSheetId="20">'Consolidated National'!$B$15:$F$15</definedName>
    <definedName name="FL_FINANCIAL" localSheetId="21">'Consumers Choice'!$B$15:$F$15</definedName>
    <definedName name="FL_FINANCIAL" localSheetId="22">'Consumers Mutual'!$B$15:$F$15</definedName>
    <definedName name="FL_FINANCIAL" localSheetId="23">'Consumers United'!$B$15:$F$15</definedName>
    <definedName name="FL_FINANCIAL" localSheetId="24">CoOportunity!$B$15:$F$15</definedName>
    <definedName name="FL_FINANCIAL" localSheetId="25">'Coordinated Hlth'!$B$15:$F$15</definedName>
    <definedName name="FL_FINANCIAL" localSheetId="26">'Corporate Life'!$B$15:$F$15</definedName>
    <definedName name="FL_FINANCIAL" localSheetId="27">'Diamond Benefits'!$B$15:$F$15</definedName>
    <definedName name="FL_FINANCIAL" localSheetId="28">'EBL Life'!$B$15:$F$15</definedName>
    <definedName name="FL_FINANCIAL" localSheetId="30">ELNY!$B$15:$F$15</definedName>
    <definedName name="FL_FINANCIAL" localSheetId="29">'Executive Life'!$B$15:$F$15</definedName>
    <definedName name="FL_FINANCIAL" localSheetId="31">'Family Guaranty'!$B$15:$F$15</definedName>
    <definedName name="FL_FINANCIAL" localSheetId="32">'Farmers &amp; Ranchers'!$B$15:$F$15</definedName>
    <definedName name="FL_FINANCIAL" localSheetId="33">'Fidelity Bankers'!$B$15:$F$15</definedName>
    <definedName name="FL_FINANCIAL" localSheetId="34">'Fidelity Mutual'!$B$15:$F$15</definedName>
    <definedName name="FL_FINANCIAL" localSheetId="35">'First Capital'!$B$15:$F$15</definedName>
    <definedName name="FL_FINANCIAL" localSheetId="36">'First Natl'!$B$15:$F$15</definedName>
    <definedName name="FL_FINANCIAL" localSheetId="37">'First Natl (Thrnr)'!$B$15:$F$15</definedName>
    <definedName name="FL_FINANCIAL" localSheetId="38">'Franklin American'!$B$15:$F$15</definedName>
    <definedName name="FL_FINANCIAL" localSheetId="39">'Franklin Protective'!$B$15:$F$15</definedName>
    <definedName name="FL_FINANCIAL" localSheetId="40">'Freelancers CO-OP'!$B$15:$F$15</definedName>
    <definedName name="FL_FINANCIAL" localSheetId="41">'George Washington'!$B$15:$F$15</definedName>
    <definedName name="FL_FINANCIAL" localSheetId="42">'Golden State'!$B$15:$F$15</definedName>
    <definedName name="FL_FINANCIAL" localSheetId="43">'Guarantee Security'!$B$15:$F$15</definedName>
    <definedName name="FL_FINANCIAL" localSheetId="44">HealthyCT!$B$15:$F$15</definedName>
    <definedName name="FL_FINANCIAL" localSheetId="45">Imerica!$B$15:$F$15</definedName>
    <definedName name="FL_FINANCIAL" localSheetId="46">'Inter-American'!$B$15:$F$15</definedName>
    <definedName name="FL_FINANCIAL" localSheetId="47">'International Fin'!$B$15:$F$15</definedName>
    <definedName name="FL_FINANCIAL" localSheetId="48">'Investment Life of America'!$B$15:$F$15</definedName>
    <definedName name="FL_FINANCIAL" localSheetId="49">'Investors Equity'!$B$15:$F$15</definedName>
    <definedName name="FL_FINANCIAL" localSheetId="50">'Kentucky Central'!$B$15:$F$15</definedName>
    <definedName name="FL_FINANCIAL" localSheetId="51">'Land of Lincoln'!$B$15:$F$15</definedName>
    <definedName name="FL_FINANCIAL" localSheetId="52">Legion!$B$15:$F$15</definedName>
    <definedName name="FL_FINANCIAL" localSheetId="53">'Life Health America'!$B$15:$F$15</definedName>
    <definedName name="FL_FINANCIAL" localSheetId="54">'Lincoln Memorial'!$B$15:$F$15</definedName>
    <definedName name="FL_FINANCIAL" localSheetId="55">'London Pac'!$B$15:$F$15</definedName>
    <definedName name="FL_FINANCIAL" localSheetId="56">Lumbermens!$B$15:$F$15</definedName>
    <definedName name="FL_FINANCIAL" localSheetId="57">'Medical Savings'!$B$15:$F$15</definedName>
    <definedName name="FL_FINANCIAL" localSheetId="58">'Memorial Service'!$B$15:$F$15</definedName>
    <definedName name="FL_FINANCIAL" localSheetId="59">Midcontinent!$B$15:$F$15</definedName>
    <definedName name="FL_FINANCIAL" localSheetId="60">'Midwest Life'!$B$15:$F$15</definedName>
    <definedName name="FL_FINANCIAL" localSheetId="61">'Monarch Life'!$B$15:$F$15</definedName>
    <definedName name="FL_FINANCIAL" localSheetId="62">'Mutual Benefit'!$B$15:$F$15</definedName>
    <definedName name="FL_FINANCIAL" localSheetId="63">'Mutual Security'!$B$15:$F$15</definedName>
    <definedName name="FL_FINANCIAL" localSheetId="64">'National Affiliated'!$B$15:$F$15</definedName>
    <definedName name="FL_FINANCIAL" localSheetId="66">'National Heritage'!$B$15:$F$15</definedName>
    <definedName name="FL_FINANCIAL" localSheetId="67">'National States'!$B$15:$F$15</definedName>
    <definedName name="FL_FINANCIAL" localSheetId="65">'Natl American'!$B$15:$F$15</definedName>
    <definedName name="FL_FINANCIAL" localSheetId="68">'New Jersey Life'!$B$15:$F$15</definedName>
    <definedName name="FL_FINANCIAL" localSheetId="69">NNIC!$B$15:$F$15</definedName>
    <definedName name="FL_FINANCIAL" localSheetId="70">'Old Colony Life'!$B$15:$F$15</definedName>
    <definedName name="FL_FINANCIAL" localSheetId="71">'Old Faithful'!$B$15:$F$15</definedName>
    <definedName name="FL_FINANCIAL" localSheetId="72">'Pacific Standard'!$B$15:$F$15</definedName>
    <definedName name="FL_FINANCIAL" localSheetId="73">'Pen  Treaty'!$B$15:$F$15</definedName>
    <definedName name="FL_FINANCIAL" localSheetId="74">Reliance!$B$15:$F$15</definedName>
    <definedName name="FL_FINANCIAL" localSheetId="75">SeeChange!$B$15:$F$15</definedName>
    <definedName name="FL_FINANCIAL" localSheetId="76">'Senior American'!$B$15:$F$15</definedName>
    <definedName name="FL_FINANCIAL" localSheetId="77">Settlers!$B$15:$F$15</definedName>
    <definedName name="FL_FINANCIAL" localSheetId="78">Shenandoah!$B$15:$F$15</definedName>
    <definedName name="FL_FINANCIAL" localSheetId="79">'Standard Life IN'!$B$15:$F$15</definedName>
    <definedName name="FL_FINANCIAL" localSheetId="80">'States General'!$B$15:$F$15</definedName>
    <definedName name="FL_FINANCIAL" localSheetId="81">Statesman!$B$15:$F$15</definedName>
    <definedName name="FL_FINANCIAL" localSheetId="82">'Summit National'!$B$15:$F$15</definedName>
    <definedName name="FL_FINANCIAL" localSheetId="83">Supreme!$B$15:$F$15</definedName>
    <definedName name="FL_FINANCIAL" localSheetId="97">'Total Summary'!$B$15:$F$15</definedName>
    <definedName name="FL_FINANCIAL" localSheetId="84">Underwriters!$B$15:$F$15</definedName>
    <definedName name="FL_FINANCIAL" localSheetId="85">Unison!$B$15:$F$15</definedName>
    <definedName name="FL_FINANCIAL" localSheetId="86">'United Republic'!$B$15:$F$15</definedName>
    <definedName name="FL_FINANCIAL" localSheetId="87">'Universal Health Care'!$B$15:$F$15</definedName>
    <definedName name="FL_FINANCIAL" localSheetId="88">'Universal Life'!$B$15:$F$15</definedName>
    <definedName name="FL_FINANCIAL" localSheetId="89">Universe!$B$15:$F$15</definedName>
    <definedName name="FL_FINANCIAL" localSheetId="90">Villanova!$B$15:$F$15</definedName>
    <definedName name="GA_FINANCIAL" localSheetId="0">'Alabama Life'!$B$16:$F$16</definedName>
    <definedName name="GA_FINANCIAL" localSheetId="5">'Amer Life Asr'!$B$16:$F$16</definedName>
    <definedName name="GA_FINANCIAL" localSheetId="7">'Amer Std Life Acc'!$B$16:$F$16</definedName>
    <definedName name="GA_FINANCIAL" localSheetId="1">'American Chambers'!$B$16:$F$16</definedName>
    <definedName name="GA_FINANCIAL" localSheetId="2">'American Community'!$B$16:$F$16</definedName>
    <definedName name="GA_FINANCIAL" localSheetId="3">'American Educators'!$B$16:$F$16</definedName>
    <definedName name="GA_FINANCIAL" localSheetId="4">'American Integrity'!$B$16:$F$16</definedName>
    <definedName name="GA_FINANCIAL" localSheetId="6">'American Network'!$B$16:$F$16</definedName>
    <definedName name="GA_FINANCIAL" localSheetId="8">AmerWstrn!$B$16:$F$16</definedName>
    <definedName name="GA_FINANCIAL" localSheetId="9">'AMS Life'!$B$16:$F$16</definedName>
    <definedName name="GA_FINANCIAL" localSheetId="10">'Andrew Jackson'!$B$16:$F$16</definedName>
    <definedName name="GA_FINANCIAL" localSheetId="11">'Bankers Commercial'!$B$16:$F$16</definedName>
    <definedName name="GA_FINANCIAL" localSheetId="12">Benicorp!$B$16:$F$16</definedName>
    <definedName name="GA_FINANCIAL" localSheetId="13">'Booker T Washington'!$B$16:$F$16</definedName>
    <definedName name="GA_FINANCIAL" localSheetId="14">Centennial!$B$16:$F$16</definedName>
    <definedName name="GA_FINANCIAL" localSheetId="15">'Coastal States'!$B$16:$F$16</definedName>
    <definedName name="GA_FINANCIAL" localSheetId="16">'Colorado Health'!$B$16:$F$16</definedName>
    <definedName name="GA_FINANCIAL" localSheetId="17">'Compass (dbs Meritus)'!$B$16:$F$16</definedName>
    <definedName name="GA_FINANCIAL" localSheetId="18">'Confed Life &amp; Annty (CLIAC)'!$B$16:$F$16</definedName>
    <definedName name="GA_FINANCIAL" localSheetId="19">'Confed Life (CLIC)'!$B$16:$F$16</definedName>
    <definedName name="GA_FINANCIAL" localSheetId="20">'Consolidated National'!$B$16:$F$16</definedName>
    <definedName name="GA_FINANCIAL" localSheetId="21">'Consumers Choice'!$B$16:$F$16</definedName>
    <definedName name="GA_FINANCIAL" localSheetId="22">'Consumers Mutual'!$B$16:$F$16</definedName>
    <definedName name="GA_FINANCIAL" localSheetId="23">'Consumers United'!$B$16:$F$16</definedName>
    <definedName name="GA_FINANCIAL" localSheetId="24">CoOportunity!$B$16:$F$16</definedName>
    <definedName name="GA_FINANCIAL" localSheetId="25">'Coordinated Hlth'!$B$16:$F$16</definedName>
    <definedName name="GA_FINANCIAL" localSheetId="26">'Corporate Life'!$B$16:$F$16</definedName>
    <definedName name="GA_FINANCIAL" localSheetId="27">'Diamond Benefits'!$B$16:$F$16</definedName>
    <definedName name="GA_FINANCIAL" localSheetId="28">'EBL Life'!$B$16:$F$16</definedName>
    <definedName name="GA_FINANCIAL" localSheetId="30">ELNY!$B$16:$F$16</definedName>
    <definedName name="GA_FINANCIAL" localSheetId="29">'Executive Life'!$B$16:$F$16</definedName>
    <definedName name="GA_FINANCIAL" localSheetId="31">'Family Guaranty'!$B$16:$F$16</definedName>
    <definedName name="GA_FINANCIAL" localSheetId="32">'Farmers &amp; Ranchers'!$B$16:$F$16</definedName>
    <definedName name="GA_FINANCIAL" localSheetId="33">'Fidelity Bankers'!$B$16:$F$16</definedName>
    <definedName name="GA_FINANCIAL" localSheetId="34">'Fidelity Mutual'!$B$16:$F$16</definedName>
    <definedName name="GA_FINANCIAL" localSheetId="35">'First Capital'!$B$16:$F$16</definedName>
    <definedName name="GA_FINANCIAL" localSheetId="36">'First Natl'!$B$16:$F$16</definedName>
    <definedName name="GA_FINANCIAL" localSheetId="37">'First Natl (Thrnr)'!$B$16:$F$16</definedName>
    <definedName name="GA_FINANCIAL" localSheetId="38">'Franklin American'!$B$16:$F$16</definedName>
    <definedName name="GA_FINANCIAL" localSheetId="39">'Franklin Protective'!$B$16:$F$16</definedName>
    <definedName name="GA_FINANCIAL" localSheetId="40">'Freelancers CO-OP'!$B$16:$F$16</definedName>
    <definedName name="GA_FINANCIAL" localSheetId="41">'George Washington'!$B$16:$F$16</definedName>
    <definedName name="GA_FINANCIAL" localSheetId="42">'Golden State'!$B$16:$F$16</definedName>
    <definedName name="GA_FINANCIAL" localSheetId="43">'Guarantee Security'!$B$16:$F$16</definedName>
    <definedName name="GA_FINANCIAL" localSheetId="44">HealthyCT!$B$16:$F$16</definedName>
    <definedName name="GA_FINANCIAL" localSheetId="45">Imerica!$B$16:$F$16</definedName>
    <definedName name="GA_FINANCIAL" localSheetId="46">'Inter-American'!$B$16:$F$16</definedName>
    <definedName name="GA_FINANCIAL" localSheetId="47">'International Fin'!$B$16:$F$16</definedName>
    <definedName name="GA_FINANCIAL" localSheetId="48">'Investment Life of America'!$B$16:$F$16</definedName>
    <definedName name="GA_FINANCIAL" localSheetId="49">'Investors Equity'!$B$16:$F$16</definedName>
    <definedName name="GA_FINANCIAL" localSheetId="50">'Kentucky Central'!$B$16:$F$16</definedName>
    <definedName name="GA_FINANCIAL" localSheetId="51">'Land of Lincoln'!$B$16:$F$16</definedName>
    <definedName name="GA_FINANCIAL" localSheetId="52">Legion!$B$16:$F$16</definedName>
    <definedName name="GA_FINANCIAL" localSheetId="53">'Life Health America'!$B$16:$F$16</definedName>
    <definedName name="GA_FINANCIAL" localSheetId="54">'Lincoln Memorial'!$B$16:$F$16</definedName>
    <definedName name="GA_FINANCIAL" localSheetId="55">'London Pac'!$B$16:$F$16</definedName>
    <definedName name="GA_FINANCIAL" localSheetId="56">Lumbermens!$B$16:$F$16</definedName>
    <definedName name="GA_FINANCIAL" localSheetId="57">'Medical Savings'!$B$16:$F$16</definedName>
    <definedName name="GA_FINANCIAL" localSheetId="58">'Memorial Service'!$B$16:$F$16</definedName>
    <definedName name="GA_FINANCIAL" localSheetId="59">Midcontinent!$B$16:$F$16</definedName>
    <definedName name="GA_FINANCIAL" localSheetId="60">'Midwest Life'!$B$16:$F$16</definedName>
    <definedName name="GA_FINANCIAL" localSheetId="61">'Monarch Life'!$B$16:$F$16</definedName>
    <definedName name="GA_FINANCIAL" localSheetId="62">'Mutual Benefit'!$B$16:$F$16</definedName>
    <definedName name="GA_FINANCIAL" localSheetId="63">'Mutual Security'!$B$16:$F$16</definedName>
    <definedName name="GA_FINANCIAL" localSheetId="64">'National Affiliated'!$B$16:$F$16</definedName>
    <definedName name="GA_FINANCIAL" localSheetId="66">'National Heritage'!$B$16:$F$16</definedName>
    <definedName name="GA_FINANCIAL" localSheetId="67">'National States'!$B$16:$F$16</definedName>
    <definedName name="GA_FINANCIAL" localSheetId="65">'Natl American'!$B$16:$F$16</definedName>
    <definedName name="GA_FINANCIAL" localSheetId="68">'New Jersey Life'!$B$16:$F$16</definedName>
    <definedName name="GA_FINANCIAL" localSheetId="69">NNIC!$B$16:$F$16</definedName>
    <definedName name="GA_FINANCIAL" localSheetId="70">'Old Colony Life'!$B$16:$F$16</definedName>
    <definedName name="GA_FINANCIAL" localSheetId="71">'Old Faithful'!$B$16:$F$16</definedName>
    <definedName name="GA_FINANCIAL" localSheetId="72">'Pacific Standard'!$B$16:$F$16</definedName>
    <definedName name="GA_FINANCIAL" localSheetId="73">'Pen  Treaty'!$B$16:$F$16</definedName>
    <definedName name="GA_FINANCIAL" localSheetId="74">Reliance!$B$16:$F$16</definedName>
    <definedName name="GA_FINANCIAL" localSheetId="75">SeeChange!$B$16:$F$16</definedName>
    <definedName name="GA_FINANCIAL" localSheetId="76">'Senior American'!$B$16:$F$16</definedName>
    <definedName name="GA_FINANCIAL" localSheetId="77">Settlers!$B$16:$F$16</definedName>
    <definedName name="GA_FINANCIAL" localSheetId="78">Shenandoah!$B$16:$F$16</definedName>
    <definedName name="GA_FINANCIAL" localSheetId="79">'Standard Life IN'!$B$16:$F$16</definedName>
    <definedName name="GA_FINANCIAL" localSheetId="80">'States General'!$B$16:$F$16</definedName>
    <definedName name="GA_FINANCIAL" localSheetId="81">Statesman!$B$16:$F$16</definedName>
    <definedName name="GA_FINANCIAL" localSheetId="82">'Summit National'!$B$16:$F$16</definedName>
    <definedName name="GA_FINANCIAL" localSheetId="83">Supreme!$B$16:$F$16</definedName>
    <definedName name="GA_FINANCIAL" localSheetId="97">'Total Summary'!$B$16:$F$16</definedName>
    <definedName name="GA_FINANCIAL" localSheetId="84">Underwriters!$B$16:$F$16</definedName>
    <definedName name="GA_FINANCIAL" localSheetId="85">Unison!$B$16:$F$16</definedName>
    <definedName name="GA_FINANCIAL" localSheetId="86">'United Republic'!$B$16:$F$16</definedName>
    <definedName name="GA_FINANCIAL" localSheetId="87">'Universal Health Care'!$B$16:$F$16</definedName>
    <definedName name="GA_FINANCIAL" localSheetId="88">'Universal Life'!$B$16:$F$16</definedName>
    <definedName name="GA_FINANCIAL" localSheetId="89">Universe!$B$16:$F$16</definedName>
    <definedName name="GA_FINANCIAL" localSheetId="90">Villanova!$B$16:$F$16</definedName>
    <definedName name="HEALTH" localSheetId="0">'Alabama Life'!$D$6:$D$59</definedName>
    <definedName name="HEALTH" localSheetId="5">'Amer Life Asr'!$D$6:$D$59</definedName>
    <definedName name="HEALTH" localSheetId="7">'Amer Std Life Acc'!$D$6:$D$59</definedName>
    <definedName name="HEALTH" localSheetId="1">'American Chambers'!$D$6:$D$59</definedName>
    <definedName name="HEALTH" localSheetId="2">'American Community'!$D$6:$D$59</definedName>
    <definedName name="HEALTH" localSheetId="3">'American Educators'!$D$6:$D$59</definedName>
    <definedName name="HEALTH" localSheetId="4">'American Integrity'!$D$6:$D$59</definedName>
    <definedName name="HEALTH" localSheetId="6">'American Network'!$D$6:$D$59</definedName>
    <definedName name="HEALTH" localSheetId="8">AmerWstrn!$D$6:$D$59</definedName>
    <definedName name="HEALTH" localSheetId="9">'AMS Life'!$D$6:$D$59</definedName>
    <definedName name="HEALTH" localSheetId="10">'Andrew Jackson'!$D$6:$D$59</definedName>
    <definedName name="HEALTH" localSheetId="11">'Bankers Commercial'!$D$6:$D$59</definedName>
    <definedName name="HEALTH" localSheetId="12">Benicorp!$D$6:$D$59</definedName>
    <definedName name="HEALTH" localSheetId="13">'Booker T Washington'!$D$6:$D$59</definedName>
    <definedName name="HEALTH" localSheetId="14">Centennial!$D$6:$D$59</definedName>
    <definedName name="HEALTH" localSheetId="94">'Closed Summary'!$D$6:$D$58</definedName>
    <definedName name="HEALTH" localSheetId="15">'Coastal States'!$D$6:$D$59</definedName>
    <definedName name="HEALTH" localSheetId="16">'Colorado Health'!$D$6:$D$59</definedName>
    <definedName name="HEALTH" localSheetId="17">'Compass (dbs Meritus)'!$D$6:$D$59</definedName>
    <definedName name="HEALTH" localSheetId="18">'Confed Life &amp; Annty (CLIAC)'!$D$6:$D$59</definedName>
    <definedName name="HEALTH" localSheetId="19">'Confed Life (CLIC)'!$D$6:$D$59</definedName>
    <definedName name="HEALTH" localSheetId="20">'Consolidated National'!$D$6:$D$59</definedName>
    <definedName name="HEALTH" localSheetId="21">'Consumers Choice'!$D$6:$D$59</definedName>
    <definedName name="HEALTH" localSheetId="22">'Consumers Mutual'!$D$6:$D$59</definedName>
    <definedName name="HEALTH" localSheetId="23">'Consumers United'!$D$6:$D$59</definedName>
    <definedName name="HEALTH" localSheetId="24">CoOportunity!$D$6:$D$59</definedName>
    <definedName name="HEALTH" localSheetId="25">'Coordinated Hlth'!$D$6:$D$59</definedName>
    <definedName name="HEALTH" localSheetId="26">'Corporate Life'!$D$6:$D$59</definedName>
    <definedName name="HEALTH" localSheetId="27">'Diamond Benefits'!$D$6:$D$59</definedName>
    <definedName name="HEALTH" localSheetId="28">'EBL Life'!$D$6:$D$59</definedName>
    <definedName name="HEALTH" localSheetId="30">ELNY!$D$6:$D$59</definedName>
    <definedName name="HEALTH" localSheetId="95">'Estate Closed Summary'!$D$6:$D$58</definedName>
    <definedName name="HEALTH" localSheetId="29">'Executive Life'!$D$6:$D$59</definedName>
    <definedName name="HEALTH" localSheetId="31">'Family Guaranty'!$D$6:$D$59</definedName>
    <definedName name="HEALTH" localSheetId="32">'Farmers &amp; Ranchers'!$D$6:$D$59</definedName>
    <definedName name="HEALTH" localSheetId="33">'Fidelity Bankers'!$D$6:$D$59</definedName>
    <definedName name="HEALTH" localSheetId="34">'Fidelity Mutual'!$D$6:$D$59</definedName>
    <definedName name="HEALTH" localSheetId="35">'First Capital'!$D$6:$D$59</definedName>
    <definedName name="HEALTH" localSheetId="36">'First Natl'!$D$6:$D$59</definedName>
    <definedName name="HEALTH" localSheetId="37">'First Natl (Thrnr)'!$D$6:$D$59</definedName>
    <definedName name="HEALTH" localSheetId="38">'Franklin American'!$D$6:$D$59</definedName>
    <definedName name="HEALTH" localSheetId="39">'Franklin Protective'!$D$6:$D$59</definedName>
    <definedName name="HEALTH" localSheetId="40">'Freelancers CO-OP'!$D$6:$D$59</definedName>
    <definedName name="HEALTH" localSheetId="41">'George Washington'!$D$6:$D$59</definedName>
    <definedName name="HEALTH" localSheetId="42">'Golden State'!$D$6:$D$59</definedName>
    <definedName name="HEALTH" localSheetId="43">'Guarantee Security'!$D$6:$D$59</definedName>
    <definedName name="HEALTH" localSheetId="44">HealthyCT!$D$6:$D$59</definedName>
    <definedName name="HEALTH" localSheetId="45">Imerica!$D$6:$D$59</definedName>
    <definedName name="HEALTH" localSheetId="46">'Inter-American'!$D$6:$D$59</definedName>
    <definedName name="HEALTH" localSheetId="47">'International Fin'!$D$6:$D$59</definedName>
    <definedName name="HEALTH" localSheetId="48">'Investment Life of America'!$D$6:$D$59</definedName>
    <definedName name="HEALTH" localSheetId="49">'Investors Equity'!$D$6:$D$59</definedName>
    <definedName name="HEALTH" localSheetId="50">'Kentucky Central'!$D$6:$D$59</definedName>
    <definedName name="HEALTH" localSheetId="51">'Land of Lincoln'!$D$6:$D$59</definedName>
    <definedName name="HEALTH" localSheetId="52">Legion!$D$6:$D$59</definedName>
    <definedName name="HEALTH" localSheetId="53">'Life Health America'!$D$6:$D$59</definedName>
    <definedName name="HEALTH" localSheetId="54">'Lincoln Memorial'!$D$6:$D$59</definedName>
    <definedName name="HEALTH" localSheetId="55">'London Pac'!$D$6:$D$59</definedName>
    <definedName name="HEALTH" localSheetId="56">Lumbermens!$D$6:$D$59</definedName>
    <definedName name="HEALTH" localSheetId="57">'Medical Savings'!$D$6:$D$59</definedName>
    <definedName name="HEALTH" localSheetId="58">'Memorial Service'!$D$6:$D$59</definedName>
    <definedName name="HEALTH" localSheetId="59">Midcontinent!$D$6:$D$59</definedName>
    <definedName name="HEALTH" localSheetId="60">'Midwest Life'!$D$6:$D$59</definedName>
    <definedName name="HEALTH" localSheetId="61">'Monarch Life'!$D$6:$D$59</definedName>
    <definedName name="HEALTH" localSheetId="62">'Mutual Benefit'!$D$6:$D$59</definedName>
    <definedName name="HEALTH" localSheetId="63">'Mutual Security'!$D$6:$D$59</definedName>
    <definedName name="HEALTH" localSheetId="64">'National Affiliated'!$D$6:$D$59</definedName>
    <definedName name="HEALTH" localSheetId="66">'National Heritage'!$D$6:$D$59</definedName>
    <definedName name="HEALTH" localSheetId="67">'National States'!$D$6:$D$59</definedName>
    <definedName name="HEALTH" localSheetId="65">'Natl American'!$D$6:$D$59</definedName>
    <definedName name="HEALTH" localSheetId="68">'New Jersey Life'!$D$6:$D$59</definedName>
    <definedName name="HEALTH" localSheetId="69">NNIC!$D$6:$D$59</definedName>
    <definedName name="HEALTH" localSheetId="70">'Old Colony Life'!$D$6:$D$59</definedName>
    <definedName name="HEALTH" localSheetId="71">'Old Faithful'!$D$6:$D$59</definedName>
    <definedName name="HEALTH" localSheetId="93">'Open Summary'!$D$6:$D$58</definedName>
    <definedName name="HEALTH" localSheetId="72">'Pacific Standard'!$D$6:$D$59</definedName>
    <definedName name="HEALTH" localSheetId="73">'Pen  Treaty'!$D$6:$D$59</definedName>
    <definedName name="HEALTH" localSheetId="92">'Pre-Liquidation Summary'!$D$6:$D$58</definedName>
    <definedName name="HEALTH" localSheetId="96">'Released from Oversight Summary'!$D$6:$D$58</definedName>
    <definedName name="HEALTH" localSheetId="74">Reliance!$D$6:$D$59</definedName>
    <definedName name="HEALTH" localSheetId="75">SeeChange!$D$6:$D$59</definedName>
    <definedName name="HEALTH" localSheetId="76">'Senior American'!$D$6:$D$59</definedName>
    <definedName name="HEALTH" localSheetId="77">Settlers!$D$6:$D$59</definedName>
    <definedName name="HEALTH" localSheetId="78">Shenandoah!$D$6:$D$59</definedName>
    <definedName name="HEALTH" localSheetId="79">'Standard Life IN'!$D$6:$D$59</definedName>
    <definedName name="HEALTH" localSheetId="80">'States General'!$D$6:$D$59</definedName>
    <definedName name="HEALTH" localSheetId="81">Statesman!$D$6:$D$59</definedName>
    <definedName name="HEALTH" localSheetId="82">'Summit National'!$D$6:$D$59</definedName>
    <definedName name="HEALTH" localSheetId="83">Supreme!$D$6:$D$59</definedName>
    <definedName name="HEALTH" localSheetId="97">'Total Summary'!$D$6:$D$59</definedName>
    <definedName name="HEALTH" localSheetId="84">Underwriters!$D$6:$D$59</definedName>
    <definedName name="HEALTH" localSheetId="85">Unison!$D$6:$D$59</definedName>
    <definedName name="HEALTH" localSheetId="86">'United Republic'!$D$6:$D$59</definedName>
    <definedName name="HEALTH" localSheetId="87">'Universal Health Care'!$D$6:$D$59</definedName>
    <definedName name="HEALTH" localSheetId="88">'Universal Life'!$D$6:$D$59</definedName>
    <definedName name="HEALTH" localSheetId="89">Universe!$D$6:$D$59</definedName>
    <definedName name="HEALTH" localSheetId="90">Villanova!$D$6:$D$59</definedName>
    <definedName name="HEALTH_CALLED" localSheetId="0">'Alabama Life'!$R$6:$R$58</definedName>
    <definedName name="HEALTH_CALLED" localSheetId="5">'Amer Life Asr'!$R$6:$R$58</definedName>
    <definedName name="HEALTH_CALLED" localSheetId="7">'Amer Std Life Acc'!$R$6:$R$58</definedName>
    <definedName name="HEALTH_CALLED" localSheetId="1">'American Chambers'!$R$6:$R$58</definedName>
    <definedName name="HEALTH_CALLED" localSheetId="2">'American Community'!$R$6:$R$58</definedName>
    <definedName name="HEALTH_CALLED" localSheetId="3">'American Educators'!$R$6:$R$58</definedName>
    <definedName name="HEALTH_CALLED" localSheetId="4">'American Integrity'!$R$6:$R$58</definedName>
    <definedName name="HEALTH_CALLED" localSheetId="6">'American Network'!$R$6:$R$58</definedName>
    <definedName name="HEALTH_CALLED" localSheetId="8">AmerWstrn!$R$6:$R$58</definedName>
    <definedName name="HEALTH_CALLED" localSheetId="9">'AMS Life'!$R$6:$R$58</definedName>
    <definedName name="HEALTH_CALLED" localSheetId="10">'Andrew Jackson'!$R$6:$R$58</definedName>
    <definedName name="HEALTH_CALLED" localSheetId="11">'Bankers Commercial'!$R$6:$R$58</definedName>
    <definedName name="HEALTH_CALLED" localSheetId="12">Benicorp!$R$6:$R$58</definedName>
    <definedName name="HEALTH_CALLED" localSheetId="13">'Booker T Washington'!$R$6:$R$58</definedName>
    <definedName name="HEALTH_CALLED" localSheetId="14">Centennial!$R$6:$R$58</definedName>
    <definedName name="HEALTH_CALLED" localSheetId="15">'Coastal States'!$R$6:$R$58</definedName>
    <definedName name="HEALTH_CALLED" localSheetId="16">'Colorado Health'!$R$6:$R$58</definedName>
    <definedName name="HEALTH_CALLED" localSheetId="17">'Compass (dbs Meritus)'!$R$6:$R$58</definedName>
    <definedName name="HEALTH_CALLED" localSheetId="18">'Confed Life &amp; Annty (CLIAC)'!$R$6:$R$58</definedName>
    <definedName name="HEALTH_CALLED" localSheetId="19">'Confed Life (CLIC)'!$R$6:$R$58</definedName>
    <definedName name="HEALTH_CALLED" localSheetId="20">'Consolidated National'!$R$6:$R$58</definedName>
    <definedName name="HEALTH_CALLED" localSheetId="21">'Consumers Choice'!$R$6:$R$58</definedName>
    <definedName name="HEALTH_CALLED" localSheetId="22">'Consumers Mutual'!$R$6:$R$58</definedName>
    <definedName name="HEALTH_CALLED" localSheetId="23">'Consumers United'!$R$6:$R$58</definedName>
    <definedName name="HEALTH_CALLED" localSheetId="24">CoOportunity!$R$6:$R$58</definedName>
    <definedName name="HEALTH_CALLED" localSheetId="25">'Coordinated Hlth'!$R$6:$R$58</definedName>
    <definedName name="HEALTH_CALLED" localSheetId="26">'Corporate Life'!$R$6:$R$58</definedName>
    <definedName name="HEALTH_CALLED" localSheetId="27">'Diamond Benefits'!$R$6:$R$58</definedName>
    <definedName name="HEALTH_CALLED" localSheetId="28">'EBL Life'!$R$6:$R$58</definedName>
    <definedName name="HEALTH_CALLED" localSheetId="30">ELNY!$R$6:$R$58</definedName>
    <definedName name="HEALTH_CALLED" localSheetId="29">'Executive Life'!$R$6:$R$58</definedName>
    <definedName name="HEALTH_CALLED" localSheetId="31">'Family Guaranty'!$R$6:$R$58</definedName>
    <definedName name="HEALTH_CALLED" localSheetId="32">'Farmers &amp; Ranchers'!$R$6:$R$58</definedName>
    <definedName name="HEALTH_CALLED" localSheetId="33">'Fidelity Bankers'!$R$6:$R$58</definedName>
    <definedName name="HEALTH_CALLED" localSheetId="34">'Fidelity Mutual'!$R$6:$R$58</definedName>
    <definedName name="HEALTH_CALLED" localSheetId="35">'First Capital'!$R$6:$R$58</definedName>
    <definedName name="HEALTH_CALLED" localSheetId="36">'First Natl'!$R$6:$R$58</definedName>
    <definedName name="HEALTH_CALLED" localSheetId="37">'First Natl (Thrnr)'!$R$6:$R$58</definedName>
    <definedName name="HEALTH_CALLED" localSheetId="38">'Franklin American'!$R$6:$R$58</definedName>
    <definedName name="HEALTH_CALLED" localSheetId="39">'Franklin Protective'!$R$6:$R$58</definedName>
    <definedName name="HEALTH_CALLED" localSheetId="40">'Freelancers CO-OP'!$R$6:$R$58</definedName>
    <definedName name="HEALTH_CALLED" localSheetId="41">'George Washington'!$R$6:$R$58</definedName>
    <definedName name="HEALTH_CALLED" localSheetId="42">'Golden State'!$R$6:$R$58</definedName>
    <definedName name="HEALTH_CALLED" localSheetId="43">'Guarantee Security'!$R$6:$R$58</definedName>
    <definedName name="HEALTH_CALLED" localSheetId="44">HealthyCT!$R$6:$R$58</definedName>
    <definedName name="HEALTH_CALLED" localSheetId="45">Imerica!$R$6:$R$58</definedName>
    <definedName name="HEALTH_CALLED" localSheetId="46">'Inter-American'!$R$6:$R$58</definedName>
    <definedName name="HEALTH_CALLED" localSheetId="47">'International Fin'!$R$6:$R$58</definedName>
    <definedName name="HEALTH_CALLED" localSheetId="48">'Investment Life of America'!$R$6:$R$58</definedName>
    <definedName name="HEALTH_CALLED" localSheetId="49">'Investors Equity'!$R$6:$R$58</definedName>
    <definedName name="HEALTH_CALLED" localSheetId="50">'Kentucky Central'!$R$6:$R$58</definedName>
    <definedName name="HEALTH_CALLED" localSheetId="51">'Land of Lincoln'!$R$6:$R$58</definedName>
    <definedName name="HEALTH_CALLED" localSheetId="52">Legion!$R$6:$R$58</definedName>
    <definedName name="HEALTH_CALLED" localSheetId="53">'Life Health America'!$R$6:$R$58</definedName>
    <definedName name="HEALTH_CALLED" localSheetId="54">'Lincoln Memorial'!$R$6:$R$58</definedName>
    <definedName name="HEALTH_CALLED" localSheetId="55">'London Pac'!$R$6:$R$58</definedName>
    <definedName name="HEALTH_CALLED" localSheetId="56">Lumbermens!$R$6:$R$58</definedName>
    <definedName name="HEALTH_CALLED" localSheetId="57">'Medical Savings'!$R$6:$R$58</definedName>
    <definedName name="HEALTH_CALLED" localSheetId="58">'Memorial Service'!$R$6:$R$58</definedName>
    <definedName name="HEALTH_CALLED" localSheetId="59">Midcontinent!$R$6:$R$58</definedName>
    <definedName name="HEALTH_CALLED" localSheetId="60">'Midwest Life'!$R$6:$R$58</definedName>
    <definedName name="HEALTH_CALLED" localSheetId="61">'Monarch Life'!$R$6:$R$58</definedName>
    <definedName name="HEALTH_CALLED" localSheetId="62">'Mutual Benefit'!$R$6:$R$58</definedName>
    <definedName name="HEALTH_CALLED" localSheetId="63">'Mutual Security'!$R$6:$R$58</definedName>
    <definedName name="HEALTH_CALLED" localSheetId="64">'National Affiliated'!$R$6:$R$58</definedName>
    <definedName name="HEALTH_CALLED" localSheetId="66">'National Heritage'!$R$6:$R$58</definedName>
    <definedName name="HEALTH_CALLED" localSheetId="67">'National States'!$R$6:$R$58</definedName>
    <definedName name="HEALTH_CALLED" localSheetId="65">'Natl American'!$R$6:$R$58</definedName>
    <definedName name="HEALTH_CALLED" localSheetId="68">'New Jersey Life'!$R$6:$R$58</definedName>
    <definedName name="HEALTH_CALLED" localSheetId="69">NNIC!$R$6:$R$58</definedName>
    <definedName name="HEALTH_CALLED" localSheetId="70">'Old Colony Life'!$R$6:$R$58</definedName>
    <definedName name="HEALTH_CALLED" localSheetId="71">'Old Faithful'!$R$6:$R$58</definedName>
    <definedName name="HEALTH_CALLED" localSheetId="72">'Pacific Standard'!$R$6:$R$58</definedName>
    <definedName name="HEALTH_CALLED" localSheetId="73">'Pen  Treaty'!$R$6:$R$58</definedName>
    <definedName name="HEALTH_CALLED" localSheetId="74">Reliance!$R$6:$R$58</definedName>
    <definedName name="HEALTH_CALLED" localSheetId="75">SeeChange!$R$6:$R$58</definedName>
    <definedName name="HEALTH_CALLED" localSheetId="76">'Senior American'!$R$6:$R$58</definedName>
    <definedName name="HEALTH_CALLED" localSheetId="77">Settlers!$R$6:$R$58</definedName>
    <definedName name="HEALTH_CALLED" localSheetId="78">Shenandoah!$R$6:$R$58</definedName>
    <definedName name="HEALTH_CALLED" localSheetId="79">'Standard Life IN'!$R$6:$R$58</definedName>
    <definedName name="HEALTH_CALLED" localSheetId="80">'States General'!$R$6:$R$58</definedName>
    <definedName name="HEALTH_CALLED" localSheetId="81">Statesman!$R$6:$R$58</definedName>
    <definedName name="HEALTH_CALLED" localSheetId="82">'Summit National'!$R$6:$R$58</definedName>
    <definedName name="HEALTH_CALLED" localSheetId="83">Supreme!$R$6:$R$58</definedName>
    <definedName name="HEALTH_CALLED" localSheetId="97">'Total Summary'!$O$6:$O$59</definedName>
    <definedName name="HEALTH_CALLED" localSheetId="84">Underwriters!$R$6:$R$58</definedName>
    <definedName name="HEALTH_CALLED" localSheetId="85">Unison!$R$6:$R$58</definedName>
    <definedName name="HEALTH_CALLED" localSheetId="86">'United Republic'!$R$6:$R$58</definedName>
    <definedName name="HEALTH_CALLED" localSheetId="87">'Universal Health Care'!$R$6:$R$58</definedName>
    <definedName name="HEALTH_CALLED" localSheetId="88">'Universal Life'!$R$6:$R$58</definedName>
    <definedName name="HEALTH_CALLED" localSheetId="89">Universe!$R$6:$R$58</definedName>
    <definedName name="HEALTH_CALLED" localSheetId="90">Villanova!$R$6:$R$58</definedName>
    <definedName name="HEALTH_REFUNDED" localSheetId="0">'Alabama Life'!$S$6:$S$58</definedName>
    <definedName name="HEALTH_REFUNDED" localSheetId="5">'Amer Life Asr'!$S$6:$S$58</definedName>
    <definedName name="HEALTH_REFUNDED" localSheetId="7">'Amer Std Life Acc'!$S$6:$S$58</definedName>
    <definedName name="HEALTH_REFUNDED" localSheetId="1">'American Chambers'!$S$6:$S$58</definedName>
    <definedName name="HEALTH_REFUNDED" localSheetId="2">'American Community'!$S$6:$S$58</definedName>
    <definedName name="HEALTH_REFUNDED" localSheetId="3">'American Educators'!$S$6:$S$58</definedName>
    <definedName name="HEALTH_REFUNDED" localSheetId="4">'American Integrity'!$S$6:$S$58</definedName>
    <definedName name="HEALTH_REFUNDED" localSheetId="6">'American Network'!$S$6:$S$58</definedName>
    <definedName name="HEALTH_REFUNDED" localSheetId="8">AmerWstrn!$S$6:$S$58</definedName>
    <definedName name="HEALTH_REFUNDED" localSheetId="9">'AMS Life'!$S$6:$S$58</definedName>
    <definedName name="HEALTH_REFUNDED" localSheetId="10">'Andrew Jackson'!$S$6:$S$58</definedName>
    <definedName name="HEALTH_REFUNDED" localSheetId="11">'Bankers Commercial'!$S$6:$S$58</definedName>
    <definedName name="HEALTH_REFUNDED" localSheetId="12">Benicorp!$S$6:$S$58</definedName>
    <definedName name="HEALTH_REFUNDED" localSheetId="13">'Booker T Washington'!$S$6:$S$58</definedName>
    <definedName name="HEALTH_REFUNDED" localSheetId="14">Centennial!$S$6:$S$58</definedName>
    <definedName name="HEALTH_REFUNDED" localSheetId="15">'Coastal States'!$S$6:$S$58</definedName>
    <definedName name="HEALTH_REFUNDED" localSheetId="16">'Colorado Health'!$S$6:$S$58</definedName>
    <definedName name="HEALTH_REFUNDED" localSheetId="17">'Compass (dbs Meritus)'!$S$6:$S$58</definedName>
    <definedName name="HEALTH_REFUNDED" localSheetId="18">'Confed Life &amp; Annty (CLIAC)'!$S$6:$S$58</definedName>
    <definedName name="HEALTH_REFUNDED" localSheetId="19">'Confed Life (CLIC)'!$S$6:$S$58</definedName>
    <definedName name="HEALTH_REFUNDED" localSheetId="20">'Consolidated National'!$S$6:$S$58</definedName>
    <definedName name="HEALTH_REFUNDED" localSheetId="21">'Consumers Choice'!$S$6:$S$58</definedName>
    <definedName name="HEALTH_REFUNDED" localSheetId="22">'Consumers Mutual'!$S$6:$S$58</definedName>
    <definedName name="HEALTH_REFUNDED" localSheetId="23">'Consumers United'!$S$6:$S$58</definedName>
    <definedName name="HEALTH_REFUNDED" localSheetId="24">CoOportunity!$S$6:$S$58</definedName>
    <definedName name="HEALTH_REFUNDED" localSheetId="25">'Coordinated Hlth'!$S$6:$S$58</definedName>
    <definedName name="HEALTH_REFUNDED" localSheetId="26">'Corporate Life'!$S$6:$S$58</definedName>
    <definedName name="HEALTH_REFUNDED" localSheetId="27">'Diamond Benefits'!$S$6:$S$58</definedName>
    <definedName name="HEALTH_REFUNDED" localSheetId="28">'EBL Life'!$S$6:$S$58</definedName>
    <definedName name="HEALTH_REFUNDED" localSheetId="30">ELNY!$S$6:$S$58</definedName>
    <definedName name="HEALTH_REFUNDED" localSheetId="29">'Executive Life'!$S$6:$S$58</definedName>
    <definedName name="HEALTH_REFUNDED" localSheetId="31">'Family Guaranty'!$S$6:$S$58</definedName>
    <definedName name="HEALTH_REFUNDED" localSheetId="32">'Farmers &amp; Ranchers'!$S$6:$S$58</definedName>
    <definedName name="HEALTH_REFUNDED" localSheetId="33">'Fidelity Bankers'!$S$6:$S$58</definedName>
    <definedName name="HEALTH_REFUNDED" localSheetId="34">'Fidelity Mutual'!$S$6:$S$58</definedName>
    <definedName name="HEALTH_REFUNDED" localSheetId="35">'First Capital'!$S$6:$S$58</definedName>
    <definedName name="HEALTH_REFUNDED" localSheetId="36">'First Natl'!$S$6:$S$58</definedName>
    <definedName name="HEALTH_REFUNDED" localSheetId="37">'First Natl (Thrnr)'!$S$6:$S$58</definedName>
    <definedName name="HEALTH_REFUNDED" localSheetId="38">'Franklin American'!$S$6:$S$58</definedName>
    <definedName name="HEALTH_REFUNDED" localSheetId="39">'Franklin Protective'!$S$6:$S$58</definedName>
    <definedName name="HEALTH_REFUNDED" localSheetId="40">'Freelancers CO-OP'!$S$6:$S$58</definedName>
    <definedName name="HEALTH_REFUNDED" localSheetId="41">'George Washington'!$S$6:$S$58</definedName>
    <definedName name="HEALTH_REFUNDED" localSheetId="42">'Golden State'!$S$6:$S$58</definedName>
    <definedName name="HEALTH_REFUNDED" localSheetId="43">'Guarantee Security'!$S$6:$S$58</definedName>
    <definedName name="HEALTH_REFUNDED" localSheetId="44">HealthyCT!$S$6:$S$58</definedName>
    <definedName name="HEALTH_REFUNDED" localSheetId="45">Imerica!$S$6:$S$58</definedName>
    <definedName name="HEALTH_REFUNDED" localSheetId="46">'Inter-American'!$S$6:$S$58</definedName>
    <definedName name="HEALTH_REFUNDED" localSheetId="47">'International Fin'!$S$6:$S$58</definedName>
    <definedName name="HEALTH_REFUNDED" localSheetId="48">'Investment Life of America'!$S$6:$S$58</definedName>
    <definedName name="HEALTH_REFUNDED" localSheetId="49">'Investors Equity'!$S$6:$S$58</definedName>
    <definedName name="HEALTH_REFUNDED" localSheetId="50">'Kentucky Central'!$S$6:$S$58</definedName>
    <definedName name="HEALTH_REFUNDED" localSheetId="51">'Land of Lincoln'!$S$6:$S$58</definedName>
    <definedName name="HEALTH_REFUNDED" localSheetId="52">Legion!$S$6:$S$58</definedName>
    <definedName name="HEALTH_REFUNDED" localSheetId="53">'Life Health America'!$S$6:$S$58</definedName>
    <definedName name="HEALTH_REFUNDED" localSheetId="54">'Lincoln Memorial'!$S$6:$S$58</definedName>
    <definedName name="HEALTH_REFUNDED" localSheetId="55">'London Pac'!$S$6:$S$58</definedName>
    <definedName name="HEALTH_REFUNDED" localSheetId="56">Lumbermens!$S$6:$S$58</definedName>
    <definedName name="HEALTH_REFUNDED" localSheetId="57">'Medical Savings'!$S$6:$S$58</definedName>
    <definedName name="HEALTH_REFUNDED" localSheetId="58">'Memorial Service'!$S$6:$S$58</definedName>
    <definedName name="HEALTH_REFUNDED" localSheetId="59">Midcontinent!$S$6:$S$58</definedName>
    <definedName name="HEALTH_REFUNDED" localSheetId="60">'Midwest Life'!$S$6:$S$58</definedName>
    <definedName name="HEALTH_REFUNDED" localSheetId="61">'Monarch Life'!$S$6:$S$58</definedName>
    <definedName name="HEALTH_REFUNDED" localSheetId="62">'Mutual Benefit'!$S$6:$S$58</definedName>
    <definedName name="HEALTH_REFUNDED" localSheetId="63">'Mutual Security'!$S$6:$S$58</definedName>
    <definedName name="HEALTH_REFUNDED" localSheetId="64">'National Affiliated'!$S$6:$S$58</definedName>
    <definedName name="HEALTH_REFUNDED" localSheetId="66">'National Heritage'!$S$6:$S$58</definedName>
    <definedName name="HEALTH_REFUNDED" localSheetId="67">'National States'!$S$6:$S$58</definedName>
    <definedName name="HEALTH_REFUNDED" localSheetId="65">'Natl American'!$S$6:$S$58</definedName>
    <definedName name="HEALTH_REFUNDED" localSheetId="68">'New Jersey Life'!$S$6:$S$58</definedName>
    <definedName name="HEALTH_REFUNDED" localSheetId="69">NNIC!$S$6:$S$58</definedName>
    <definedName name="HEALTH_REFUNDED" localSheetId="70">'Old Colony Life'!$S$6:$S$58</definedName>
    <definedName name="HEALTH_REFUNDED" localSheetId="71">'Old Faithful'!$S$6:$S$58</definedName>
    <definedName name="HEALTH_REFUNDED" localSheetId="72">'Pacific Standard'!$S$6:$S$58</definedName>
    <definedName name="HEALTH_REFUNDED" localSheetId="73">'Pen  Treaty'!$S$6:$S$58</definedName>
    <definedName name="HEALTH_REFUNDED" localSheetId="74">Reliance!$S$6:$S$58</definedName>
    <definedName name="HEALTH_REFUNDED" localSheetId="75">SeeChange!$S$6:$S$58</definedName>
    <definedName name="HEALTH_REFUNDED" localSheetId="76">'Senior American'!$S$6:$S$58</definedName>
    <definedName name="HEALTH_REFUNDED" localSheetId="77">Settlers!$S$6:$S$58</definedName>
    <definedName name="HEALTH_REFUNDED" localSheetId="78">Shenandoah!$S$6:$S$58</definedName>
    <definedName name="HEALTH_REFUNDED" localSheetId="79">'Standard Life IN'!$S$6:$S$58</definedName>
    <definedName name="HEALTH_REFUNDED" localSheetId="80">'States General'!$S$6:$S$58</definedName>
    <definedName name="HEALTH_REFUNDED" localSheetId="81">Statesman!$S$6:$S$58</definedName>
    <definedName name="HEALTH_REFUNDED" localSheetId="82">'Summit National'!$S$6:$S$58</definedName>
    <definedName name="HEALTH_REFUNDED" localSheetId="83">Supreme!$S$6:$S$58</definedName>
    <definedName name="HEALTH_REFUNDED" localSheetId="97">'Total Summary'!$P$6:$P$59</definedName>
    <definedName name="HEALTH_REFUNDED" localSheetId="84">Underwriters!$S$6:$S$58</definedName>
    <definedName name="HEALTH_REFUNDED" localSheetId="85">Unison!$S$6:$S$58</definedName>
    <definedName name="HEALTH_REFUNDED" localSheetId="86">'United Republic'!$S$6:$S$58</definedName>
    <definedName name="HEALTH_REFUNDED" localSheetId="87">'Universal Health Care'!$S$6:$S$58</definedName>
    <definedName name="HEALTH_REFUNDED" localSheetId="88">'Universal Life'!$S$6:$S$58</definedName>
    <definedName name="HEALTH_REFUNDED" localSheetId="89">Universe!$S$6:$S$58</definedName>
    <definedName name="HEALTH_REFUNDED" localSheetId="90">Villanova!$S$6:$S$58</definedName>
    <definedName name="HI_FINANCIAL" localSheetId="0">'Alabama Life'!$B$17:$F$17</definedName>
    <definedName name="HI_FINANCIAL" localSheetId="5">'Amer Life Asr'!$B$17:$F$17</definedName>
    <definedName name="HI_FINANCIAL" localSheetId="7">'Amer Std Life Acc'!$B$17:$F$17</definedName>
    <definedName name="HI_FINANCIAL" localSheetId="1">'American Chambers'!$B$17:$F$17</definedName>
    <definedName name="HI_FINANCIAL" localSheetId="2">'American Community'!$B$17:$F$17</definedName>
    <definedName name="HI_FINANCIAL" localSheetId="3">'American Educators'!$B$17:$F$17</definedName>
    <definedName name="HI_FINANCIAL" localSheetId="4">'American Integrity'!$B$17:$F$17</definedName>
    <definedName name="HI_FINANCIAL" localSheetId="6">'American Network'!$B$17:$F$17</definedName>
    <definedName name="HI_FINANCIAL" localSheetId="8">AmerWstrn!$B$17:$F$17</definedName>
    <definedName name="HI_FINANCIAL" localSheetId="9">'AMS Life'!$B$17:$F$17</definedName>
    <definedName name="HI_FINANCIAL" localSheetId="10">'Andrew Jackson'!$B$17:$F$17</definedName>
    <definedName name="HI_FINANCIAL" localSheetId="11">'Bankers Commercial'!$B$17:$F$17</definedName>
    <definedName name="HI_FINANCIAL" localSheetId="12">Benicorp!$B$17:$F$17</definedName>
    <definedName name="HI_FINANCIAL" localSheetId="13">'Booker T Washington'!$B$17:$F$17</definedName>
    <definedName name="HI_FINANCIAL" localSheetId="14">Centennial!$B$17:$F$17</definedName>
    <definedName name="HI_FINANCIAL" localSheetId="15">'Coastal States'!$B$17:$F$17</definedName>
    <definedName name="HI_FINANCIAL" localSheetId="16">'Colorado Health'!$B$17:$F$17</definedName>
    <definedName name="HI_FINANCIAL" localSheetId="17">'Compass (dbs Meritus)'!$B$17:$F$17</definedName>
    <definedName name="HI_FINANCIAL" localSheetId="18">'Confed Life &amp; Annty (CLIAC)'!$B$17:$F$17</definedName>
    <definedName name="HI_FINANCIAL" localSheetId="19">'Confed Life (CLIC)'!$B$17:$F$17</definedName>
    <definedName name="HI_FINANCIAL" localSheetId="20">'Consolidated National'!$B$17:$F$17</definedName>
    <definedName name="HI_FINANCIAL" localSheetId="21">'Consumers Choice'!$B$17:$F$17</definedName>
    <definedName name="HI_FINANCIAL" localSheetId="22">'Consumers Mutual'!$B$17:$F$17</definedName>
    <definedName name="HI_FINANCIAL" localSheetId="23">'Consumers United'!$B$17:$F$17</definedName>
    <definedName name="HI_FINANCIAL" localSheetId="24">CoOportunity!$B$17:$F$17</definedName>
    <definedName name="HI_FINANCIAL" localSheetId="25">'Coordinated Hlth'!$B$17:$F$17</definedName>
    <definedName name="HI_FINANCIAL" localSheetId="26">'Corporate Life'!$B$17:$F$17</definedName>
    <definedName name="HI_FINANCIAL" localSheetId="27">'Diamond Benefits'!$B$17:$F$17</definedName>
    <definedName name="HI_FINANCIAL" localSheetId="28">'EBL Life'!$B$17:$F$17</definedName>
    <definedName name="HI_FINANCIAL" localSheetId="30">ELNY!$B$17:$F$17</definedName>
    <definedName name="HI_FINANCIAL" localSheetId="29">'Executive Life'!$B$17:$F$17</definedName>
    <definedName name="HI_FINANCIAL" localSheetId="31">'Family Guaranty'!$B$17:$F$17</definedName>
    <definedName name="HI_FINANCIAL" localSheetId="32">'Farmers &amp; Ranchers'!$B$17:$F$17</definedName>
    <definedName name="HI_FINANCIAL" localSheetId="33">'Fidelity Bankers'!$B$17:$F$17</definedName>
    <definedName name="HI_FINANCIAL" localSheetId="34">'Fidelity Mutual'!$B$17:$F$17</definedName>
    <definedName name="HI_FINANCIAL" localSheetId="35">'First Capital'!$B$17:$F$17</definedName>
    <definedName name="HI_FINANCIAL" localSheetId="36">'First Natl'!$B$17:$F$17</definedName>
    <definedName name="HI_FINANCIAL" localSheetId="37">'First Natl (Thrnr)'!$B$17:$F$17</definedName>
    <definedName name="HI_FINANCIAL" localSheetId="38">'Franklin American'!$B$17:$F$17</definedName>
    <definedName name="HI_FINANCIAL" localSheetId="39">'Franklin Protective'!$B$17:$F$17</definedName>
    <definedName name="HI_FINANCIAL" localSheetId="40">'Freelancers CO-OP'!$B$17:$F$17</definedName>
    <definedName name="HI_FINANCIAL" localSheetId="41">'George Washington'!$B$17:$F$17</definedName>
    <definedName name="HI_FINANCIAL" localSheetId="42">'Golden State'!$B$17:$F$17</definedName>
    <definedName name="HI_FINANCIAL" localSheetId="43">'Guarantee Security'!$B$17:$F$17</definedName>
    <definedName name="HI_FINANCIAL" localSheetId="44">HealthyCT!$B$17:$F$17</definedName>
    <definedName name="HI_FINANCIAL" localSheetId="45">Imerica!$B$17:$F$17</definedName>
    <definedName name="HI_FINANCIAL" localSheetId="46">'Inter-American'!$B$17:$F$17</definedName>
    <definedName name="HI_FINANCIAL" localSheetId="47">'International Fin'!$B$17:$F$17</definedName>
    <definedName name="HI_FINANCIAL" localSheetId="48">'Investment Life of America'!$B$17:$F$17</definedName>
    <definedName name="HI_FINANCIAL" localSheetId="49">'Investors Equity'!$B$17:$F$17</definedName>
    <definedName name="HI_FINANCIAL" localSheetId="50">'Kentucky Central'!$B$17:$F$17</definedName>
    <definedName name="HI_FINANCIAL" localSheetId="51">'Land of Lincoln'!$B$17:$F$17</definedName>
    <definedName name="HI_FINANCIAL" localSheetId="52">Legion!$B$17:$F$17</definedName>
    <definedName name="HI_FINANCIAL" localSheetId="53">'Life Health America'!$B$17:$F$17</definedName>
    <definedName name="HI_FINANCIAL" localSheetId="54">'Lincoln Memorial'!$B$17:$F$17</definedName>
    <definedName name="HI_FINANCIAL" localSheetId="55">'London Pac'!$B$17:$F$17</definedName>
    <definedName name="HI_FINANCIAL" localSheetId="56">Lumbermens!$B$17:$F$17</definedName>
    <definedName name="HI_FINANCIAL" localSheetId="57">'Medical Savings'!$B$17:$F$17</definedName>
    <definedName name="HI_FINANCIAL" localSheetId="58">'Memorial Service'!$B$17:$F$17</definedName>
    <definedName name="HI_FINANCIAL" localSheetId="59">Midcontinent!$B$17:$F$17</definedName>
    <definedName name="HI_FINANCIAL" localSheetId="60">'Midwest Life'!$B$17:$F$17</definedName>
    <definedName name="HI_FINANCIAL" localSheetId="61">'Monarch Life'!$B$17:$F$17</definedName>
    <definedName name="HI_FINANCIAL" localSheetId="62">'Mutual Benefit'!$B$17:$F$17</definedName>
    <definedName name="HI_FINANCIAL" localSheetId="63">'Mutual Security'!$B$17:$F$17</definedName>
    <definedName name="HI_FINANCIAL" localSheetId="64">'National Affiliated'!$B$17:$F$17</definedName>
    <definedName name="HI_FINANCIAL" localSheetId="66">'National Heritage'!$B$17:$F$17</definedName>
    <definedName name="HI_FINANCIAL" localSheetId="67">'National States'!$B$17:$F$17</definedName>
    <definedName name="HI_FINANCIAL" localSheetId="65">'Natl American'!$B$17:$F$17</definedName>
    <definedName name="HI_FINANCIAL" localSheetId="68">'New Jersey Life'!$B$17:$F$17</definedName>
    <definedName name="HI_FINANCIAL" localSheetId="69">NNIC!$B$17:$F$17</definedName>
    <definedName name="HI_FINANCIAL" localSheetId="70">'Old Colony Life'!$B$17:$F$17</definedName>
    <definedName name="HI_FINANCIAL" localSheetId="71">'Old Faithful'!$B$17:$F$17</definedName>
    <definedName name="HI_FINANCIAL" localSheetId="72">'Pacific Standard'!$B$17:$F$17</definedName>
    <definedName name="HI_FINANCIAL" localSheetId="73">'Pen  Treaty'!$B$17:$F$17</definedName>
    <definedName name="HI_FINANCIAL" localSheetId="74">Reliance!$B$17:$F$17</definedName>
    <definedName name="HI_FINANCIAL" localSheetId="75">SeeChange!$B$17:$F$17</definedName>
    <definedName name="HI_FINANCIAL" localSheetId="76">'Senior American'!$B$17:$F$17</definedName>
    <definedName name="HI_FINANCIAL" localSheetId="77">Settlers!$B$17:$F$17</definedName>
    <definedName name="HI_FINANCIAL" localSheetId="78">Shenandoah!$B$17:$F$17</definedName>
    <definedName name="HI_FINANCIAL" localSheetId="79">'Standard Life IN'!$B$17:$F$17</definedName>
    <definedName name="HI_FINANCIAL" localSheetId="80">'States General'!$B$17:$F$17</definedName>
    <definedName name="HI_FINANCIAL" localSheetId="81">Statesman!$B$17:$F$17</definedName>
    <definedName name="HI_FINANCIAL" localSheetId="82">'Summit National'!$B$17:$F$17</definedName>
    <definedName name="HI_FINANCIAL" localSheetId="83">Supreme!$B$17:$F$17</definedName>
    <definedName name="HI_FINANCIAL" localSheetId="97">'Total Summary'!$B$17:$F$17</definedName>
    <definedName name="HI_FINANCIAL" localSheetId="84">Underwriters!$B$17:$F$17</definedName>
    <definedName name="HI_FINANCIAL" localSheetId="85">Unison!$B$17:$F$17</definedName>
    <definedName name="HI_FINANCIAL" localSheetId="86">'United Republic'!$B$17:$F$17</definedName>
    <definedName name="HI_FINANCIAL" localSheetId="87">'Universal Health Care'!$B$17:$F$17</definedName>
    <definedName name="HI_FINANCIAL" localSheetId="88">'Universal Life'!$B$17:$F$17</definedName>
    <definedName name="HI_FINANCIAL" localSheetId="89">Universe!$B$17:$F$17</definedName>
    <definedName name="HI_FINANCIAL" localSheetId="90">Villanova!$B$17:$F$17</definedName>
    <definedName name="IA_FINANCIAL" localSheetId="0">'Alabama Life'!$B$21:$F$21</definedName>
    <definedName name="IA_FINANCIAL" localSheetId="5">'Amer Life Asr'!$B$21:$F$21</definedName>
    <definedName name="IA_FINANCIAL" localSheetId="7">'Amer Std Life Acc'!$B$21:$F$21</definedName>
    <definedName name="IA_FINANCIAL" localSheetId="1">'American Chambers'!$B$21:$F$21</definedName>
    <definedName name="IA_FINANCIAL" localSheetId="2">'American Community'!$B$21:$F$21</definedName>
    <definedName name="IA_FINANCIAL" localSheetId="3">'American Educators'!$B$21:$F$21</definedName>
    <definedName name="IA_FINANCIAL" localSheetId="4">'American Integrity'!$B$21:$F$21</definedName>
    <definedName name="IA_FINANCIAL" localSheetId="6">'American Network'!$B$21:$F$21</definedName>
    <definedName name="IA_FINANCIAL" localSheetId="8">AmerWstrn!$B$21:$F$21</definedName>
    <definedName name="IA_FINANCIAL" localSheetId="9">'AMS Life'!$B$21:$F$21</definedName>
    <definedName name="IA_FINANCIAL" localSheetId="10">'Andrew Jackson'!$B$21:$F$21</definedName>
    <definedName name="IA_FINANCIAL" localSheetId="11">'Bankers Commercial'!$B$21:$F$21</definedName>
    <definedName name="IA_FINANCIAL" localSheetId="12">Benicorp!$B$21:$F$21</definedName>
    <definedName name="IA_FINANCIAL" localSheetId="13">'Booker T Washington'!$B$21:$F$21</definedName>
    <definedName name="IA_FINANCIAL" localSheetId="14">Centennial!$B$21:$F$21</definedName>
    <definedName name="IA_FINANCIAL" localSheetId="15">'Coastal States'!$B$21:$F$21</definedName>
    <definedName name="IA_FINANCIAL" localSheetId="16">'Colorado Health'!$B$21:$F$21</definedName>
    <definedName name="IA_FINANCIAL" localSheetId="17">'Compass (dbs Meritus)'!$B$21:$F$21</definedName>
    <definedName name="IA_FINANCIAL" localSheetId="18">'Confed Life &amp; Annty (CLIAC)'!$B$21:$F$21</definedName>
    <definedName name="IA_FINANCIAL" localSheetId="19">'Confed Life (CLIC)'!$B$21:$F$21</definedName>
    <definedName name="IA_FINANCIAL" localSheetId="20">'Consolidated National'!$B$21:$F$21</definedName>
    <definedName name="IA_FINANCIAL" localSheetId="21">'Consumers Choice'!$B$21:$F$21</definedName>
    <definedName name="IA_FINANCIAL" localSheetId="22">'Consumers Mutual'!$B$21:$F$21</definedName>
    <definedName name="IA_FINANCIAL" localSheetId="23">'Consumers United'!$B$21:$F$21</definedName>
    <definedName name="IA_FINANCIAL" localSheetId="24">CoOportunity!$B$21:$F$21</definedName>
    <definedName name="IA_FINANCIAL" localSheetId="25">'Coordinated Hlth'!$B$21:$F$21</definedName>
    <definedName name="IA_FINANCIAL" localSheetId="26">'Corporate Life'!$B$21:$F$21</definedName>
    <definedName name="IA_FINANCIAL" localSheetId="27">'Diamond Benefits'!$B$21:$F$21</definedName>
    <definedName name="IA_FINANCIAL" localSheetId="28">'EBL Life'!$B$21:$F$21</definedName>
    <definedName name="IA_FINANCIAL" localSheetId="30">ELNY!$B$21:$F$21</definedName>
    <definedName name="IA_FINANCIAL" localSheetId="29">'Executive Life'!$B$21:$F$21</definedName>
    <definedName name="IA_FINANCIAL" localSheetId="31">'Family Guaranty'!$B$21:$F$21</definedName>
    <definedName name="IA_FINANCIAL" localSheetId="32">'Farmers &amp; Ranchers'!$B$21:$F$21</definedName>
    <definedName name="IA_FINANCIAL" localSheetId="33">'Fidelity Bankers'!$B$21:$F$21</definedName>
    <definedName name="IA_FINANCIAL" localSheetId="34">'Fidelity Mutual'!$B$21:$F$21</definedName>
    <definedName name="IA_FINANCIAL" localSheetId="35">'First Capital'!$B$21:$F$21</definedName>
    <definedName name="IA_FINANCIAL" localSheetId="36">'First Natl'!$B$21:$F$21</definedName>
    <definedName name="IA_FINANCIAL" localSheetId="37">'First Natl (Thrnr)'!$B$21:$F$21</definedName>
    <definedName name="IA_FINANCIAL" localSheetId="38">'Franklin American'!$B$21:$F$21</definedName>
    <definedName name="IA_FINANCIAL" localSheetId="39">'Franklin Protective'!$B$21:$F$21</definedName>
    <definedName name="IA_FINANCIAL" localSheetId="40">'Freelancers CO-OP'!$B$21:$F$21</definedName>
    <definedName name="IA_FINANCIAL" localSheetId="41">'George Washington'!$B$21:$F$21</definedName>
    <definedName name="IA_FINANCIAL" localSheetId="42">'Golden State'!$B$21:$F$21</definedName>
    <definedName name="IA_FINANCIAL" localSheetId="43">'Guarantee Security'!$B$21:$F$21</definedName>
    <definedName name="IA_FINANCIAL" localSheetId="44">HealthyCT!$B$21:$F$21</definedName>
    <definedName name="IA_FINANCIAL" localSheetId="45">Imerica!$B$21:$F$21</definedName>
    <definedName name="IA_FINANCIAL" localSheetId="46">'Inter-American'!$B$21:$F$21</definedName>
    <definedName name="IA_FINANCIAL" localSheetId="47">'International Fin'!$B$21:$F$21</definedName>
    <definedName name="IA_FINANCIAL" localSheetId="48">'Investment Life of America'!$B$21:$F$21</definedName>
    <definedName name="IA_FINANCIAL" localSheetId="49">'Investors Equity'!$B$21:$F$21</definedName>
    <definedName name="IA_FINANCIAL" localSheetId="50">'Kentucky Central'!$B$21:$F$21</definedName>
    <definedName name="IA_FINANCIAL" localSheetId="51">'Land of Lincoln'!$B$21:$F$21</definedName>
    <definedName name="IA_FINANCIAL" localSheetId="52">Legion!$B$21:$F$21</definedName>
    <definedName name="IA_FINANCIAL" localSheetId="53">'Life Health America'!$B$21:$F$21</definedName>
    <definedName name="IA_FINANCIAL" localSheetId="54">'Lincoln Memorial'!$B$21:$F$21</definedName>
    <definedName name="IA_FINANCIAL" localSheetId="55">'London Pac'!$B$21:$F$21</definedName>
    <definedName name="IA_FINANCIAL" localSheetId="56">Lumbermens!$B$21:$F$21</definedName>
    <definedName name="IA_FINANCIAL" localSheetId="57">'Medical Savings'!$B$21:$F$21</definedName>
    <definedName name="IA_FINANCIAL" localSheetId="58">'Memorial Service'!$B$21:$F$21</definedName>
    <definedName name="IA_FINANCIAL" localSheetId="59">Midcontinent!$B$21:$F$21</definedName>
    <definedName name="IA_FINANCIAL" localSheetId="60">'Midwest Life'!$B$21:$F$21</definedName>
    <definedName name="IA_FINANCIAL" localSheetId="61">'Monarch Life'!$B$21:$F$21</definedName>
    <definedName name="IA_FINANCIAL" localSheetId="62">'Mutual Benefit'!$B$21:$F$21</definedName>
    <definedName name="IA_FINANCIAL" localSheetId="63">'Mutual Security'!$B$21:$F$21</definedName>
    <definedName name="IA_FINANCIAL" localSheetId="64">'National Affiliated'!$B$21:$F$21</definedName>
    <definedName name="IA_FINANCIAL" localSheetId="66">'National Heritage'!$B$21:$F$21</definedName>
    <definedName name="IA_FINANCIAL" localSheetId="67">'National States'!$B$21:$F$21</definedName>
    <definedName name="IA_FINANCIAL" localSheetId="65">'Natl American'!$B$21:$F$21</definedName>
    <definedName name="IA_FINANCIAL" localSheetId="68">'New Jersey Life'!$B$21:$F$21</definedName>
    <definedName name="IA_FINANCIAL" localSheetId="69">NNIC!$B$21:$F$21</definedName>
    <definedName name="IA_FINANCIAL" localSheetId="70">'Old Colony Life'!$B$21:$F$21</definedName>
    <definedName name="IA_FINANCIAL" localSheetId="71">'Old Faithful'!$B$21:$F$21</definedName>
    <definedName name="IA_FINANCIAL" localSheetId="72">'Pacific Standard'!$B$21:$F$21</definedName>
    <definedName name="IA_FINANCIAL" localSheetId="73">'Pen  Treaty'!$B$21:$F$21</definedName>
    <definedName name="IA_FINANCIAL" localSheetId="74">Reliance!$B$21:$F$21</definedName>
    <definedName name="IA_FINANCIAL" localSheetId="75">SeeChange!$B$21:$F$21</definedName>
    <definedName name="IA_FINANCIAL" localSheetId="76">'Senior American'!$B$21:$F$21</definedName>
    <definedName name="IA_FINANCIAL" localSheetId="77">Settlers!$B$21:$F$21</definedName>
    <definedName name="IA_FINANCIAL" localSheetId="78">Shenandoah!$B$21:$F$21</definedName>
    <definedName name="IA_FINANCIAL" localSheetId="79">'Standard Life IN'!$B$21:$F$21</definedName>
    <definedName name="IA_FINANCIAL" localSheetId="80">'States General'!$B$21:$F$21</definedName>
    <definedName name="IA_FINANCIAL" localSheetId="81">Statesman!$B$21:$F$21</definedName>
    <definedName name="IA_FINANCIAL" localSheetId="82">'Summit National'!$B$21:$F$21</definedName>
    <definedName name="IA_FINANCIAL" localSheetId="83">Supreme!$B$21:$F$21</definedName>
    <definedName name="IA_FINANCIAL" localSheetId="97">'Total Summary'!$B$21:$F$21</definedName>
    <definedName name="IA_FINANCIAL" localSheetId="84">Underwriters!$B$21:$F$21</definedName>
    <definedName name="IA_FINANCIAL" localSheetId="85">Unison!$B$21:$F$21</definedName>
    <definedName name="IA_FINANCIAL" localSheetId="86">'United Republic'!$B$21:$F$21</definedName>
    <definedName name="IA_FINANCIAL" localSheetId="87">'Universal Health Care'!$B$21:$F$21</definedName>
    <definedName name="IA_FINANCIAL" localSheetId="88">'Universal Life'!$B$21:$F$21</definedName>
    <definedName name="IA_FINANCIAL" localSheetId="89">Universe!$B$21:$F$21</definedName>
    <definedName name="IA_FINANCIAL" localSheetId="90">Villanova!$B$21:$F$21</definedName>
    <definedName name="ID_FINANCIAL" localSheetId="0">'Alabama Life'!$B$18:$F$18</definedName>
    <definedName name="ID_FINANCIAL" localSheetId="5">'Amer Life Asr'!$B$18:$F$18</definedName>
    <definedName name="ID_FINANCIAL" localSheetId="7">'Amer Std Life Acc'!$B$18:$F$18</definedName>
    <definedName name="ID_FINANCIAL" localSheetId="1">'American Chambers'!$B$18:$F$18</definedName>
    <definedName name="ID_FINANCIAL" localSheetId="2">'American Community'!$B$18:$F$18</definedName>
    <definedName name="ID_FINANCIAL" localSheetId="3">'American Educators'!$B$18:$F$18</definedName>
    <definedName name="ID_FINANCIAL" localSheetId="4">'American Integrity'!$B$18:$F$18</definedName>
    <definedName name="ID_FINANCIAL" localSheetId="6">'American Network'!$B$18:$F$18</definedName>
    <definedName name="ID_FINANCIAL" localSheetId="8">AmerWstrn!$B$18:$F$18</definedName>
    <definedName name="ID_FINANCIAL" localSheetId="9">'AMS Life'!$B$18:$F$18</definedName>
    <definedName name="ID_FINANCIAL" localSheetId="10">'Andrew Jackson'!$B$18:$F$18</definedName>
    <definedName name="ID_FINANCIAL" localSheetId="11">'Bankers Commercial'!$B$18:$F$18</definedName>
    <definedName name="ID_FINANCIAL" localSheetId="12">Benicorp!$B$18:$F$18</definedName>
    <definedName name="ID_FINANCIAL" localSheetId="13">'Booker T Washington'!$B$18:$F$18</definedName>
    <definedName name="ID_FINANCIAL" localSheetId="14">Centennial!$B$18:$F$18</definedName>
    <definedName name="ID_FINANCIAL" localSheetId="15">'Coastal States'!$B$18:$F$18</definedName>
    <definedName name="ID_FINANCIAL" localSheetId="16">'Colorado Health'!$B$18:$F$18</definedName>
    <definedName name="ID_FINANCIAL" localSheetId="17">'Compass (dbs Meritus)'!$B$18:$F$18</definedName>
    <definedName name="ID_FINANCIAL" localSheetId="18">'Confed Life &amp; Annty (CLIAC)'!$B$18:$F$18</definedName>
    <definedName name="ID_FINANCIAL" localSheetId="19">'Confed Life (CLIC)'!$B$18:$F$18</definedName>
    <definedName name="ID_FINANCIAL" localSheetId="20">'Consolidated National'!$B$18:$F$18</definedName>
    <definedName name="ID_FINANCIAL" localSheetId="21">'Consumers Choice'!$B$18:$F$18</definedName>
    <definedName name="ID_FINANCIAL" localSheetId="22">'Consumers Mutual'!$B$18:$F$18</definedName>
    <definedName name="ID_FINANCIAL" localSheetId="23">'Consumers United'!$B$18:$F$18</definedName>
    <definedName name="ID_FINANCIAL" localSheetId="24">CoOportunity!$B$18:$F$18</definedName>
    <definedName name="ID_FINANCIAL" localSheetId="25">'Coordinated Hlth'!$B$18:$F$18</definedName>
    <definedName name="ID_FINANCIAL" localSheetId="26">'Corporate Life'!$B$18:$F$18</definedName>
    <definedName name="ID_FINANCIAL" localSheetId="27">'Diamond Benefits'!$B$18:$F$18</definedName>
    <definedName name="ID_FINANCIAL" localSheetId="28">'EBL Life'!$B$18:$F$18</definedName>
    <definedName name="ID_FINANCIAL" localSheetId="30">ELNY!$B$18:$F$18</definedName>
    <definedName name="ID_FINANCIAL" localSheetId="29">'Executive Life'!$B$18:$F$18</definedName>
    <definedName name="ID_FINANCIAL" localSheetId="31">'Family Guaranty'!$B$18:$F$18</definedName>
    <definedName name="ID_FINANCIAL" localSheetId="32">'Farmers &amp; Ranchers'!$B$18:$F$18</definedName>
    <definedName name="ID_FINANCIAL" localSheetId="33">'Fidelity Bankers'!$B$18:$F$18</definedName>
    <definedName name="ID_FINANCIAL" localSheetId="34">'Fidelity Mutual'!$B$18:$F$18</definedName>
    <definedName name="ID_FINANCIAL" localSheetId="35">'First Capital'!$B$18:$F$18</definedName>
    <definedName name="ID_FINANCIAL" localSheetId="36">'First Natl'!$B$18:$F$18</definedName>
    <definedName name="ID_FINANCIAL" localSheetId="37">'First Natl (Thrnr)'!$B$18:$F$18</definedName>
    <definedName name="ID_FINANCIAL" localSheetId="38">'Franklin American'!$B$18:$F$18</definedName>
    <definedName name="ID_FINANCIAL" localSheetId="39">'Franklin Protective'!$B$18:$F$18</definedName>
    <definedName name="ID_FINANCIAL" localSheetId="40">'Freelancers CO-OP'!$B$18:$F$18</definedName>
    <definedName name="ID_FINANCIAL" localSheetId="41">'George Washington'!$B$18:$F$18</definedName>
    <definedName name="ID_FINANCIAL" localSheetId="42">'Golden State'!$B$18:$F$18</definedName>
    <definedName name="ID_FINANCIAL" localSheetId="43">'Guarantee Security'!$B$18:$F$18</definedName>
    <definedName name="ID_FINANCIAL" localSheetId="44">HealthyCT!$B$18:$F$18</definedName>
    <definedName name="ID_FINANCIAL" localSheetId="45">Imerica!$B$18:$F$18</definedName>
    <definedName name="ID_FINANCIAL" localSheetId="46">'Inter-American'!$B$18:$F$18</definedName>
    <definedName name="ID_FINANCIAL" localSheetId="47">'International Fin'!$B$18:$F$18</definedName>
    <definedName name="ID_FINANCIAL" localSheetId="48">'Investment Life of America'!$B$18:$F$18</definedName>
    <definedName name="ID_FINANCIAL" localSheetId="49">'Investors Equity'!$B$18:$F$18</definedName>
    <definedName name="ID_FINANCIAL" localSheetId="50">'Kentucky Central'!$B$18:$F$18</definedName>
    <definedName name="ID_FINANCIAL" localSheetId="51">'Land of Lincoln'!$B$18:$F$18</definedName>
    <definedName name="ID_FINANCIAL" localSheetId="52">Legion!$B$18:$F$18</definedName>
    <definedName name="ID_FINANCIAL" localSheetId="53">'Life Health America'!$B$18:$F$18</definedName>
    <definedName name="ID_FINANCIAL" localSheetId="54">'Lincoln Memorial'!$B$18:$F$18</definedName>
    <definedName name="ID_FINANCIAL" localSheetId="55">'London Pac'!$B$18:$F$18</definedName>
    <definedName name="ID_FINANCIAL" localSheetId="56">Lumbermens!$B$18:$F$18</definedName>
    <definedName name="ID_FINANCIAL" localSheetId="57">'Medical Savings'!$B$18:$F$18</definedName>
    <definedName name="ID_FINANCIAL" localSheetId="58">'Memorial Service'!$B$18:$F$18</definedName>
    <definedName name="ID_FINANCIAL" localSheetId="59">Midcontinent!$B$18:$F$18</definedName>
    <definedName name="ID_FINANCIAL" localSheetId="60">'Midwest Life'!$B$18:$F$18</definedName>
    <definedName name="ID_FINANCIAL" localSheetId="61">'Monarch Life'!$B$18:$F$18</definedName>
    <definedName name="ID_FINANCIAL" localSheetId="62">'Mutual Benefit'!$B$18:$F$18</definedName>
    <definedName name="ID_FINANCIAL" localSheetId="63">'Mutual Security'!$B$18:$F$18</definedName>
    <definedName name="ID_FINANCIAL" localSheetId="64">'National Affiliated'!$B$18:$F$18</definedName>
    <definedName name="ID_FINANCIAL" localSheetId="66">'National Heritage'!$B$18:$F$18</definedName>
    <definedName name="ID_FINANCIAL" localSheetId="67">'National States'!$B$18:$F$18</definedName>
    <definedName name="ID_FINANCIAL" localSheetId="65">'Natl American'!$B$18:$F$18</definedName>
    <definedName name="ID_FINANCIAL" localSheetId="68">'New Jersey Life'!$B$18:$F$18</definedName>
    <definedName name="ID_FINANCIAL" localSheetId="69">NNIC!$B$18:$F$18</definedName>
    <definedName name="ID_FINANCIAL" localSheetId="70">'Old Colony Life'!$B$18:$F$18</definedName>
    <definedName name="ID_FINANCIAL" localSheetId="71">'Old Faithful'!$B$18:$F$18</definedName>
    <definedName name="ID_FINANCIAL" localSheetId="72">'Pacific Standard'!$B$18:$F$18</definedName>
    <definedName name="ID_FINANCIAL" localSheetId="73">'Pen  Treaty'!$B$18:$F$18</definedName>
    <definedName name="ID_FINANCIAL" localSheetId="74">Reliance!$B$18:$F$18</definedName>
    <definedName name="ID_FINANCIAL" localSheetId="75">SeeChange!$B$18:$F$18</definedName>
    <definedName name="ID_FINANCIAL" localSheetId="76">'Senior American'!$B$18:$F$18</definedName>
    <definedName name="ID_FINANCIAL" localSheetId="77">Settlers!$B$18:$F$18</definedName>
    <definedName name="ID_FINANCIAL" localSheetId="78">Shenandoah!$B$18:$F$18</definedName>
    <definedName name="ID_FINANCIAL" localSheetId="79">'Standard Life IN'!$B$18:$F$18</definedName>
    <definedName name="ID_FINANCIAL" localSheetId="80">'States General'!$B$18:$F$18</definedName>
    <definedName name="ID_FINANCIAL" localSheetId="81">Statesman!$B$18:$F$18</definedName>
    <definedName name="ID_FINANCIAL" localSheetId="82">'Summit National'!$B$18:$F$18</definedName>
    <definedName name="ID_FINANCIAL" localSheetId="83">Supreme!$B$18:$F$18</definedName>
    <definedName name="ID_FINANCIAL" localSheetId="97">'Total Summary'!$B$18:$F$18</definedName>
    <definedName name="ID_FINANCIAL" localSheetId="84">Underwriters!$B$18:$F$18</definedName>
    <definedName name="ID_FINANCIAL" localSheetId="85">Unison!$B$18:$F$18</definedName>
    <definedName name="ID_FINANCIAL" localSheetId="86">'United Republic'!$B$18:$F$18</definedName>
    <definedName name="ID_FINANCIAL" localSheetId="87">'Universal Health Care'!$B$18:$F$18</definedName>
    <definedName name="ID_FINANCIAL" localSheetId="88">'Universal Life'!$B$18:$F$18</definedName>
    <definedName name="ID_FINANCIAL" localSheetId="89">Universe!$B$18:$F$18</definedName>
    <definedName name="ID_FINANCIAL" localSheetId="90">Villanova!$B$18:$F$18</definedName>
    <definedName name="IL_FINANCIAL" localSheetId="0">'Alabama Life'!$B$19:$F$19</definedName>
    <definedName name="IL_FINANCIAL" localSheetId="5">'Amer Life Asr'!$B$19:$F$19</definedName>
    <definedName name="IL_FINANCIAL" localSheetId="7">'Amer Std Life Acc'!$B$19:$F$19</definedName>
    <definedName name="IL_FINANCIAL" localSheetId="1">'American Chambers'!$B$19:$F$19</definedName>
    <definedName name="IL_FINANCIAL" localSheetId="2">'American Community'!$B$19:$F$19</definedName>
    <definedName name="IL_FINANCIAL" localSheetId="3">'American Educators'!$B$19:$F$19</definedName>
    <definedName name="IL_FINANCIAL" localSheetId="4">'American Integrity'!$B$19:$F$19</definedName>
    <definedName name="IL_FINANCIAL" localSheetId="6">'American Network'!$B$19:$F$19</definedName>
    <definedName name="IL_FINANCIAL" localSheetId="8">AmerWstrn!$B$19:$F$19</definedName>
    <definedName name="IL_FINANCIAL" localSheetId="9">'AMS Life'!$B$19:$F$19</definedName>
    <definedName name="IL_FINANCIAL" localSheetId="10">'Andrew Jackson'!$B$19:$F$19</definedName>
    <definedName name="IL_FINANCIAL" localSheetId="11">'Bankers Commercial'!$B$19:$F$19</definedName>
    <definedName name="IL_FINANCIAL" localSheetId="12">Benicorp!$B$19:$F$19</definedName>
    <definedName name="IL_FINANCIAL" localSheetId="13">'Booker T Washington'!$B$19:$F$19</definedName>
    <definedName name="IL_FINANCIAL" localSheetId="14">Centennial!$B$19:$F$19</definedName>
    <definedName name="IL_FINANCIAL" localSheetId="15">'Coastal States'!$B$19:$F$19</definedName>
    <definedName name="IL_FINANCIAL" localSheetId="16">'Colorado Health'!$B$19:$F$19</definedName>
    <definedName name="IL_FINANCIAL" localSheetId="17">'Compass (dbs Meritus)'!$B$19:$F$19</definedName>
    <definedName name="IL_FINANCIAL" localSheetId="18">'Confed Life &amp; Annty (CLIAC)'!$B$19:$F$19</definedName>
    <definedName name="IL_FINANCIAL" localSheetId="19">'Confed Life (CLIC)'!$B$19:$F$19</definedName>
    <definedName name="IL_FINANCIAL" localSheetId="20">'Consolidated National'!$B$19:$F$19</definedName>
    <definedName name="IL_FINANCIAL" localSheetId="21">'Consumers Choice'!$B$19:$F$19</definedName>
    <definedName name="IL_FINANCIAL" localSheetId="22">'Consumers Mutual'!$B$19:$F$19</definedName>
    <definedName name="IL_FINANCIAL" localSheetId="23">'Consumers United'!$B$19:$F$19</definedName>
    <definedName name="IL_FINANCIAL" localSheetId="24">CoOportunity!$B$19:$F$19</definedName>
    <definedName name="IL_FINANCIAL" localSheetId="25">'Coordinated Hlth'!$B$19:$F$19</definedName>
    <definedName name="IL_FINANCIAL" localSheetId="26">'Corporate Life'!$B$19:$F$19</definedName>
    <definedName name="IL_FINANCIAL" localSheetId="27">'Diamond Benefits'!$B$19:$F$19</definedName>
    <definedName name="IL_FINANCIAL" localSheetId="28">'EBL Life'!$B$19:$F$19</definedName>
    <definedName name="IL_FINANCIAL" localSheetId="30">ELNY!$B$19:$F$19</definedName>
    <definedName name="IL_FINANCIAL" localSheetId="29">'Executive Life'!$B$19:$F$19</definedName>
    <definedName name="IL_FINANCIAL" localSheetId="31">'Family Guaranty'!$B$19:$F$19</definedName>
    <definedName name="IL_FINANCIAL" localSheetId="32">'Farmers &amp; Ranchers'!$B$19:$F$19</definedName>
    <definedName name="IL_FINANCIAL" localSheetId="33">'Fidelity Bankers'!$B$19:$F$19</definedName>
    <definedName name="IL_FINANCIAL" localSheetId="34">'Fidelity Mutual'!$B$19:$F$19</definedName>
    <definedName name="IL_FINANCIAL" localSheetId="35">'First Capital'!$B$19:$F$19</definedName>
    <definedName name="IL_FINANCIAL" localSheetId="36">'First Natl'!$B$19:$F$19</definedName>
    <definedName name="IL_FINANCIAL" localSheetId="37">'First Natl (Thrnr)'!$B$19:$F$19</definedName>
    <definedName name="IL_FINANCIAL" localSheetId="38">'Franklin American'!$B$19:$F$19</definedName>
    <definedName name="IL_FINANCIAL" localSheetId="39">'Franklin Protective'!$B$19:$F$19</definedName>
    <definedName name="IL_FINANCIAL" localSheetId="40">'Freelancers CO-OP'!$B$19:$F$19</definedName>
    <definedName name="IL_FINANCIAL" localSheetId="41">'George Washington'!$B$19:$F$19</definedName>
    <definedName name="IL_FINANCIAL" localSheetId="42">'Golden State'!$B$19:$F$19</definedName>
    <definedName name="IL_FINANCIAL" localSheetId="43">'Guarantee Security'!$B$19:$F$19</definedName>
    <definedName name="IL_FINANCIAL" localSheetId="44">HealthyCT!$B$19:$F$19</definedName>
    <definedName name="IL_FINANCIAL" localSheetId="45">Imerica!$B$19:$F$19</definedName>
    <definedName name="IL_FINANCIAL" localSheetId="46">'Inter-American'!$B$19:$F$19</definedName>
    <definedName name="IL_FINANCIAL" localSheetId="47">'International Fin'!$B$19:$F$19</definedName>
    <definedName name="IL_FINANCIAL" localSheetId="48">'Investment Life of America'!$B$19:$F$19</definedName>
    <definedName name="IL_FINANCIAL" localSheetId="49">'Investors Equity'!$B$19:$F$19</definedName>
    <definedName name="IL_FINANCIAL" localSheetId="50">'Kentucky Central'!$B$19:$F$19</definedName>
    <definedName name="IL_FINANCIAL" localSheetId="51">'Land of Lincoln'!$B$19:$F$19</definedName>
    <definedName name="IL_FINANCIAL" localSheetId="52">Legion!$B$19:$F$19</definedName>
    <definedName name="IL_FINANCIAL" localSheetId="53">'Life Health America'!$B$19:$F$19</definedName>
    <definedName name="IL_FINANCIAL" localSheetId="54">'Lincoln Memorial'!$B$19:$F$19</definedName>
    <definedName name="IL_FINANCIAL" localSheetId="55">'London Pac'!$B$19:$F$19</definedName>
    <definedName name="IL_FINANCIAL" localSheetId="56">Lumbermens!$B$19:$F$19</definedName>
    <definedName name="IL_FINANCIAL" localSheetId="57">'Medical Savings'!$B$19:$F$19</definedName>
    <definedName name="IL_FINANCIAL" localSheetId="58">'Memorial Service'!$B$19:$F$19</definedName>
    <definedName name="IL_FINANCIAL" localSheetId="59">Midcontinent!$B$19:$F$19</definedName>
    <definedName name="IL_FINANCIAL" localSheetId="60">'Midwest Life'!$B$19:$F$19</definedName>
    <definedName name="IL_FINANCIAL" localSheetId="61">'Monarch Life'!$B$19:$F$19</definedName>
    <definedName name="IL_FINANCIAL" localSheetId="62">'Mutual Benefit'!$B$19:$F$19</definedName>
    <definedName name="IL_FINANCIAL" localSheetId="63">'Mutual Security'!$B$19:$F$19</definedName>
    <definedName name="IL_FINANCIAL" localSheetId="64">'National Affiliated'!$B$19:$F$19</definedName>
    <definedName name="IL_FINANCIAL" localSheetId="66">'National Heritage'!$B$19:$F$19</definedName>
    <definedName name="IL_FINANCIAL" localSheetId="67">'National States'!$B$19:$F$19</definedName>
    <definedName name="IL_FINANCIAL" localSheetId="65">'Natl American'!$B$19:$F$19</definedName>
    <definedName name="IL_FINANCIAL" localSheetId="68">'New Jersey Life'!$B$19:$F$19</definedName>
    <definedName name="IL_FINANCIAL" localSheetId="69">NNIC!$B$19:$F$19</definedName>
    <definedName name="IL_FINANCIAL" localSheetId="70">'Old Colony Life'!$B$19:$F$19</definedName>
    <definedName name="IL_FINANCIAL" localSheetId="71">'Old Faithful'!$B$19:$F$19</definedName>
    <definedName name="IL_FINANCIAL" localSheetId="72">'Pacific Standard'!$B$19:$F$19</definedName>
    <definedName name="IL_FINANCIAL" localSheetId="73">'Pen  Treaty'!$B$19:$F$19</definedName>
    <definedName name="IL_FINANCIAL" localSheetId="74">Reliance!$B$19:$F$19</definedName>
    <definedName name="IL_FINANCIAL" localSheetId="75">SeeChange!$B$19:$F$19</definedName>
    <definedName name="IL_FINANCIAL" localSheetId="76">'Senior American'!$B$19:$F$19</definedName>
    <definedName name="IL_FINANCIAL" localSheetId="77">Settlers!$B$19:$F$19</definedName>
    <definedName name="IL_FINANCIAL" localSheetId="78">Shenandoah!$B$19:$F$19</definedName>
    <definedName name="IL_FINANCIAL" localSheetId="79">'Standard Life IN'!$B$19:$F$19</definedName>
    <definedName name="IL_FINANCIAL" localSheetId="80">'States General'!$B$19:$F$19</definedName>
    <definedName name="IL_FINANCIAL" localSheetId="81">Statesman!$B$19:$F$19</definedName>
    <definedName name="IL_FINANCIAL" localSheetId="82">'Summit National'!$B$19:$F$19</definedName>
    <definedName name="IL_FINANCIAL" localSheetId="83">Supreme!$B$19:$F$19</definedName>
    <definedName name="IL_FINANCIAL" localSheetId="97">'Total Summary'!$B$19:$F$19</definedName>
    <definedName name="IL_FINANCIAL" localSheetId="84">Underwriters!$B$19:$F$19</definedName>
    <definedName name="IL_FINANCIAL" localSheetId="85">Unison!$B$19:$F$19</definedName>
    <definedName name="IL_FINANCIAL" localSheetId="86">'United Republic'!$B$19:$F$19</definedName>
    <definedName name="IL_FINANCIAL" localSheetId="87">'Universal Health Care'!$B$19:$F$19</definedName>
    <definedName name="IL_FINANCIAL" localSheetId="88">'Universal Life'!$B$19:$F$19</definedName>
    <definedName name="IL_FINANCIAL" localSheetId="89">Universe!$B$19:$F$19</definedName>
    <definedName name="IL_FINANCIAL" localSheetId="90">Villanova!$B$19:$F$19</definedName>
    <definedName name="IN_FINANCIAL" localSheetId="0">'Alabama Life'!$B$20:$F$20</definedName>
    <definedName name="IN_FINANCIAL" localSheetId="5">'Amer Life Asr'!$B$20:$F$20</definedName>
    <definedName name="IN_FINANCIAL" localSheetId="7">'Amer Std Life Acc'!$B$20:$F$20</definedName>
    <definedName name="IN_FINANCIAL" localSheetId="1">'American Chambers'!$B$20:$F$20</definedName>
    <definedName name="IN_FINANCIAL" localSheetId="2">'American Community'!$B$20:$F$20</definedName>
    <definedName name="IN_FINANCIAL" localSheetId="3">'American Educators'!$B$20:$F$20</definedName>
    <definedName name="IN_FINANCIAL" localSheetId="4">'American Integrity'!$B$20:$F$20</definedName>
    <definedName name="IN_FINANCIAL" localSheetId="6">'American Network'!$B$20:$F$20</definedName>
    <definedName name="IN_FINANCIAL" localSheetId="8">AmerWstrn!$B$20:$F$20</definedName>
    <definedName name="IN_FINANCIAL" localSheetId="9">'AMS Life'!$B$20:$F$20</definedName>
    <definedName name="IN_FINANCIAL" localSheetId="10">'Andrew Jackson'!$B$20:$F$20</definedName>
    <definedName name="IN_FINANCIAL" localSheetId="11">'Bankers Commercial'!$B$20:$F$20</definedName>
    <definedName name="IN_FINANCIAL" localSheetId="12">Benicorp!$B$20:$F$20</definedName>
    <definedName name="IN_FINANCIAL" localSheetId="13">'Booker T Washington'!$B$20:$F$20</definedName>
    <definedName name="IN_FINANCIAL" localSheetId="14">Centennial!$B$20:$F$20</definedName>
    <definedName name="IN_FINANCIAL" localSheetId="15">'Coastal States'!$B$20:$F$20</definedName>
    <definedName name="IN_FINANCIAL" localSheetId="16">'Colorado Health'!$B$20:$F$20</definedName>
    <definedName name="IN_FINANCIAL" localSheetId="17">'Compass (dbs Meritus)'!$B$20:$F$20</definedName>
    <definedName name="IN_FINANCIAL" localSheetId="18">'Confed Life &amp; Annty (CLIAC)'!$B$20:$F$20</definedName>
    <definedName name="IN_FINANCIAL" localSheetId="19">'Confed Life (CLIC)'!$B$20:$F$20</definedName>
    <definedName name="IN_FINANCIAL" localSheetId="20">'Consolidated National'!$B$20:$F$20</definedName>
    <definedName name="IN_FINANCIAL" localSheetId="21">'Consumers Choice'!$B$20:$F$20</definedName>
    <definedName name="IN_FINANCIAL" localSheetId="22">'Consumers Mutual'!$B$20:$F$20</definedName>
    <definedName name="IN_FINANCIAL" localSheetId="23">'Consumers United'!$B$20:$F$20</definedName>
    <definedName name="IN_FINANCIAL" localSheetId="24">CoOportunity!$B$20:$F$20</definedName>
    <definedName name="IN_FINANCIAL" localSheetId="25">'Coordinated Hlth'!$B$20:$F$20</definedName>
    <definedName name="IN_FINANCIAL" localSheetId="26">'Corporate Life'!$B$20:$F$20</definedName>
    <definedName name="IN_FINANCIAL" localSheetId="27">'Diamond Benefits'!$B$20:$F$20</definedName>
    <definedName name="IN_FINANCIAL" localSheetId="28">'EBL Life'!$B$20:$F$20</definedName>
    <definedName name="IN_FINANCIAL" localSheetId="30">ELNY!$B$20:$F$20</definedName>
    <definedName name="IN_FINANCIAL" localSheetId="29">'Executive Life'!$B$20:$F$20</definedName>
    <definedName name="IN_FINANCIAL" localSheetId="31">'Family Guaranty'!$B$20:$F$20</definedName>
    <definedName name="IN_FINANCIAL" localSheetId="32">'Farmers &amp; Ranchers'!$B$20:$F$20</definedName>
    <definedName name="IN_FINANCIAL" localSheetId="33">'Fidelity Bankers'!$B$20:$F$20</definedName>
    <definedName name="IN_FINANCIAL" localSheetId="34">'Fidelity Mutual'!$B$20:$F$20</definedName>
    <definedName name="IN_FINANCIAL" localSheetId="35">'First Capital'!$B$20:$F$20</definedName>
    <definedName name="IN_FINANCIAL" localSheetId="36">'First Natl'!$B$20:$F$20</definedName>
    <definedName name="IN_FINANCIAL" localSheetId="37">'First Natl (Thrnr)'!$B$20:$F$20</definedName>
    <definedName name="IN_FINANCIAL" localSheetId="38">'Franklin American'!$B$20:$F$20</definedName>
    <definedName name="IN_FINANCIAL" localSheetId="39">'Franklin Protective'!$B$20:$F$20</definedName>
    <definedName name="IN_FINANCIAL" localSheetId="40">'Freelancers CO-OP'!$B$20:$F$20</definedName>
    <definedName name="IN_FINANCIAL" localSheetId="41">'George Washington'!$B$20:$F$20</definedName>
    <definedName name="IN_FINANCIAL" localSheetId="42">'Golden State'!$B$20:$F$20</definedName>
    <definedName name="IN_FINANCIAL" localSheetId="43">'Guarantee Security'!$B$20:$F$20</definedName>
    <definedName name="IN_FINANCIAL" localSheetId="44">HealthyCT!$B$20:$F$20</definedName>
    <definedName name="IN_FINANCIAL" localSheetId="45">Imerica!$B$20:$F$20</definedName>
    <definedName name="IN_FINANCIAL" localSheetId="46">'Inter-American'!$B$20:$F$20</definedName>
    <definedName name="IN_FINANCIAL" localSheetId="47">'International Fin'!$B$20:$F$20</definedName>
    <definedName name="IN_FINANCIAL" localSheetId="48">'Investment Life of America'!$B$20:$F$20</definedName>
    <definedName name="IN_FINANCIAL" localSheetId="49">'Investors Equity'!$B$20:$F$20</definedName>
    <definedName name="IN_FINANCIAL" localSheetId="50">'Kentucky Central'!$B$20:$F$20</definedName>
    <definedName name="IN_FINANCIAL" localSheetId="51">'Land of Lincoln'!$B$20:$F$20</definedName>
    <definedName name="IN_FINANCIAL" localSheetId="52">Legion!$B$20:$F$20</definedName>
    <definedName name="IN_FINANCIAL" localSheetId="53">'Life Health America'!$B$20:$F$20</definedName>
    <definedName name="IN_FINANCIAL" localSheetId="54">'Lincoln Memorial'!$B$20:$F$20</definedName>
    <definedName name="IN_FINANCIAL" localSheetId="55">'London Pac'!$B$20:$F$20</definedName>
    <definedName name="IN_FINANCIAL" localSheetId="56">Lumbermens!$B$20:$F$20</definedName>
    <definedName name="IN_FINANCIAL" localSheetId="57">'Medical Savings'!$B$20:$F$20</definedName>
    <definedName name="IN_FINANCIAL" localSheetId="58">'Memorial Service'!$B$20:$F$20</definedName>
    <definedName name="IN_FINANCIAL" localSheetId="59">Midcontinent!$B$20:$F$20</definedName>
    <definedName name="IN_FINANCIAL" localSheetId="60">'Midwest Life'!$B$20:$F$20</definedName>
    <definedName name="IN_FINANCIAL" localSheetId="61">'Monarch Life'!$B$20:$F$20</definedName>
    <definedName name="IN_FINANCIAL" localSheetId="62">'Mutual Benefit'!$B$20:$F$20</definedName>
    <definedName name="IN_FINANCIAL" localSheetId="63">'Mutual Security'!$B$20:$F$20</definedName>
    <definedName name="IN_FINANCIAL" localSheetId="64">'National Affiliated'!$B$20:$F$20</definedName>
    <definedName name="IN_FINANCIAL" localSheetId="66">'National Heritage'!$B$20:$F$20</definedName>
    <definedName name="IN_FINANCIAL" localSheetId="67">'National States'!$B$20:$F$20</definedName>
    <definedName name="IN_FINANCIAL" localSheetId="65">'Natl American'!$B$20:$F$20</definedName>
    <definedName name="IN_FINANCIAL" localSheetId="68">'New Jersey Life'!$B$20:$F$20</definedName>
    <definedName name="IN_FINANCIAL" localSheetId="69">NNIC!$B$20:$F$20</definedName>
    <definedName name="IN_FINANCIAL" localSheetId="70">'Old Colony Life'!$B$20:$F$20</definedName>
    <definedName name="IN_FINANCIAL" localSheetId="71">'Old Faithful'!$B$20:$F$20</definedName>
    <definedName name="IN_FINANCIAL" localSheetId="72">'Pacific Standard'!$B$20:$F$20</definedName>
    <definedName name="IN_FINANCIAL" localSheetId="73">'Pen  Treaty'!$B$20:$F$20</definedName>
    <definedName name="IN_FINANCIAL" localSheetId="74">Reliance!$B$20:$F$20</definedName>
    <definedName name="IN_FINANCIAL" localSheetId="75">SeeChange!$B$20:$F$20</definedName>
    <definedName name="IN_FINANCIAL" localSheetId="76">'Senior American'!$B$20:$F$20</definedName>
    <definedName name="IN_FINANCIAL" localSheetId="77">Settlers!$B$20:$F$20</definedName>
    <definedName name="IN_FINANCIAL" localSheetId="78">Shenandoah!$B$20:$F$20</definedName>
    <definedName name="IN_FINANCIAL" localSheetId="79">'Standard Life IN'!$B$20:$F$20</definedName>
    <definedName name="IN_FINANCIAL" localSheetId="80">'States General'!$B$20:$F$20</definedName>
    <definedName name="IN_FINANCIAL" localSheetId="81">Statesman!$B$20:$F$20</definedName>
    <definedName name="IN_FINANCIAL" localSheetId="82">'Summit National'!$B$20:$F$20</definedName>
    <definedName name="IN_FINANCIAL" localSheetId="83">Supreme!$B$20:$F$20</definedName>
    <definedName name="IN_FINANCIAL" localSheetId="97">'Total Summary'!$B$20:$F$20</definedName>
    <definedName name="IN_FINANCIAL" localSheetId="84">Underwriters!$B$20:$F$20</definedName>
    <definedName name="IN_FINANCIAL" localSheetId="85">Unison!$B$20:$F$20</definedName>
    <definedName name="IN_FINANCIAL" localSheetId="86">'United Republic'!$B$20:$F$20</definedName>
    <definedName name="IN_FINANCIAL" localSheetId="87">'Universal Health Care'!$B$20:$F$20</definedName>
    <definedName name="IN_FINANCIAL" localSheetId="88">'Universal Life'!$B$20:$F$20</definedName>
    <definedName name="IN_FINANCIAL" localSheetId="89">Universe!$B$20:$F$20</definedName>
    <definedName name="IN_FINANCIAL" localSheetId="90">Villanova!$B$20:$F$20</definedName>
    <definedName name="KS_FINANCIAL" localSheetId="0">'Alabama Life'!$B$22:$F$22</definedName>
    <definedName name="KS_FINANCIAL" localSheetId="5">'Amer Life Asr'!$B$22:$F$22</definedName>
    <definedName name="KS_FINANCIAL" localSheetId="7">'Amer Std Life Acc'!$B$22:$F$22</definedName>
    <definedName name="KS_FINANCIAL" localSheetId="1">'American Chambers'!$B$22:$F$22</definedName>
    <definedName name="KS_FINANCIAL" localSheetId="2">'American Community'!$B$22:$F$22</definedName>
    <definedName name="KS_FINANCIAL" localSheetId="3">'American Educators'!$B$22:$F$22</definedName>
    <definedName name="KS_FINANCIAL" localSheetId="4">'American Integrity'!$B$22:$F$22</definedName>
    <definedName name="KS_FINANCIAL" localSheetId="6">'American Network'!$B$22:$F$22</definedName>
    <definedName name="KS_FINANCIAL" localSheetId="8">AmerWstrn!$B$22:$F$22</definedName>
    <definedName name="KS_FINANCIAL" localSheetId="9">'AMS Life'!$B$22:$F$22</definedName>
    <definedName name="KS_FINANCIAL" localSheetId="10">'Andrew Jackson'!$B$22:$F$22</definedName>
    <definedName name="KS_FINANCIAL" localSheetId="11">'Bankers Commercial'!$B$22:$F$22</definedName>
    <definedName name="KS_FINANCIAL" localSheetId="12">Benicorp!$B$22:$F$22</definedName>
    <definedName name="KS_FINANCIAL" localSheetId="13">'Booker T Washington'!$B$22:$F$22</definedName>
    <definedName name="KS_FINANCIAL" localSheetId="14">Centennial!$B$22:$F$22</definedName>
    <definedName name="KS_FINANCIAL" localSheetId="15">'Coastal States'!$B$22:$F$22</definedName>
    <definedName name="KS_FINANCIAL" localSheetId="16">'Colorado Health'!$B$22:$F$22</definedName>
    <definedName name="KS_FINANCIAL" localSheetId="17">'Compass (dbs Meritus)'!$B$22:$F$22</definedName>
    <definedName name="KS_FINANCIAL" localSheetId="18">'Confed Life &amp; Annty (CLIAC)'!$B$22:$F$22</definedName>
    <definedName name="KS_FINANCIAL" localSheetId="19">'Confed Life (CLIC)'!$B$22:$F$22</definedName>
    <definedName name="KS_FINANCIAL" localSheetId="20">'Consolidated National'!$B$22:$F$22</definedName>
    <definedName name="KS_FINANCIAL" localSheetId="21">'Consumers Choice'!$B$22:$F$22</definedName>
    <definedName name="KS_FINANCIAL" localSheetId="22">'Consumers Mutual'!$B$22:$F$22</definedName>
    <definedName name="KS_FINANCIAL" localSheetId="23">'Consumers United'!$B$22:$F$22</definedName>
    <definedName name="KS_FINANCIAL" localSheetId="24">CoOportunity!$B$22:$F$22</definedName>
    <definedName name="KS_FINANCIAL" localSheetId="25">'Coordinated Hlth'!$B$22:$F$22</definedName>
    <definedName name="KS_FINANCIAL" localSheetId="26">'Corporate Life'!$B$22:$F$22</definedName>
    <definedName name="KS_FINANCIAL" localSheetId="27">'Diamond Benefits'!$B$22:$F$22</definedName>
    <definedName name="KS_FINANCIAL" localSheetId="28">'EBL Life'!$B$22:$F$22</definedName>
    <definedName name="KS_FINANCIAL" localSheetId="30">ELNY!$B$22:$F$22</definedName>
    <definedName name="KS_FINANCIAL" localSheetId="29">'Executive Life'!$B$22:$F$22</definedName>
    <definedName name="KS_FINANCIAL" localSheetId="31">'Family Guaranty'!$B$22:$F$22</definedName>
    <definedName name="KS_FINANCIAL" localSheetId="32">'Farmers &amp; Ranchers'!$B$22:$F$22</definedName>
    <definedName name="KS_FINANCIAL" localSheetId="33">'Fidelity Bankers'!$B$22:$F$22</definedName>
    <definedName name="KS_FINANCIAL" localSheetId="34">'Fidelity Mutual'!$B$22:$F$22</definedName>
    <definedName name="KS_FINANCIAL" localSheetId="35">'First Capital'!$B$22:$F$22</definedName>
    <definedName name="KS_FINANCIAL" localSheetId="36">'First Natl'!$B$22:$F$22</definedName>
    <definedName name="KS_FINANCIAL" localSheetId="37">'First Natl (Thrnr)'!$B$22:$F$22</definedName>
    <definedName name="KS_FINANCIAL" localSheetId="38">'Franklin American'!$B$22:$F$22</definedName>
    <definedName name="KS_FINANCIAL" localSheetId="39">'Franklin Protective'!$B$22:$F$22</definedName>
    <definedName name="KS_FINANCIAL" localSheetId="40">'Freelancers CO-OP'!$B$22:$F$22</definedName>
    <definedName name="KS_FINANCIAL" localSheetId="41">'George Washington'!$B$22:$F$22</definedName>
    <definedName name="KS_FINANCIAL" localSheetId="42">'Golden State'!$B$22:$F$22</definedName>
    <definedName name="KS_FINANCIAL" localSheetId="43">'Guarantee Security'!$B$22:$F$22</definedName>
    <definedName name="KS_FINANCIAL" localSheetId="44">HealthyCT!$B$22:$F$22</definedName>
    <definedName name="KS_FINANCIAL" localSheetId="45">Imerica!$B$22:$F$22</definedName>
    <definedName name="KS_FINANCIAL" localSheetId="46">'Inter-American'!$B$22:$F$22</definedName>
    <definedName name="KS_FINANCIAL" localSheetId="47">'International Fin'!$B$22:$F$22</definedName>
    <definedName name="KS_FINANCIAL" localSheetId="48">'Investment Life of America'!$B$22:$F$22</definedName>
    <definedName name="KS_FINANCIAL" localSheetId="49">'Investors Equity'!$B$22:$F$22</definedName>
    <definedName name="KS_FINANCIAL" localSheetId="50">'Kentucky Central'!$B$22:$F$22</definedName>
    <definedName name="KS_FINANCIAL" localSheetId="51">'Land of Lincoln'!$B$22:$F$22</definedName>
    <definedName name="KS_FINANCIAL" localSheetId="52">Legion!$B$22:$F$22</definedName>
    <definedName name="KS_FINANCIAL" localSheetId="53">'Life Health America'!$B$22:$F$22</definedName>
    <definedName name="KS_FINANCIAL" localSheetId="54">'Lincoln Memorial'!$B$22:$F$22</definedName>
    <definedName name="KS_FINANCIAL" localSheetId="55">'London Pac'!$B$22:$F$22</definedName>
    <definedName name="KS_FINANCIAL" localSheetId="56">Lumbermens!$B$22:$F$22</definedName>
    <definedName name="KS_FINANCIAL" localSheetId="57">'Medical Savings'!$B$22:$F$22</definedName>
    <definedName name="KS_FINANCIAL" localSheetId="58">'Memorial Service'!$B$22:$F$22</definedName>
    <definedName name="KS_FINANCIAL" localSheetId="59">Midcontinent!$B$22:$F$22</definedName>
    <definedName name="KS_FINANCIAL" localSheetId="60">'Midwest Life'!$B$22:$F$22</definedName>
    <definedName name="KS_FINANCIAL" localSheetId="61">'Monarch Life'!$B$22:$F$22</definedName>
    <definedName name="KS_FINANCIAL" localSheetId="62">'Mutual Benefit'!$B$22:$F$22</definedName>
    <definedName name="KS_FINANCIAL" localSheetId="63">'Mutual Security'!$B$22:$F$22</definedName>
    <definedName name="KS_FINANCIAL" localSheetId="64">'National Affiliated'!$B$22:$F$22</definedName>
    <definedName name="KS_FINANCIAL" localSheetId="66">'National Heritage'!$B$22:$F$22</definedName>
    <definedName name="KS_FINANCIAL" localSheetId="67">'National States'!$B$22:$F$22</definedName>
    <definedName name="KS_FINANCIAL" localSheetId="65">'Natl American'!$B$22:$F$22</definedName>
    <definedName name="KS_FINANCIAL" localSheetId="68">'New Jersey Life'!$B$22:$F$22</definedName>
    <definedName name="KS_FINANCIAL" localSheetId="69">NNIC!$B$22:$F$22</definedName>
    <definedName name="KS_FINANCIAL" localSheetId="70">'Old Colony Life'!$B$22:$F$22</definedName>
    <definedName name="KS_FINANCIAL" localSheetId="71">'Old Faithful'!$B$22:$F$22</definedName>
    <definedName name="KS_FINANCIAL" localSheetId="72">'Pacific Standard'!$B$22:$F$22</definedName>
    <definedName name="KS_FINANCIAL" localSheetId="73">'Pen  Treaty'!$B$22:$F$22</definedName>
    <definedName name="KS_FINANCIAL" localSheetId="74">Reliance!$B$22:$F$22</definedName>
    <definedName name="KS_FINANCIAL" localSheetId="75">SeeChange!$B$22:$F$22</definedName>
    <definedName name="KS_FINANCIAL" localSheetId="76">'Senior American'!$B$22:$F$22</definedName>
    <definedName name="KS_FINANCIAL" localSheetId="77">Settlers!$B$22:$F$22</definedName>
    <definedName name="KS_FINANCIAL" localSheetId="78">Shenandoah!$B$22:$F$22</definedName>
    <definedName name="KS_FINANCIAL" localSheetId="79">'Standard Life IN'!$B$22:$F$22</definedName>
    <definedName name="KS_FINANCIAL" localSheetId="80">'States General'!$B$22:$F$22</definedName>
    <definedName name="KS_FINANCIAL" localSheetId="81">Statesman!$B$22:$F$22</definedName>
    <definedName name="KS_FINANCIAL" localSheetId="82">'Summit National'!$B$22:$F$22</definedName>
    <definedName name="KS_FINANCIAL" localSheetId="83">Supreme!$B$22:$F$22</definedName>
    <definedName name="KS_FINANCIAL" localSheetId="97">'Total Summary'!$B$22:$F$22</definedName>
    <definedName name="KS_FINANCIAL" localSheetId="84">Underwriters!$B$22:$F$22</definedName>
    <definedName name="KS_FINANCIAL" localSheetId="85">Unison!$B$22:$F$22</definedName>
    <definedName name="KS_FINANCIAL" localSheetId="86">'United Republic'!$B$22:$F$22</definedName>
    <definedName name="KS_FINANCIAL" localSheetId="87">'Universal Health Care'!$B$22:$F$22</definedName>
    <definedName name="KS_FINANCIAL" localSheetId="88">'Universal Life'!$B$22:$F$22</definedName>
    <definedName name="KS_FINANCIAL" localSheetId="89">Universe!$B$22:$F$22</definedName>
    <definedName name="KS_FINANCIAL" localSheetId="90">Villanova!$B$22:$F$22</definedName>
    <definedName name="KY_FINANCIAL" localSheetId="0">'Alabama Life'!$B$23:$F$23</definedName>
    <definedName name="KY_FINANCIAL" localSheetId="5">'Amer Life Asr'!$B$23:$F$23</definedName>
    <definedName name="KY_FINANCIAL" localSheetId="7">'Amer Std Life Acc'!$B$23:$F$23</definedName>
    <definedName name="KY_FINANCIAL" localSheetId="1">'American Chambers'!$B$23:$F$23</definedName>
    <definedName name="KY_FINANCIAL" localSheetId="2">'American Community'!$B$23:$F$23</definedName>
    <definedName name="KY_FINANCIAL" localSheetId="3">'American Educators'!$B$23:$F$23</definedName>
    <definedName name="KY_FINANCIAL" localSheetId="4">'American Integrity'!$B$23:$F$23</definedName>
    <definedName name="KY_FINANCIAL" localSheetId="6">'American Network'!$B$23:$F$23</definedName>
    <definedName name="KY_FINANCIAL" localSheetId="8">AmerWstrn!$B$23:$F$23</definedName>
    <definedName name="KY_FINANCIAL" localSheetId="9">'AMS Life'!$B$23:$F$23</definedName>
    <definedName name="KY_FINANCIAL" localSheetId="10">'Andrew Jackson'!$B$23:$F$23</definedName>
    <definedName name="KY_FINANCIAL" localSheetId="11">'Bankers Commercial'!$B$23:$F$23</definedName>
    <definedName name="KY_FINANCIAL" localSheetId="12">Benicorp!$B$23:$F$23</definedName>
    <definedName name="KY_FINANCIAL" localSheetId="13">'Booker T Washington'!$B$23:$F$23</definedName>
    <definedName name="KY_FINANCIAL" localSheetId="14">Centennial!$B$23:$F$23</definedName>
    <definedName name="KY_FINANCIAL" localSheetId="15">'Coastal States'!$B$23:$F$23</definedName>
    <definedName name="KY_FINANCIAL" localSheetId="16">'Colorado Health'!$B$23:$F$23</definedName>
    <definedName name="KY_FINANCIAL" localSheetId="17">'Compass (dbs Meritus)'!$B$23:$F$23</definedName>
    <definedName name="KY_FINANCIAL" localSheetId="18">'Confed Life &amp; Annty (CLIAC)'!$B$23:$F$23</definedName>
    <definedName name="KY_FINANCIAL" localSheetId="19">'Confed Life (CLIC)'!$B$23:$F$23</definedName>
    <definedName name="KY_FINANCIAL" localSheetId="20">'Consolidated National'!$B$23:$F$23</definedName>
    <definedName name="KY_FINANCIAL" localSheetId="21">'Consumers Choice'!$B$23:$F$23</definedName>
    <definedName name="KY_FINANCIAL" localSheetId="22">'Consumers Mutual'!$B$23:$F$23</definedName>
    <definedName name="KY_FINANCIAL" localSheetId="23">'Consumers United'!$B$23:$F$23</definedName>
    <definedName name="KY_FINANCIAL" localSheetId="24">CoOportunity!$B$23:$F$23</definedName>
    <definedName name="KY_FINANCIAL" localSheetId="25">'Coordinated Hlth'!$B$23:$F$23</definedName>
    <definedName name="KY_FINANCIAL" localSheetId="26">'Corporate Life'!$B$23:$F$23</definedName>
    <definedName name="KY_FINANCIAL" localSheetId="27">'Diamond Benefits'!$B$23:$F$23</definedName>
    <definedName name="KY_FINANCIAL" localSheetId="28">'EBL Life'!$B$23:$F$23</definedName>
    <definedName name="KY_FINANCIAL" localSheetId="30">ELNY!$B$23:$F$23</definedName>
    <definedName name="KY_FINANCIAL" localSheetId="29">'Executive Life'!$B$23:$F$23</definedName>
    <definedName name="KY_FINANCIAL" localSheetId="31">'Family Guaranty'!$B$23:$F$23</definedName>
    <definedName name="KY_FINANCIAL" localSheetId="32">'Farmers &amp; Ranchers'!$B$23:$F$23</definedName>
    <definedName name="KY_FINANCIAL" localSheetId="33">'Fidelity Bankers'!$B$23:$F$23</definedName>
    <definedName name="KY_FINANCIAL" localSheetId="34">'Fidelity Mutual'!$B$23:$F$23</definedName>
    <definedName name="KY_FINANCIAL" localSheetId="35">'First Capital'!$B$23:$F$23</definedName>
    <definedName name="KY_FINANCIAL" localSheetId="36">'First Natl'!$B$23:$F$23</definedName>
    <definedName name="KY_FINANCIAL" localSheetId="37">'First Natl (Thrnr)'!$B$23:$F$23</definedName>
    <definedName name="KY_FINANCIAL" localSheetId="38">'Franklin American'!$B$23:$F$23</definedName>
    <definedName name="KY_FINANCIAL" localSheetId="39">'Franklin Protective'!$B$23:$F$23</definedName>
    <definedName name="KY_FINANCIAL" localSheetId="40">'Freelancers CO-OP'!$B$23:$F$23</definedName>
    <definedName name="KY_FINANCIAL" localSheetId="41">'George Washington'!$B$23:$F$23</definedName>
    <definedName name="KY_FINANCIAL" localSheetId="42">'Golden State'!$B$23:$F$23</definedName>
    <definedName name="KY_FINANCIAL" localSheetId="43">'Guarantee Security'!$B$23:$F$23</definedName>
    <definedName name="KY_FINANCIAL" localSheetId="44">HealthyCT!$B$23:$F$23</definedName>
    <definedName name="KY_FINANCIAL" localSheetId="45">Imerica!$B$23:$F$23</definedName>
    <definedName name="KY_FINANCIAL" localSheetId="46">'Inter-American'!$B$23:$F$23</definedName>
    <definedName name="KY_FINANCIAL" localSheetId="47">'International Fin'!$B$23:$F$23</definedName>
    <definedName name="KY_FINANCIAL" localSheetId="48">'Investment Life of America'!$B$23:$F$23</definedName>
    <definedName name="KY_FINANCIAL" localSheetId="49">'Investors Equity'!$B$23:$F$23</definedName>
    <definedName name="KY_FINANCIAL" localSheetId="50">'Kentucky Central'!$B$23:$F$23</definedName>
    <definedName name="KY_FINANCIAL" localSheetId="51">'Land of Lincoln'!$B$23:$F$23</definedName>
    <definedName name="KY_FINANCIAL" localSheetId="52">Legion!$B$23:$F$23</definedName>
    <definedName name="KY_FINANCIAL" localSheetId="53">'Life Health America'!$B$23:$F$23</definedName>
    <definedName name="KY_FINANCIAL" localSheetId="54">'Lincoln Memorial'!$B$23:$F$23</definedName>
    <definedName name="KY_FINANCIAL" localSheetId="55">'London Pac'!$B$23:$F$23</definedName>
    <definedName name="KY_FINANCIAL" localSheetId="56">Lumbermens!$B$23:$F$23</definedName>
    <definedName name="KY_FINANCIAL" localSheetId="57">'Medical Savings'!$B$23:$F$23</definedName>
    <definedName name="KY_FINANCIAL" localSheetId="58">'Memorial Service'!$B$23:$F$23</definedName>
    <definedName name="KY_FINANCIAL" localSheetId="59">Midcontinent!$B$23:$F$23</definedName>
    <definedName name="KY_FINANCIAL" localSheetId="60">'Midwest Life'!$B$23:$F$23</definedName>
    <definedName name="KY_FINANCIAL" localSheetId="61">'Monarch Life'!$B$23:$F$23</definedName>
    <definedName name="KY_FINANCIAL" localSheetId="62">'Mutual Benefit'!$B$23:$F$23</definedName>
    <definedName name="KY_FINANCIAL" localSheetId="63">'Mutual Security'!$B$23:$F$23</definedName>
    <definedName name="KY_FINANCIAL" localSheetId="64">'National Affiliated'!$B$23:$F$23</definedName>
    <definedName name="KY_FINANCIAL" localSheetId="66">'National Heritage'!$B$23:$F$23</definedName>
    <definedName name="KY_FINANCIAL" localSheetId="67">'National States'!$B$23:$F$23</definedName>
    <definedName name="KY_FINANCIAL" localSheetId="65">'Natl American'!$B$23:$F$23</definedName>
    <definedName name="KY_FINANCIAL" localSheetId="68">'New Jersey Life'!$B$23:$F$23</definedName>
    <definedName name="KY_FINANCIAL" localSheetId="69">NNIC!$B$23:$F$23</definedName>
    <definedName name="KY_FINANCIAL" localSheetId="70">'Old Colony Life'!$B$23:$F$23</definedName>
    <definedName name="KY_FINANCIAL" localSheetId="71">'Old Faithful'!$B$23:$F$23</definedName>
    <definedName name="KY_FINANCIAL" localSheetId="72">'Pacific Standard'!$B$23:$F$23</definedName>
    <definedName name="KY_FINANCIAL" localSheetId="73">'Pen  Treaty'!$B$23:$F$23</definedName>
    <definedName name="KY_FINANCIAL" localSheetId="74">Reliance!$B$23:$F$23</definedName>
    <definedName name="KY_FINANCIAL" localSheetId="75">SeeChange!$B$23:$F$23</definedName>
    <definedName name="KY_FINANCIAL" localSheetId="76">'Senior American'!$B$23:$F$23</definedName>
    <definedName name="KY_FINANCIAL" localSheetId="77">Settlers!$B$23:$F$23</definedName>
    <definedName name="KY_FINANCIAL" localSheetId="78">Shenandoah!$B$23:$F$23</definedName>
    <definedName name="KY_FINANCIAL" localSheetId="79">'Standard Life IN'!$B$23:$F$23</definedName>
    <definedName name="KY_FINANCIAL" localSheetId="80">'States General'!$B$23:$F$23</definedName>
    <definedName name="KY_FINANCIAL" localSheetId="81">Statesman!$B$23:$F$23</definedName>
    <definedName name="KY_FINANCIAL" localSheetId="82">'Summit National'!$B$23:$F$23</definedName>
    <definedName name="KY_FINANCIAL" localSheetId="83">Supreme!$B$23:$F$23</definedName>
    <definedName name="KY_FINANCIAL" localSheetId="97">'Total Summary'!$B$23:$F$23</definedName>
    <definedName name="KY_FINANCIAL" localSheetId="84">Underwriters!$B$23:$F$23</definedName>
    <definedName name="KY_FINANCIAL" localSheetId="85">Unison!$B$23:$F$23</definedName>
    <definedName name="KY_FINANCIAL" localSheetId="86">'United Republic'!$B$23:$F$23</definedName>
    <definedName name="KY_FINANCIAL" localSheetId="87">'Universal Health Care'!$B$23:$F$23</definedName>
    <definedName name="KY_FINANCIAL" localSheetId="88">'Universal Life'!$B$23:$F$23</definedName>
    <definedName name="KY_FINANCIAL" localSheetId="89">Universe!$B$23:$F$23</definedName>
    <definedName name="KY_FINANCIAL" localSheetId="90">Villanova!$B$23:$F$23</definedName>
    <definedName name="LA_FINANCIAL" localSheetId="0">'Alabama Life'!$B$24:$F$24</definedName>
    <definedName name="LA_FINANCIAL" localSheetId="5">'Amer Life Asr'!$B$24:$F$24</definedName>
    <definedName name="LA_FINANCIAL" localSheetId="7">'Amer Std Life Acc'!$B$24:$F$24</definedName>
    <definedName name="LA_FINANCIAL" localSheetId="1">'American Chambers'!$B$24:$F$24</definedName>
    <definedName name="LA_FINANCIAL" localSheetId="2">'American Community'!$B$24:$F$24</definedName>
    <definedName name="LA_FINANCIAL" localSheetId="3">'American Educators'!$B$24:$F$24</definedName>
    <definedName name="LA_FINANCIAL" localSheetId="4">'American Integrity'!$B$24:$F$24</definedName>
    <definedName name="LA_FINANCIAL" localSheetId="6">'American Network'!$B$24:$F$24</definedName>
    <definedName name="LA_FINANCIAL" localSheetId="8">AmerWstrn!$B$24:$F$24</definedName>
    <definedName name="LA_FINANCIAL" localSheetId="9">'AMS Life'!$B$24:$F$24</definedName>
    <definedName name="LA_FINANCIAL" localSheetId="10">'Andrew Jackson'!$B$24:$F$24</definedName>
    <definedName name="LA_FINANCIAL" localSheetId="11">'Bankers Commercial'!$B$24:$F$24</definedName>
    <definedName name="LA_FINANCIAL" localSheetId="12">Benicorp!$B$24:$F$24</definedName>
    <definedName name="LA_FINANCIAL" localSheetId="13">'Booker T Washington'!$B$24:$F$24</definedName>
    <definedName name="LA_FINANCIAL" localSheetId="14">Centennial!$B$24:$F$24</definedName>
    <definedName name="LA_FINANCIAL" localSheetId="15">'Coastal States'!$B$24:$F$24</definedName>
    <definedName name="LA_FINANCIAL" localSheetId="16">'Colorado Health'!$B$24:$F$24</definedName>
    <definedName name="LA_FINANCIAL" localSheetId="17">'Compass (dbs Meritus)'!$B$24:$F$24</definedName>
    <definedName name="LA_FINANCIAL" localSheetId="18">'Confed Life &amp; Annty (CLIAC)'!$B$24:$F$24</definedName>
    <definedName name="LA_FINANCIAL" localSheetId="19">'Confed Life (CLIC)'!$B$24:$F$24</definedName>
    <definedName name="LA_FINANCIAL" localSheetId="20">'Consolidated National'!$B$24:$F$24</definedName>
    <definedName name="LA_FINANCIAL" localSheetId="21">'Consumers Choice'!$B$24:$F$24</definedName>
    <definedName name="LA_FINANCIAL" localSheetId="22">'Consumers Mutual'!$B$24:$F$24</definedName>
    <definedName name="LA_FINANCIAL" localSheetId="23">'Consumers United'!$B$24:$F$24</definedName>
    <definedName name="LA_FINANCIAL" localSheetId="24">CoOportunity!$B$24:$F$24</definedName>
    <definedName name="LA_FINANCIAL" localSheetId="25">'Coordinated Hlth'!$B$24:$F$24</definedName>
    <definedName name="LA_FINANCIAL" localSheetId="26">'Corporate Life'!$B$24:$F$24</definedName>
    <definedName name="LA_FINANCIAL" localSheetId="27">'Diamond Benefits'!$B$24:$F$24</definedName>
    <definedName name="LA_FINANCIAL" localSheetId="28">'EBL Life'!$B$24:$F$24</definedName>
    <definedName name="LA_FINANCIAL" localSheetId="30">ELNY!$B$24:$F$24</definedName>
    <definedName name="LA_FINANCIAL" localSheetId="29">'Executive Life'!$B$24:$F$24</definedName>
    <definedName name="LA_FINANCIAL" localSheetId="31">'Family Guaranty'!$B$24:$F$24</definedName>
    <definedName name="LA_FINANCIAL" localSheetId="32">'Farmers &amp; Ranchers'!$B$24:$F$24</definedName>
    <definedName name="LA_FINANCIAL" localSheetId="33">'Fidelity Bankers'!$B$24:$F$24</definedName>
    <definedName name="LA_FINANCIAL" localSheetId="34">'Fidelity Mutual'!$B$24:$F$24</definedName>
    <definedName name="LA_FINANCIAL" localSheetId="35">'First Capital'!$B$24:$F$24</definedName>
    <definedName name="LA_FINANCIAL" localSheetId="36">'First Natl'!$B$24:$F$24</definedName>
    <definedName name="LA_FINANCIAL" localSheetId="37">'First Natl (Thrnr)'!$B$24:$F$24</definedName>
    <definedName name="LA_FINANCIAL" localSheetId="38">'Franklin American'!$B$24:$F$24</definedName>
    <definedName name="LA_FINANCIAL" localSheetId="39">'Franklin Protective'!$B$24:$F$24</definedName>
    <definedName name="LA_FINANCIAL" localSheetId="40">'Freelancers CO-OP'!$B$24:$F$24</definedName>
    <definedName name="LA_FINANCIAL" localSheetId="41">'George Washington'!$B$24:$F$24</definedName>
    <definedName name="LA_FINANCIAL" localSheetId="42">'Golden State'!$B$24:$F$24</definedName>
    <definedName name="LA_FINANCIAL" localSheetId="43">'Guarantee Security'!$B$24:$F$24</definedName>
    <definedName name="LA_FINANCIAL" localSheetId="44">HealthyCT!$B$24:$F$24</definedName>
    <definedName name="LA_FINANCIAL" localSheetId="45">Imerica!$B$24:$F$24</definedName>
    <definedName name="LA_FINANCIAL" localSheetId="46">'Inter-American'!$B$24:$F$24</definedName>
    <definedName name="LA_FINANCIAL" localSheetId="47">'International Fin'!$B$24:$F$24</definedName>
    <definedName name="LA_FINANCIAL" localSheetId="48">'Investment Life of America'!$B$24:$F$24</definedName>
    <definedName name="LA_FINANCIAL" localSheetId="49">'Investors Equity'!$B$24:$F$24</definedName>
    <definedName name="LA_FINANCIAL" localSheetId="50">'Kentucky Central'!$B$24:$F$24</definedName>
    <definedName name="LA_FINANCIAL" localSheetId="51">'Land of Lincoln'!$B$24:$F$24</definedName>
    <definedName name="LA_FINANCIAL" localSheetId="52">Legion!$B$24:$F$24</definedName>
    <definedName name="LA_FINANCIAL" localSheetId="53">'Life Health America'!$B$24:$F$24</definedName>
    <definedName name="LA_FINANCIAL" localSheetId="54">'Lincoln Memorial'!$B$24:$F$24</definedName>
    <definedName name="LA_FINANCIAL" localSheetId="55">'London Pac'!$B$24:$F$24</definedName>
    <definedName name="LA_FINANCIAL" localSheetId="56">Lumbermens!$B$24:$F$24</definedName>
    <definedName name="LA_FINANCIAL" localSheetId="57">'Medical Savings'!$B$24:$F$24</definedName>
    <definedName name="LA_FINANCIAL" localSheetId="58">'Memorial Service'!$B$24:$F$24</definedName>
    <definedName name="LA_FINANCIAL" localSheetId="59">Midcontinent!$B$24:$F$24</definedName>
    <definedName name="LA_FINANCIAL" localSheetId="60">'Midwest Life'!$B$24:$F$24</definedName>
    <definedName name="LA_FINANCIAL" localSheetId="61">'Monarch Life'!$B$24:$F$24</definedName>
    <definedName name="LA_FINANCIAL" localSheetId="62">'Mutual Benefit'!$B$24:$F$24</definedName>
    <definedName name="LA_FINANCIAL" localSheetId="63">'Mutual Security'!$B$24:$F$24</definedName>
    <definedName name="LA_FINANCIAL" localSheetId="64">'National Affiliated'!$B$24:$F$24</definedName>
    <definedName name="LA_FINANCIAL" localSheetId="66">'National Heritage'!$B$24:$F$24</definedName>
    <definedName name="LA_FINANCIAL" localSheetId="67">'National States'!$B$24:$F$24</definedName>
    <definedName name="LA_FINANCIAL" localSheetId="65">'Natl American'!$B$24:$F$24</definedName>
    <definedName name="LA_FINANCIAL" localSheetId="68">'New Jersey Life'!$B$24:$F$24</definedName>
    <definedName name="LA_FINANCIAL" localSheetId="69">NNIC!$B$24:$F$24</definedName>
    <definedName name="LA_FINANCIAL" localSheetId="70">'Old Colony Life'!$B$24:$F$24</definedName>
    <definedName name="LA_FINANCIAL" localSheetId="71">'Old Faithful'!$B$24:$F$24</definedName>
    <definedName name="LA_FINANCIAL" localSheetId="72">'Pacific Standard'!$B$24:$F$24</definedName>
    <definedName name="LA_FINANCIAL" localSheetId="73">'Pen  Treaty'!$B$24:$F$24</definedName>
    <definedName name="LA_FINANCIAL" localSheetId="74">Reliance!$B$24:$F$24</definedName>
    <definedName name="LA_FINANCIAL" localSheetId="75">SeeChange!$B$24:$F$24</definedName>
    <definedName name="LA_FINANCIAL" localSheetId="76">'Senior American'!$B$24:$F$24</definedName>
    <definedName name="LA_FINANCIAL" localSheetId="77">Settlers!$B$24:$F$24</definedName>
    <definedName name="LA_FINANCIAL" localSheetId="78">Shenandoah!$B$24:$F$24</definedName>
    <definedName name="LA_FINANCIAL" localSheetId="79">'Standard Life IN'!$B$24:$F$24</definedName>
    <definedName name="LA_FINANCIAL" localSheetId="80">'States General'!$B$24:$F$24</definedName>
    <definedName name="LA_FINANCIAL" localSheetId="81">Statesman!$B$24:$F$24</definedName>
    <definedName name="LA_FINANCIAL" localSheetId="82">'Summit National'!$B$24:$F$24</definedName>
    <definedName name="LA_FINANCIAL" localSheetId="83">Supreme!$B$24:$F$24</definedName>
    <definedName name="LA_FINANCIAL" localSheetId="97">'Total Summary'!$B$24:$F$24</definedName>
    <definedName name="LA_FINANCIAL" localSheetId="84">Underwriters!$B$24:$F$24</definedName>
    <definedName name="LA_FINANCIAL" localSheetId="85">Unison!$B$24:$F$24</definedName>
    <definedName name="LA_FINANCIAL" localSheetId="86">'United Republic'!$B$24:$F$24</definedName>
    <definedName name="LA_FINANCIAL" localSheetId="87">'Universal Health Care'!$B$24:$F$24</definedName>
    <definedName name="LA_FINANCIAL" localSheetId="88">'Universal Life'!$B$24:$F$24</definedName>
    <definedName name="LA_FINANCIAL" localSheetId="89">Universe!$B$24:$F$24</definedName>
    <definedName name="LA_FINANCIAL" localSheetId="90">Villanova!$B$24:$F$24</definedName>
    <definedName name="LESS_FINANCIAL" localSheetId="0">'Alabama Life'!$J$19:$J$24</definedName>
    <definedName name="LESS_FINANCIAL" localSheetId="5">'Amer Life Asr'!$J$19:$J$24</definedName>
    <definedName name="LESS_FINANCIAL" localSheetId="7">'Amer Std Life Acc'!$J$19:$J$24</definedName>
    <definedName name="LESS_FINANCIAL" localSheetId="1">'American Chambers'!$J$19:$J$24</definedName>
    <definedName name="LESS_FINANCIAL" localSheetId="2">'American Community'!$J$19:$J$24</definedName>
    <definedName name="LESS_FINANCIAL" localSheetId="3">'American Educators'!$J$19:$J$24</definedName>
    <definedName name="LESS_FINANCIAL" localSheetId="4">'American Integrity'!$J$19:$J$24</definedName>
    <definedName name="LESS_FINANCIAL" localSheetId="6">'American Network'!$J$19:$J$24</definedName>
    <definedName name="LESS_FINANCIAL" localSheetId="8">AmerWstrn!$J$19:$J$24</definedName>
    <definedName name="LESS_FINANCIAL" localSheetId="9">'AMS Life'!$J$19:$J$24</definedName>
    <definedName name="LESS_FINANCIAL" localSheetId="10">'Andrew Jackson'!$J$19:$J$24</definedName>
    <definedName name="LESS_FINANCIAL" localSheetId="11">'Bankers Commercial'!$J$19:$J$24</definedName>
    <definedName name="LESS_FINANCIAL" localSheetId="12">Benicorp!$J$19:$J$24</definedName>
    <definedName name="LESS_FINANCIAL" localSheetId="13">'Booker T Washington'!$J$19:$J$24</definedName>
    <definedName name="LESS_FINANCIAL" localSheetId="14">Centennial!$J$19:$J$24</definedName>
    <definedName name="LESS_FINANCIAL" localSheetId="15">'Coastal States'!$J$19:$J$24</definedName>
    <definedName name="LESS_FINANCIAL" localSheetId="16">'Colorado Health'!$J$19:$J$24</definedName>
    <definedName name="LESS_FINANCIAL" localSheetId="17">'Compass (dbs Meritus)'!$J$19:$J$24</definedName>
    <definedName name="LESS_FINANCIAL" localSheetId="18">'Confed Life &amp; Annty (CLIAC)'!$J$19:$J$24</definedName>
    <definedName name="LESS_FINANCIAL" localSheetId="19">'Confed Life (CLIC)'!$J$19:$J$24</definedName>
    <definedName name="LESS_FINANCIAL" localSheetId="20">'Consolidated National'!$J$19:$J$24</definedName>
    <definedName name="LESS_FINANCIAL" localSheetId="21">'Consumers Choice'!$J$19:$J$24</definedName>
    <definedName name="LESS_FINANCIAL" localSheetId="22">'Consumers Mutual'!$J$19:$J$24</definedName>
    <definedName name="LESS_FINANCIAL" localSheetId="23">'Consumers United'!$J$19:$J$24</definedName>
    <definedName name="LESS_FINANCIAL" localSheetId="24">CoOportunity!$J$19:$J$24</definedName>
    <definedName name="LESS_FINANCIAL" localSheetId="25">'Coordinated Hlth'!$J$19:$J$24</definedName>
    <definedName name="LESS_FINANCIAL" localSheetId="26">'Corporate Life'!$J$19:$J$24</definedName>
    <definedName name="LESS_FINANCIAL" localSheetId="27">'Diamond Benefits'!$J$19:$J$24</definedName>
    <definedName name="LESS_FINANCIAL" localSheetId="28">'EBL Life'!$J$19:$J$24</definedName>
    <definedName name="LESS_FINANCIAL" localSheetId="30">ELNY!$J$19:$J$24</definedName>
    <definedName name="LESS_FINANCIAL" localSheetId="29">'Executive Life'!$J$19:$J$24</definedName>
    <definedName name="LESS_FINANCIAL" localSheetId="31">'Family Guaranty'!$J$19:$J$24</definedName>
    <definedName name="LESS_FINANCIAL" localSheetId="32">'Farmers &amp; Ranchers'!$J$19:$J$24</definedName>
    <definedName name="LESS_FINANCIAL" localSheetId="33">'Fidelity Bankers'!$J$19:$J$24</definedName>
    <definedName name="LESS_FINANCIAL" localSheetId="34">'Fidelity Mutual'!$J$19:$J$24</definedName>
    <definedName name="LESS_FINANCIAL" localSheetId="35">'First Capital'!$J$19:$J$24</definedName>
    <definedName name="LESS_FINANCIAL" localSheetId="36">'First Natl'!$J$19:$J$24</definedName>
    <definedName name="LESS_FINANCIAL" localSheetId="37">'First Natl (Thrnr)'!$J$19:$J$24</definedName>
    <definedName name="LESS_FINANCIAL" localSheetId="38">'Franklin American'!$J$19:$J$24</definedName>
    <definedName name="LESS_FINANCIAL" localSheetId="39">'Franklin Protective'!$J$19:$J$24</definedName>
    <definedName name="LESS_FINANCIAL" localSheetId="40">'Freelancers CO-OP'!$J$19:$J$24</definedName>
    <definedName name="LESS_FINANCIAL" localSheetId="41">'George Washington'!$J$19:$J$24</definedName>
    <definedName name="LESS_FINANCIAL" localSheetId="42">'Golden State'!$J$19:$J$24</definedName>
    <definedName name="LESS_FINANCIAL" localSheetId="43">'Guarantee Security'!$J$19:$J$24</definedName>
    <definedName name="LESS_FINANCIAL" localSheetId="44">HealthyCT!$J$19:$J$24</definedName>
    <definedName name="LESS_FINANCIAL" localSheetId="45">Imerica!$J$19:$J$24</definedName>
    <definedName name="LESS_FINANCIAL" localSheetId="46">'Inter-American'!$J$19:$J$24</definedName>
    <definedName name="LESS_FINANCIAL" localSheetId="47">'International Fin'!$J$19:$J$24</definedName>
    <definedName name="LESS_FINANCIAL" localSheetId="48">'Investment Life of America'!$J$19:$J$24</definedName>
    <definedName name="LESS_FINANCIAL" localSheetId="49">'Investors Equity'!$J$19:$J$24</definedName>
    <definedName name="LESS_FINANCIAL" localSheetId="50">'Kentucky Central'!$J$19:$J$24</definedName>
    <definedName name="LESS_FINANCIAL" localSheetId="51">'Land of Lincoln'!$J$19:$J$24</definedName>
    <definedName name="LESS_FINANCIAL" localSheetId="52">Legion!$J$19:$J$24</definedName>
    <definedName name="LESS_FINANCIAL" localSheetId="53">'Life Health America'!$J$19:$J$24</definedName>
    <definedName name="LESS_FINANCIAL" localSheetId="54">'Lincoln Memorial'!$J$19:$J$24</definedName>
    <definedName name="LESS_FINANCIAL" localSheetId="55">'London Pac'!$J$19:$J$24</definedName>
    <definedName name="LESS_FINANCIAL" localSheetId="56">Lumbermens!$J$19:$J$24</definedName>
    <definedName name="LESS_FINANCIAL" localSheetId="57">'Medical Savings'!$J$19:$J$24</definedName>
    <definedName name="LESS_FINANCIAL" localSheetId="58">'Memorial Service'!$J$19:$J$24</definedName>
    <definedName name="LESS_FINANCIAL" localSheetId="59">Midcontinent!$J$19:$J$24</definedName>
    <definedName name="LESS_FINANCIAL" localSheetId="60">'Midwest Life'!$J$19:$J$24</definedName>
    <definedName name="LESS_FINANCIAL" localSheetId="61">'Monarch Life'!$J$19:$J$24</definedName>
    <definedName name="LESS_FINANCIAL" localSheetId="62">'Mutual Benefit'!$J$19:$J$24</definedName>
    <definedName name="LESS_FINANCIAL" localSheetId="63">'Mutual Security'!$J$19:$J$24</definedName>
    <definedName name="LESS_FINANCIAL" localSheetId="64">'National Affiliated'!$J$19:$J$24</definedName>
    <definedName name="LESS_FINANCIAL" localSheetId="66">'National Heritage'!$J$19:$J$24</definedName>
    <definedName name="LESS_FINANCIAL" localSheetId="67">'National States'!$J$19:$J$24</definedName>
    <definedName name="LESS_FINANCIAL" localSheetId="65">'Natl American'!$J$19:$J$24</definedName>
    <definedName name="LESS_FINANCIAL" localSheetId="68">'New Jersey Life'!$J$19:$J$24</definedName>
    <definedName name="LESS_FINANCIAL" localSheetId="69">NNIC!$J$19:$J$24</definedName>
    <definedName name="LESS_FINANCIAL" localSheetId="70">'Old Colony Life'!$J$19:$J$24</definedName>
    <definedName name="LESS_FINANCIAL" localSheetId="71">'Old Faithful'!$J$19:$J$24</definedName>
    <definedName name="LESS_FINANCIAL" localSheetId="72">'Pacific Standard'!$J$19:$J$24</definedName>
    <definedName name="LESS_FINANCIAL" localSheetId="73">'Pen  Treaty'!$J$19:$J$24</definedName>
    <definedName name="LESS_FINANCIAL" localSheetId="74">Reliance!$J$19:$J$24</definedName>
    <definedName name="LESS_FINANCIAL" localSheetId="75">SeeChange!$J$19:$J$24</definedName>
    <definedName name="LESS_FINANCIAL" localSheetId="76">'Senior American'!$J$19:$J$24</definedName>
    <definedName name="LESS_FINANCIAL" localSheetId="77">Settlers!$J$19:$J$24</definedName>
    <definedName name="LESS_FINANCIAL" localSheetId="78">Shenandoah!$J$19:$J$24</definedName>
    <definedName name="LESS_FINANCIAL" localSheetId="79">'Standard Life IN'!$J$19:$J$24</definedName>
    <definedName name="LESS_FINANCIAL" localSheetId="80">'States General'!$J$19:$J$24</definedName>
    <definedName name="LESS_FINANCIAL" localSheetId="81">Statesman!$J$19:$J$24</definedName>
    <definedName name="LESS_FINANCIAL" localSheetId="82">'Summit National'!$J$19:$J$24</definedName>
    <definedName name="LESS_FINANCIAL" localSheetId="83">Supreme!$J$19:$J$24</definedName>
    <definedName name="LESS_FINANCIAL" localSheetId="84">Underwriters!$J$19:$J$24</definedName>
    <definedName name="LESS_FINANCIAL" localSheetId="85">Unison!$J$19:$J$24</definedName>
    <definedName name="LESS_FINANCIAL" localSheetId="86">'United Republic'!$J$19:$J$24</definedName>
    <definedName name="LESS_FINANCIAL" localSheetId="87">'Universal Health Care'!$J$19:$J$24</definedName>
    <definedName name="LESS_FINANCIAL" localSheetId="88">'Universal Life'!$J$19:$J$24</definedName>
    <definedName name="LESS_FINANCIAL" localSheetId="89">Universe!$J$19:$J$24</definedName>
    <definedName name="LESS_FINANCIAL" localSheetId="90">Villanova!$J$19:$J$24</definedName>
    <definedName name="LIFE" localSheetId="0">'Alabama Life'!$B$6:$B$59</definedName>
    <definedName name="LIFE" localSheetId="5">'Amer Life Asr'!$B$6:$B$59</definedName>
    <definedName name="LIFE" localSheetId="7">'Amer Std Life Acc'!$B$6:$B$59</definedName>
    <definedName name="LIFE" localSheetId="1">'American Chambers'!$B$6:$B$59</definedName>
    <definedName name="LIFE" localSheetId="2">'American Community'!$B$6:$B$59</definedName>
    <definedName name="LIFE" localSheetId="3">'American Educators'!$B$6:$B$59</definedName>
    <definedName name="LIFE" localSheetId="4">'American Integrity'!$B$6:$B$59</definedName>
    <definedName name="LIFE" localSheetId="6">'American Network'!$B$6:$B$59</definedName>
    <definedName name="LIFE" localSheetId="8">AmerWstrn!$B$6:$B$59</definedName>
    <definedName name="LIFE" localSheetId="9">'AMS Life'!$B$6:$B$59</definedName>
    <definedName name="LIFE" localSheetId="10">'Andrew Jackson'!$B$6:$B$59</definedName>
    <definedName name="LIFE" localSheetId="11">'Bankers Commercial'!$B$6:$B$59</definedName>
    <definedName name="LIFE" localSheetId="12">Benicorp!$B$6:$B$59</definedName>
    <definedName name="LIFE" localSheetId="13">'Booker T Washington'!$B$6:$B$59</definedName>
    <definedName name="LIFE" localSheetId="14">Centennial!$B$6:$B$59</definedName>
    <definedName name="LIFE" localSheetId="94">'Closed Summary'!$B$6:$B$58</definedName>
    <definedName name="LIFE" localSheetId="15">'Coastal States'!$B$6:$B$59</definedName>
    <definedName name="LIFE" localSheetId="16">'Colorado Health'!$B$6:$B$59</definedName>
    <definedName name="LIFE" localSheetId="17">'Compass (dbs Meritus)'!$B$6:$B$59</definedName>
    <definedName name="LIFE" localSheetId="18">'Confed Life &amp; Annty (CLIAC)'!$B$6:$B$59</definedName>
    <definedName name="LIFE" localSheetId="19">'Confed Life (CLIC)'!$B$6:$B$59</definedName>
    <definedName name="LIFE" localSheetId="20">'Consolidated National'!$B$6:$B$59</definedName>
    <definedName name="LIFE" localSheetId="21">'Consumers Choice'!$B$6:$B$59</definedName>
    <definedName name="LIFE" localSheetId="22">'Consumers Mutual'!$B$6:$B$59</definedName>
    <definedName name="LIFE" localSheetId="23">'Consumers United'!$B$6:$B$59</definedName>
    <definedName name="LIFE" localSheetId="24">CoOportunity!$B$6:$B$59</definedName>
    <definedName name="LIFE" localSheetId="25">'Coordinated Hlth'!$B$6:$B$59</definedName>
    <definedName name="LIFE" localSheetId="26">'Corporate Life'!$B$6:$B$59</definedName>
    <definedName name="LIFE" localSheetId="27">'Diamond Benefits'!$B$6:$B$59</definedName>
    <definedName name="LIFE" localSheetId="28">'EBL Life'!$B$6:$B$59</definedName>
    <definedName name="LIFE" localSheetId="30">ELNY!$B$6:$B$59</definedName>
    <definedName name="LIFE" localSheetId="95">'Estate Closed Summary'!$B$6:$B$58</definedName>
    <definedName name="LIFE" localSheetId="29">'Executive Life'!$B$6:$B$59</definedName>
    <definedName name="LIFE" localSheetId="31">'Family Guaranty'!$B$6:$B$59</definedName>
    <definedName name="LIFE" localSheetId="32">'Farmers &amp; Ranchers'!$B$6:$B$59</definedName>
    <definedName name="LIFE" localSheetId="33">'Fidelity Bankers'!$B$6:$B$59</definedName>
    <definedName name="LIFE" localSheetId="34">'Fidelity Mutual'!$B$6:$B$59</definedName>
    <definedName name="LIFE" localSheetId="35">'First Capital'!$B$6:$B$59</definedName>
    <definedName name="LIFE" localSheetId="36">'First Natl'!$B$6:$B$59</definedName>
    <definedName name="LIFE" localSheetId="37">'First Natl (Thrnr)'!$B$6:$B$59</definedName>
    <definedName name="LIFE" localSheetId="38">'Franklin American'!$B$6:$B$59</definedName>
    <definedName name="LIFE" localSheetId="39">'Franklin Protective'!$B$6:$B$59</definedName>
    <definedName name="LIFE" localSheetId="40">'Freelancers CO-OP'!$B$6:$B$59</definedName>
    <definedName name="LIFE" localSheetId="41">'George Washington'!$B$6:$B$59</definedName>
    <definedName name="LIFE" localSheetId="42">'Golden State'!$B$6:$B$59</definedName>
    <definedName name="LIFE" localSheetId="43">'Guarantee Security'!$B$6:$B$59</definedName>
    <definedName name="LIFE" localSheetId="44">HealthyCT!$B$6:$B$59</definedName>
    <definedName name="LIFE" localSheetId="45">Imerica!$B$6:$B$59</definedName>
    <definedName name="LIFE" localSheetId="46">'Inter-American'!$B$6:$B$59</definedName>
    <definedName name="LIFE" localSheetId="47">'International Fin'!$B$6:$B$59</definedName>
    <definedName name="LIFE" localSheetId="48">'Investment Life of America'!$B$6:$B$59</definedName>
    <definedName name="LIFE" localSheetId="49">'Investors Equity'!$B$6:$B$59</definedName>
    <definedName name="LIFE" localSheetId="50">'Kentucky Central'!$B$6:$B$59</definedName>
    <definedName name="LIFE" localSheetId="51">'Land of Lincoln'!$B$6:$B$59</definedName>
    <definedName name="LIFE" localSheetId="52">Legion!$B$6:$B$59</definedName>
    <definedName name="LIFE" localSheetId="53">'Life Health America'!$B$6:$B$59</definedName>
    <definedName name="LIFE" localSheetId="54">'Lincoln Memorial'!$B$6:$B$59</definedName>
    <definedName name="LIFE" localSheetId="55">'London Pac'!$B$6:$B$59</definedName>
    <definedName name="LIFE" localSheetId="56">Lumbermens!$B$6:$B$59</definedName>
    <definedName name="LIFE" localSheetId="57">'Medical Savings'!$B$6:$B$59</definedName>
    <definedName name="LIFE" localSheetId="58">'Memorial Service'!$B$6:$B$59</definedName>
    <definedName name="LIFE" localSheetId="59">Midcontinent!$B$6:$B$59</definedName>
    <definedName name="LIFE" localSheetId="60">'Midwest Life'!$B$6:$B$59</definedName>
    <definedName name="LIFE" localSheetId="61">'Monarch Life'!$B$6:$B$59</definedName>
    <definedName name="LIFE" localSheetId="62">'Mutual Benefit'!$B$6:$B$59</definedName>
    <definedName name="LIFE" localSheetId="63">'Mutual Security'!$B$6:$B$59</definedName>
    <definedName name="LIFE" localSheetId="64">'National Affiliated'!$B$6:$B$59</definedName>
    <definedName name="LIFE" localSheetId="66">'National Heritage'!$B$6:$B$59</definedName>
    <definedName name="LIFE" localSheetId="67">'National States'!$B$6:$B$59</definedName>
    <definedName name="LIFE" localSheetId="65">'Natl American'!$B$6:$B$59</definedName>
    <definedName name="LIFE" localSheetId="68">'New Jersey Life'!$B$6:$B$59</definedName>
    <definedName name="LIFE" localSheetId="69">NNIC!$B$6:$B$59</definedName>
    <definedName name="LIFE" localSheetId="70">'Old Colony Life'!$B$6:$B$59</definedName>
    <definedName name="LIFE" localSheetId="71">'Old Faithful'!$B$6:$B$59</definedName>
    <definedName name="LIFE" localSheetId="93">'Open Summary'!$B$6:$B$58</definedName>
    <definedName name="LIFE" localSheetId="72">'Pacific Standard'!$B$6:$B$59</definedName>
    <definedName name="LIFE" localSheetId="73">'Pen  Treaty'!$B$6:$B$59</definedName>
    <definedName name="LIFE" localSheetId="92">'Pre-Liquidation Summary'!$B$6:$B$58</definedName>
    <definedName name="LIFE" localSheetId="96">'Released from Oversight Summary'!$B$6:$B$58</definedName>
    <definedName name="LIFE" localSheetId="74">Reliance!$B$6:$B$59</definedName>
    <definedName name="LIFE" localSheetId="75">SeeChange!$B$6:$B$59</definedName>
    <definedName name="LIFE" localSheetId="76">'Senior American'!$B$6:$B$59</definedName>
    <definedName name="LIFE" localSheetId="77">Settlers!$B$6:$B$59</definedName>
    <definedName name="LIFE" localSheetId="78">Shenandoah!$B$6:$B$59</definedName>
    <definedName name="LIFE" localSheetId="79">'Standard Life IN'!$B$6:$B$59</definedName>
    <definedName name="LIFE" localSheetId="80">'States General'!$B$6:$B$59</definedName>
    <definedName name="LIFE" localSheetId="81">Statesman!$B$6:$B$59</definedName>
    <definedName name="LIFE" localSheetId="82">'Summit National'!$B$6:$B$59</definedName>
    <definedName name="LIFE" localSheetId="83">Supreme!$B$6:$B$59</definedName>
    <definedName name="LIFE" localSheetId="97">'Total Summary'!$B$6:$B$59</definedName>
    <definedName name="LIFE" localSheetId="84">Underwriters!$B$6:$B$59</definedName>
    <definedName name="LIFE" localSheetId="85">Unison!$B$6:$B$59</definedName>
    <definedName name="LIFE" localSheetId="86">'United Republic'!$B$6:$B$59</definedName>
    <definedName name="LIFE" localSheetId="87">'Universal Health Care'!$B$6:$B$59</definedName>
    <definedName name="LIFE" localSheetId="88">'Universal Life'!$B$6:$B$59</definedName>
    <definedName name="LIFE" localSheetId="89">Universe!$B$6:$B$59</definedName>
    <definedName name="LIFE" localSheetId="90">Villanova!$B$6:$B$59</definedName>
    <definedName name="LIFE_CALLED" localSheetId="0">'Alabama Life'!$L$6:$L$58</definedName>
    <definedName name="LIFE_CALLED" localSheetId="5">'Amer Life Asr'!$L$6:$L$58</definedName>
    <definedName name="LIFE_CALLED" localSheetId="7">'Amer Std Life Acc'!$L$6:$L$58</definedName>
    <definedName name="LIFE_CALLED" localSheetId="1">'American Chambers'!$L$6:$L$58</definedName>
    <definedName name="LIFE_CALLED" localSheetId="2">'American Community'!$L$6:$L$58</definedName>
    <definedName name="LIFE_CALLED" localSheetId="3">'American Educators'!$L$6:$L$58</definedName>
    <definedName name="LIFE_CALLED" localSheetId="4">'American Integrity'!$L$6:$L$58</definedName>
    <definedName name="LIFE_CALLED" localSheetId="6">'American Network'!$L$6:$L$58</definedName>
    <definedName name="LIFE_CALLED" localSheetId="8">AmerWstrn!$L$6:$L$58</definedName>
    <definedName name="LIFE_CALLED" localSheetId="9">'AMS Life'!$L$6:$L$58</definedName>
    <definedName name="LIFE_CALLED" localSheetId="10">'Andrew Jackson'!$L$6:$L$58</definedName>
    <definedName name="LIFE_CALLED" localSheetId="11">'Bankers Commercial'!$L$6:$L$58</definedName>
    <definedName name="LIFE_CALLED" localSheetId="12">Benicorp!$L$6:$L$58</definedName>
    <definedName name="LIFE_CALLED" localSheetId="13">'Booker T Washington'!$L$6:$L$58</definedName>
    <definedName name="LIFE_CALLED" localSheetId="14">Centennial!$L$6:$L$58</definedName>
    <definedName name="LIFE_CALLED" localSheetId="15">'Coastal States'!$L$6:$L$58</definedName>
    <definedName name="LIFE_CALLED" localSheetId="16">'Colorado Health'!$L$6:$L$58</definedName>
    <definedName name="LIFE_CALLED" localSheetId="17">'Compass (dbs Meritus)'!$L$6:$L$58</definedName>
    <definedName name="LIFE_CALLED" localSheetId="18">'Confed Life &amp; Annty (CLIAC)'!$L$6:$L$58</definedName>
    <definedName name="LIFE_CALLED" localSheetId="19">'Confed Life (CLIC)'!$L$6:$L$58</definedName>
    <definedName name="LIFE_CALLED" localSheetId="20">'Consolidated National'!$L$6:$L$58</definedName>
    <definedName name="LIFE_CALLED" localSheetId="21">'Consumers Choice'!$L$6:$L$58</definedName>
    <definedName name="LIFE_CALLED" localSheetId="22">'Consumers Mutual'!$L$6:$L$58</definedName>
    <definedName name="LIFE_CALLED" localSheetId="23">'Consumers United'!$L$6:$L$58</definedName>
    <definedName name="LIFE_CALLED" localSheetId="24">CoOportunity!$L$6:$L$58</definedName>
    <definedName name="LIFE_CALLED" localSheetId="25">'Coordinated Hlth'!$L$6:$L$58</definedName>
    <definedName name="LIFE_CALLED" localSheetId="26">'Corporate Life'!$L$6:$L$58</definedName>
    <definedName name="LIFE_CALLED" localSheetId="27">'Diamond Benefits'!$L$6:$L$58</definedName>
    <definedName name="LIFE_CALLED" localSheetId="28">'EBL Life'!$L$6:$L$58</definedName>
    <definedName name="LIFE_CALLED" localSheetId="30">ELNY!$L$6:$L$58</definedName>
    <definedName name="LIFE_CALLED" localSheetId="29">'Executive Life'!$L$6:$L$58</definedName>
    <definedName name="LIFE_CALLED" localSheetId="31">'Family Guaranty'!$L$6:$L$58</definedName>
    <definedName name="LIFE_CALLED" localSheetId="32">'Farmers &amp; Ranchers'!$L$6:$L$58</definedName>
    <definedName name="LIFE_CALLED" localSheetId="33">'Fidelity Bankers'!$L$6:$L$58</definedName>
    <definedName name="LIFE_CALLED" localSheetId="34">'Fidelity Mutual'!$L$6:$L$58</definedName>
    <definedName name="LIFE_CALLED" localSheetId="35">'First Capital'!$L$6:$L$58</definedName>
    <definedName name="LIFE_CALLED" localSheetId="36">'First Natl'!$L$6:$L$58</definedName>
    <definedName name="LIFE_CALLED" localSheetId="37">'First Natl (Thrnr)'!$L$6:$L$58</definedName>
    <definedName name="LIFE_CALLED" localSheetId="38">'Franklin American'!$L$6:$L$58</definedName>
    <definedName name="LIFE_CALLED" localSheetId="39">'Franklin Protective'!$L$6:$L$58</definedName>
    <definedName name="LIFE_CALLED" localSheetId="40">'Freelancers CO-OP'!$L$6:$L$58</definedName>
    <definedName name="LIFE_CALLED" localSheetId="41">'George Washington'!$L$6:$L$58</definedName>
    <definedName name="LIFE_CALLED" localSheetId="42">'Golden State'!$L$6:$L$58</definedName>
    <definedName name="LIFE_CALLED" localSheetId="43">'Guarantee Security'!$L$6:$L$58</definedName>
    <definedName name="LIFE_CALLED" localSheetId="44">HealthyCT!$L$6:$L$58</definedName>
    <definedName name="LIFE_CALLED" localSheetId="45">Imerica!$L$6:$L$58</definedName>
    <definedName name="LIFE_CALLED" localSheetId="46">'Inter-American'!$L$6:$L$58</definedName>
    <definedName name="LIFE_CALLED" localSheetId="47">'International Fin'!$L$6:$L$58</definedName>
    <definedName name="LIFE_CALLED" localSheetId="48">'Investment Life of America'!$L$6:$L$58</definedName>
    <definedName name="LIFE_CALLED" localSheetId="49">'Investors Equity'!$L$6:$L$58</definedName>
    <definedName name="LIFE_CALLED" localSheetId="50">'Kentucky Central'!$L$6:$L$58</definedName>
    <definedName name="LIFE_CALLED" localSheetId="51">'Land of Lincoln'!$L$6:$L$58</definedName>
    <definedName name="LIFE_CALLED" localSheetId="52">Legion!$L$6:$L$58</definedName>
    <definedName name="LIFE_CALLED" localSheetId="53">'Life Health America'!$L$6:$L$58</definedName>
    <definedName name="LIFE_CALLED" localSheetId="54">'Lincoln Memorial'!$L$6:$L$58</definedName>
    <definedName name="LIFE_CALLED" localSheetId="55">'London Pac'!$L$6:$L$58</definedName>
    <definedName name="LIFE_CALLED" localSheetId="56">Lumbermens!$L$6:$L$58</definedName>
    <definedName name="LIFE_CALLED" localSheetId="57">'Medical Savings'!$L$6:$L$58</definedName>
    <definedName name="LIFE_CALLED" localSheetId="58">'Memorial Service'!$L$6:$L$58</definedName>
    <definedName name="LIFE_CALLED" localSheetId="59">Midcontinent!$L$6:$L$58</definedName>
    <definedName name="LIFE_CALLED" localSheetId="60">'Midwest Life'!$L$6:$L$58</definedName>
    <definedName name="LIFE_CALLED" localSheetId="61">'Monarch Life'!$L$6:$L$58</definedName>
    <definedName name="LIFE_CALLED" localSheetId="62">'Mutual Benefit'!$L$6:$L$58</definedName>
    <definedName name="LIFE_CALLED" localSheetId="63">'Mutual Security'!$L$6:$L$58</definedName>
    <definedName name="LIFE_CALLED" localSheetId="64">'National Affiliated'!$L$6:$L$58</definedName>
    <definedName name="LIFE_CALLED" localSheetId="66">'National Heritage'!$L$6:$L$58</definedName>
    <definedName name="LIFE_CALLED" localSheetId="67">'National States'!$L$6:$L$58</definedName>
    <definedName name="LIFE_CALLED" localSheetId="65">'Natl American'!$L$6:$L$58</definedName>
    <definedName name="LIFE_CALLED" localSheetId="68">'New Jersey Life'!$L$6:$L$58</definedName>
    <definedName name="LIFE_CALLED" localSheetId="69">NNIC!$L$6:$L$58</definedName>
    <definedName name="LIFE_CALLED" localSheetId="70">'Old Colony Life'!$L$6:$L$58</definedName>
    <definedName name="LIFE_CALLED" localSheetId="71">'Old Faithful'!$L$6:$L$58</definedName>
    <definedName name="LIFE_CALLED" localSheetId="72">'Pacific Standard'!$L$6:$L$58</definedName>
    <definedName name="LIFE_CALLED" localSheetId="73">'Pen  Treaty'!$L$6:$L$58</definedName>
    <definedName name="LIFE_CALLED" localSheetId="74">Reliance!$L$6:$L$58</definedName>
    <definedName name="LIFE_CALLED" localSheetId="75">SeeChange!$L$6:$L$58</definedName>
    <definedName name="LIFE_CALLED" localSheetId="76">'Senior American'!$L$6:$L$58</definedName>
    <definedName name="LIFE_CALLED" localSheetId="77">Settlers!$L$6:$L$58</definedName>
    <definedName name="LIFE_CALLED" localSheetId="78">Shenandoah!$L$6:$L$58</definedName>
    <definedName name="LIFE_CALLED" localSheetId="79">'Standard Life IN'!$L$6:$L$58</definedName>
    <definedName name="LIFE_CALLED" localSheetId="80">'States General'!$L$6:$L$58</definedName>
    <definedName name="LIFE_CALLED" localSheetId="81">Statesman!$L$6:$L$58</definedName>
    <definedName name="LIFE_CALLED" localSheetId="82">'Summit National'!$L$6:$L$58</definedName>
    <definedName name="LIFE_CALLED" localSheetId="83">Supreme!$L$6:$L$58</definedName>
    <definedName name="LIFE_CALLED" localSheetId="97">'Total Summary'!$I$6:$I$59</definedName>
    <definedName name="LIFE_CALLED" localSheetId="84">Underwriters!$L$6:$L$58</definedName>
    <definedName name="LIFE_CALLED" localSheetId="85">Unison!$L$6:$L$58</definedName>
    <definedName name="LIFE_CALLED" localSheetId="86">'United Republic'!$L$6:$L$58</definedName>
    <definedName name="LIFE_CALLED" localSheetId="87">'Universal Health Care'!$L$6:$L$58</definedName>
    <definedName name="LIFE_CALLED" localSheetId="88">'Universal Life'!$L$6:$L$58</definedName>
    <definedName name="LIFE_CALLED" localSheetId="89">Universe!$L$6:$L$58</definedName>
    <definedName name="LIFE_CALLED" localSheetId="90">Villanova!$L$6:$L$58</definedName>
    <definedName name="LIFE_REFUNDED" localSheetId="0">'Alabama Life'!$M$6:$M$58</definedName>
    <definedName name="LIFE_REFUNDED" localSheetId="5">'Amer Life Asr'!$M$6:$M$58</definedName>
    <definedName name="LIFE_REFUNDED" localSheetId="7">'Amer Std Life Acc'!$M$6:$M$58</definedName>
    <definedName name="LIFE_REFUNDED" localSheetId="1">'American Chambers'!$M$6:$M$58</definedName>
    <definedName name="LIFE_REFUNDED" localSheetId="2">'American Community'!$M$6:$M$58</definedName>
    <definedName name="LIFE_REFUNDED" localSheetId="3">'American Educators'!$M$6:$M$58</definedName>
    <definedName name="LIFE_REFUNDED" localSheetId="4">'American Integrity'!$M$6:$M$58</definedName>
    <definedName name="LIFE_REFUNDED" localSheetId="6">'American Network'!$M$6:$M$58</definedName>
    <definedName name="LIFE_REFUNDED" localSheetId="8">AmerWstrn!$M$6:$M$58</definedName>
    <definedName name="LIFE_REFUNDED" localSheetId="9">'AMS Life'!$M$6:$M$58</definedName>
    <definedName name="LIFE_REFUNDED" localSheetId="10">'Andrew Jackson'!$M$6:$M$58</definedName>
    <definedName name="LIFE_REFUNDED" localSheetId="11">'Bankers Commercial'!$M$6:$M$58</definedName>
    <definedName name="LIFE_REFUNDED" localSheetId="12">Benicorp!$M$6:$M$58</definedName>
    <definedName name="LIFE_REFUNDED" localSheetId="13">'Booker T Washington'!$M$6:$M$58</definedName>
    <definedName name="LIFE_REFUNDED" localSheetId="14">Centennial!$M$6:$M$58</definedName>
    <definedName name="LIFE_REFUNDED" localSheetId="15">'Coastal States'!$M$6:$M$58</definedName>
    <definedName name="LIFE_REFUNDED" localSheetId="16">'Colorado Health'!$M$6:$M$58</definedName>
    <definedName name="LIFE_REFUNDED" localSheetId="17">'Compass (dbs Meritus)'!$M$6:$M$58</definedName>
    <definedName name="LIFE_REFUNDED" localSheetId="18">'Confed Life &amp; Annty (CLIAC)'!$M$6:$M$58</definedName>
    <definedName name="LIFE_REFUNDED" localSheetId="19">'Confed Life (CLIC)'!$M$6:$M$58</definedName>
    <definedName name="LIFE_REFUNDED" localSheetId="20">'Consolidated National'!$M$6:$M$58</definedName>
    <definedName name="LIFE_REFUNDED" localSheetId="21">'Consumers Choice'!$M$6:$M$58</definedName>
    <definedName name="LIFE_REFUNDED" localSheetId="22">'Consumers Mutual'!$M$6:$M$58</definedName>
    <definedName name="LIFE_REFUNDED" localSheetId="23">'Consumers United'!$M$6:$M$58</definedName>
    <definedName name="LIFE_REFUNDED" localSheetId="24">CoOportunity!$M$6:$M$58</definedName>
    <definedName name="LIFE_REFUNDED" localSheetId="25">'Coordinated Hlth'!$M$6:$M$58</definedName>
    <definedName name="LIFE_REFUNDED" localSheetId="26">'Corporate Life'!$M$6:$M$58</definedName>
    <definedName name="LIFE_REFUNDED" localSheetId="27">'Diamond Benefits'!$M$6:$M$58</definedName>
    <definedName name="LIFE_REFUNDED" localSheetId="28">'EBL Life'!$M$6:$M$58</definedName>
    <definedName name="LIFE_REFUNDED" localSheetId="30">ELNY!$M$6:$M$58</definedName>
    <definedName name="LIFE_REFUNDED" localSheetId="29">'Executive Life'!$M$6:$M$58</definedName>
    <definedName name="LIFE_REFUNDED" localSheetId="31">'Family Guaranty'!$M$6:$M$58</definedName>
    <definedName name="LIFE_REFUNDED" localSheetId="32">'Farmers &amp; Ranchers'!$M$6:$M$58</definedName>
    <definedName name="LIFE_REFUNDED" localSheetId="33">'Fidelity Bankers'!$M$6:$M$58</definedName>
    <definedName name="LIFE_REFUNDED" localSheetId="34">'Fidelity Mutual'!$M$6:$M$58</definedName>
    <definedName name="LIFE_REFUNDED" localSheetId="35">'First Capital'!$M$6:$M$58</definedName>
    <definedName name="LIFE_REFUNDED" localSheetId="36">'First Natl'!$M$6:$M$58</definedName>
    <definedName name="LIFE_REFUNDED" localSheetId="37">'First Natl (Thrnr)'!$M$6:$M$58</definedName>
    <definedName name="LIFE_REFUNDED" localSheetId="38">'Franklin American'!$M$6:$M$58</definedName>
    <definedName name="LIFE_REFUNDED" localSheetId="39">'Franklin Protective'!$M$6:$M$58</definedName>
    <definedName name="LIFE_REFUNDED" localSheetId="40">'Freelancers CO-OP'!$M$6:$M$58</definedName>
    <definedName name="LIFE_REFUNDED" localSheetId="41">'George Washington'!$M$6:$M$58</definedName>
    <definedName name="LIFE_REFUNDED" localSheetId="42">'Golden State'!$M$6:$M$58</definedName>
    <definedName name="LIFE_REFUNDED" localSheetId="43">'Guarantee Security'!$M$6:$M$58</definedName>
    <definedName name="LIFE_REFUNDED" localSheetId="44">HealthyCT!$M$6:$M$58</definedName>
    <definedName name="LIFE_REFUNDED" localSheetId="45">Imerica!$M$6:$M$58</definedName>
    <definedName name="LIFE_REFUNDED" localSheetId="46">'Inter-American'!$M$6:$M$58</definedName>
    <definedName name="LIFE_REFUNDED" localSheetId="47">'International Fin'!$M$6:$M$58</definedName>
    <definedName name="LIFE_REFUNDED" localSheetId="48">'Investment Life of America'!$M$6:$M$58</definedName>
    <definedName name="LIFE_REFUNDED" localSheetId="49">'Investors Equity'!$M$6:$M$58</definedName>
    <definedName name="LIFE_REFUNDED" localSheetId="50">'Kentucky Central'!$M$6:$M$58</definedName>
    <definedName name="LIFE_REFUNDED" localSheetId="51">'Land of Lincoln'!$M$6:$M$58</definedName>
    <definedName name="LIFE_REFUNDED" localSheetId="52">Legion!$M$6:$M$58</definedName>
    <definedName name="LIFE_REFUNDED" localSheetId="53">'Life Health America'!$M$6:$M$58</definedName>
    <definedName name="LIFE_REFUNDED" localSheetId="54">'Lincoln Memorial'!$M$6:$M$58</definedName>
    <definedName name="LIFE_REFUNDED" localSheetId="55">'London Pac'!$M$6:$M$58</definedName>
    <definedName name="LIFE_REFUNDED" localSheetId="56">Lumbermens!$M$6:$M$58</definedName>
    <definedName name="LIFE_REFUNDED" localSheetId="57">'Medical Savings'!$M$6:$M$58</definedName>
    <definedName name="LIFE_REFUNDED" localSheetId="58">'Memorial Service'!$M$6:$M$58</definedName>
    <definedName name="LIFE_REFUNDED" localSheetId="59">Midcontinent!$M$6:$M$58</definedName>
    <definedName name="LIFE_REFUNDED" localSheetId="60">'Midwest Life'!$M$6:$M$58</definedName>
    <definedName name="LIFE_REFUNDED" localSheetId="61">'Monarch Life'!$M$6:$M$58</definedName>
    <definedName name="LIFE_REFUNDED" localSheetId="62">'Mutual Benefit'!$M$6:$M$58</definedName>
    <definedName name="LIFE_REFUNDED" localSheetId="63">'Mutual Security'!$M$6:$M$58</definedName>
    <definedName name="LIFE_REFUNDED" localSheetId="64">'National Affiliated'!$M$6:$M$58</definedName>
    <definedName name="LIFE_REFUNDED" localSheetId="66">'National Heritage'!$M$6:$M$58</definedName>
    <definedName name="LIFE_REFUNDED" localSheetId="67">'National States'!$M$6:$M$58</definedName>
    <definedName name="LIFE_REFUNDED" localSheetId="65">'Natl American'!$M$6:$M$58</definedName>
    <definedName name="LIFE_REFUNDED" localSheetId="68">'New Jersey Life'!$M$6:$M$58</definedName>
    <definedName name="LIFE_REFUNDED" localSheetId="69">NNIC!$M$6:$M$58</definedName>
    <definedName name="LIFE_REFUNDED" localSheetId="70">'Old Colony Life'!$M$6:$M$58</definedName>
    <definedName name="LIFE_REFUNDED" localSheetId="71">'Old Faithful'!$M$6:$M$58</definedName>
    <definedName name="LIFE_REFUNDED" localSheetId="72">'Pacific Standard'!$M$6:$M$58</definedName>
    <definedName name="LIFE_REFUNDED" localSheetId="73">'Pen  Treaty'!$M$6:$M$58</definedName>
    <definedName name="LIFE_REFUNDED" localSheetId="74">Reliance!$M$6:$M$58</definedName>
    <definedName name="LIFE_REFUNDED" localSheetId="75">SeeChange!$M$6:$M$58</definedName>
    <definedName name="LIFE_REFUNDED" localSheetId="76">'Senior American'!$M$6:$M$58</definedName>
    <definedName name="LIFE_REFUNDED" localSheetId="77">Settlers!$M$6:$M$58</definedName>
    <definedName name="LIFE_REFUNDED" localSheetId="78">Shenandoah!$M$6:$M$58</definedName>
    <definedName name="LIFE_REFUNDED" localSheetId="79">'Standard Life IN'!$M$6:$M$58</definedName>
    <definedName name="LIFE_REFUNDED" localSheetId="80">'States General'!$M$6:$M$58</definedName>
    <definedName name="LIFE_REFUNDED" localSheetId="81">Statesman!$M$6:$M$58</definedName>
    <definedName name="LIFE_REFUNDED" localSheetId="82">'Summit National'!$M$6:$M$58</definedName>
    <definedName name="LIFE_REFUNDED" localSheetId="83">Supreme!$M$6:$M$58</definedName>
    <definedName name="LIFE_REFUNDED" localSheetId="97">'Total Summary'!$J$6:$J$59</definedName>
    <definedName name="LIFE_REFUNDED" localSheetId="84">Underwriters!$M$6:$M$58</definedName>
    <definedName name="LIFE_REFUNDED" localSheetId="85">Unison!$M$6:$M$58</definedName>
    <definedName name="LIFE_REFUNDED" localSheetId="86">'United Republic'!$M$6:$M$58</definedName>
    <definedName name="LIFE_REFUNDED" localSheetId="87">'Universal Health Care'!$M$6:$M$58</definedName>
    <definedName name="LIFE_REFUNDED" localSheetId="88">'Universal Life'!$M$6:$M$58</definedName>
    <definedName name="LIFE_REFUNDED" localSheetId="89">Universe!$M$6:$M$58</definedName>
    <definedName name="LIFE_REFUNDED" localSheetId="90">Villanova!$M$6:$M$58</definedName>
    <definedName name="LTC" localSheetId="0">'Alabama Life'!$F$6:$F$59</definedName>
    <definedName name="LTC" localSheetId="5">'Amer Life Asr'!$F$6:$F$59</definedName>
    <definedName name="LTC" localSheetId="7">'Amer Std Life Acc'!$F$6:$F$59</definedName>
    <definedName name="LTC" localSheetId="1">'American Chambers'!$F$6:$F$59</definedName>
    <definedName name="LTC" localSheetId="2">'American Community'!$F$6:$F$59</definedName>
    <definedName name="LTC" localSheetId="3">'American Educators'!$F$6:$F$59</definedName>
    <definedName name="LTC" localSheetId="4">'American Integrity'!$F$6:$F$59</definedName>
    <definedName name="LTC" localSheetId="6">'American Network'!$F$6:$F$59</definedName>
    <definedName name="LTC" localSheetId="8">AmerWstrn!$F$6:$F$59</definedName>
    <definedName name="LTC" localSheetId="9">'AMS Life'!$F$6:$F$59</definedName>
    <definedName name="LTC" localSheetId="10">'Andrew Jackson'!$F$6:$F$59</definedName>
    <definedName name="LTC" localSheetId="11">'Bankers Commercial'!$F$6:$F$59</definedName>
    <definedName name="LTC" localSheetId="12">Benicorp!$F$6:$F$59</definedName>
    <definedName name="LTC" localSheetId="13">'Booker T Washington'!$F$6:$F$59</definedName>
    <definedName name="LTC" localSheetId="14">Centennial!$F$6:$F$59</definedName>
    <definedName name="LTC" localSheetId="94">'Closed Summary'!$F$6:$F$58</definedName>
    <definedName name="LTC" localSheetId="15">'Coastal States'!$F$6:$F$59</definedName>
    <definedName name="LTC" localSheetId="16">'Colorado Health'!$F$6:$F$59</definedName>
    <definedName name="LTC" localSheetId="17">'Compass (dbs Meritus)'!$F$6:$F$59</definedName>
    <definedName name="LTC" localSheetId="18">'Confed Life &amp; Annty (CLIAC)'!$F$6:$F$59</definedName>
    <definedName name="LTC" localSheetId="19">'Confed Life (CLIC)'!$F$6:$F$59</definedName>
    <definedName name="LTC" localSheetId="20">'Consolidated National'!$F$6:$F$59</definedName>
    <definedName name="LTC" localSheetId="21">'Consumers Choice'!$F$6:$F$59</definedName>
    <definedName name="LTC" localSheetId="22">'Consumers Mutual'!$F$6:$F$59</definedName>
    <definedName name="LTC" localSheetId="23">'Consumers United'!$F$6:$F$59</definedName>
    <definedName name="LTC" localSheetId="24">CoOportunity!$F$6:$F$59</definedName>
    <definedName name="LTC" localSheetId="25">'Coordinated Hlth'!$F$6:$F$59</definedName>
    <definedName name="LTC" localSheetId="26">'Corporate Life'!$F$6:$F$59</definedName>
    <definedName name="LTC" localSheetId="27">'Diamond Benefits'!$F$6:$F$59</definedName>
    <definedName name="LTC" localSheetId="28">'EBL Life'!$F$6:$F$59</definedName>
    <definedName name="LTC" localSheetId="30">ELNY!$F$6:$F$59</definedName>
    <definedName name="LTC" localSheetId="95">'Estate Closed Summary'!$F$6:$F$58</definedName>
    <definedName name="LTC" localSheetId="29">'Executive Life'!$F$6:$F$59</definedName>
    <definedName name="LTC" localSheetId="31">'Family Guaranty'!$F$6:$F$59</definedName>
    <definedName name="LTC" localSheetId="32">'Farmers &amp; Ranchers'!$F$6:$F$59</definedName>
    <definedName name="LTC" localSheetId="33">'Fidelity Bankers'!$F$6:$F$59</definedName>
    <definedName name="LTC" localSheetId="34">'Fidelity Mutual'!$F$6:$F$59</definedName>
    <definedName name="LTC" localSheetId="35">'First Capital'!$F$6:$F$59</definedName>
    <definedName name="LTC" localSheetId="36">'First Natl'!$F$6:$F$59</definedName>
    <definedName name="LTC" localSheetId="37">'First Natl (Thrnr)'!$F$6:$F$59</definedName>
    <definedName name="LTC" localSheetId="38">'Franklin American'!$F$6:$F$59</definedName>
    <definedName name="LTC" localSheetId="39">'Franklin Protective'!$F$6:$F$59</definedName>
    <definedName name="LTC" localSheetId="40">'Freelancers CO-OP'!$F$6:$F$59</definedName>
    <definedName name="LTC" localSheetId="41">'George Washington'!$F$6:$F$59</definedName>
    <definedName name="LTC" localSheetId="42">'Golden State'!$F$6:$F$59</definedName>
    <definedName name="LTC" localSheetId="43">'Guarantee Security'!$F$6:$F$59</definedName>
    <definedName name="LTC" localSheetId="44">HealthyCT!$F$6:$F$59</definedName>
    <definedName name="LTC" localSheetId="45">Imerica!$F$6:$F$59</definedName>
    <definedName name="LTC" localSheetId="46">'Inter-American'!$F$6:$F$59</definedName>
    <definedName name="LTC" localSheetId="47">'International Fin'!$F$6:$F$59</definedName>
    <definedName name="LTC" localSheetId="48">'Investment Life of America'!$F$6:$F$59</definedName>
    <definedName name="LTC" localSheetId="49">'Investors Equity'!$F$6:$F$59</definedName>
    <definedName name="LTC" localSheetId="50">'Kentucky Central'!$F$6:$F$59</definedName>
    <definedName name="LTC" localSheetId="51">'Land of Lincoln'!$F$6:$F$59</definedName>
    <definedName name="LTC" localSheetId="52">Legion!$F$6:$F$59</definedName>
    <definedName name="LTC" localSheetId="53">'Life Health America'!$F$6:$F$59</definedName>
    <definedName name="LTC" localSheetId="54">'Lincoln Memorial'!$F$6:$F$59</definedName>
    <definedName name="LTC" localSheetId="55">'London Pac'!$F$6:$F$59</definedName>
    <definedName name="LTC" localSheetId="56">Lumbermens!$F$6:$F$59</definedName>
    <definedName name="LTC" localSheetId="57">'Medical Savings'!$F$6:$F$59</definedName>
    <definedName name="LTC" localSheetId="58">'Memorial Service'!$F$6:$F$59</definedName>
    <definedName name="LTC" localSheetId="59">Midcontinent!$F$6:$F$59</definedName>
    <definedName name="LTC" localSheetId="60">'Midwest Life'!$F$6:$F$59</definedName>
    <definedName name="LTC" localSheetId="61">'Monarch Life'!$F$6:$F$59</definedName>
    <definedName name="LTC" localSheetId="62">'Mutual Benefit'!$F$6:$F$59</definedName>
    <definedName name="LTC" localSheetId="63">'Mutual Security'!$F$6:$F$59</definedName>
    <definedName name="LTC" localSheetId="64">'National Affiliated'!$F$6:$F$59</definedName>
    <definedName name="LTC" localSheetId="66">'National Heritage'!$F$6:$F$59</definedName>
    <definedName name="LTC" localSheetId="67">'National States'!$F$6:$F$59</definedName>
    <definedName name="LTC" localSheetId="65">'Natl American'!$F$6:$F$59</definedName>
    <definedName name="LTC" localSheetId="68">'New Jersey Life'!$F$6:$F$59</definedName>
    <definedName name="LTC" localSheetId="69">NNIC!$F$6:$F$59</definedName>
    <definedName name="LTC" localSheetId="70">'Old Colony Life'!$F$6:$F$59</definedName>
    <definedName name="LTC" localSheetId="71">'Old Faithful'!$F$6:$F$59</definedName>
    <definedName name="LTC" localSheetId="93">'Open Summary'!$F$6:$F$58</definedName>
    <definedName name="LTC" localSheetId="72">'Pacific Standard'!$F$6:$F$59</definedName>
    <definedName name="LTC" localSheetId="73">'Pen  Treaty'!$F$6:$F$59</definedName>
    <definedName name="LTC" localSheetId="92">'Pre-Liquidation Summary'!$F$6:$F$58</definedName>
    <definedName name="LTC" localSheetId="96">'Released from Oversight Summary'!$F$6:$F$58</definedName>
    <definedName name="LTC" localSheetId="74">Reliance!$F$6:$F$59</definedName>
    <definedName name="LTC" localSheetId="75">SeeChange!$F$6:$F$59</definedName>
    <definedName name="LTC" localSheetId="76">'Senior American'!$F$6:$F$59</definedName>
    <definedName name="LTC" localSheetId="77">Settlers!$F$6:$F$59</definedName>
    <definedName name="LTC" localSheetId="78">Shenandoah!$F$6:$F$59</definedName>
    <definedName name="LTC" localSheetId="79">'Standard Life IN'!$F$6:$F$59</definedName>
    <definedName name="LTC" localSheetId="80">'States General'!$F$6:$F$59</definedName>
    <definedName name="LTC" localSheetId="81">Statesman!$F$6:$F$59</definedName>
    <definedName name="LTC" localSheetId="82">'Summit National'!$F$6:$F$59</definedName>
    <definedName name="LTC" localSheetId="83">Supreme!$F$6:$F$59</definedName>
    <definedName name="LTC" localSheetId="97">'Total Summary'!$F$6:$F$59</definedName>
    <definedName name="LTC" localSheetId="84">Underwriters!$F$6:$F$59</definedName>
    <definedName name="LTC" localSheetId="85">Unison!$F$6:$F$59</definedName>
    <definedName name="LTC" localSheetId="86">'United Republic'!$F$6:$F$59</definedName>
    <definedName name="LTC" localSheetId="87">'Universal Health Care'!$F$6:$F$59</definedName>
    <definedName name="LTC" localSheetId="88">'Universal Life'!$F$6:$F$59</definedName>
    <definedName name="LTC" localSheetId="89">Universe!$F$6:$F$59</definedName>
    <definedName name="LTC" localSheetId="90">Villanova!$F$6:$F$59</definedName>
    <definedName name="MA_FINANCIAL" localSheetId="0">'Alabama Life'!$B$27:$F$27</definedName>
    <definedName name="MA_FINANCIAL" localSheetId="5">'Amer Life Asr'!$B$27:$F$27</definedName>
    <definedName name="MA_FINANCIAL" localSheetId="7">'Amer Std Life Acc'!$B$27:$F$27</definedName>
    <definedName name="MA_FINANCIAL" localSheetId="1">'American Chambers'!$B$27:$F$27</definedName>
    <definedName name="MA_FINANCIAL" localSheetId="2">'American Community'!$B$27:$F$27</definedName>
    <definedName name="MA_FINANCIAL" localSheetId="3">'American Educators'!$B$27:$F$27</definedName>
    <definedName name="MA_FINANCIAL" localSheetId="4">'American Integrity'!$B$27:$F$27</definedName>
    <definedName name="MA_FINANCIAL" localSheetId="6">'American Network'!$B$27:$F$27</definedName>
    <definedName name="MA_FINANCIAL" localSheetId="8">AmerWstrn!$B$27:$F$27</definedName>
    <definedName name="MA_FINANCIAL" localSheetId="9">'AMS Life'!$B$27:$F$27</definedName>
    <definedName name="MA_FINANCIAL" localSheetId="10">'Andrew Jackson'!$B$27:$F$27</definedName>
    <definedName name="MA_FINANCIAL" localSheetId="11">'Bankers Commercial'!$B$27:$F$27</definedName>
    <definedName name="MA_FINANCIAL" localSheetId="12">Benicorp!$B$27:$F$27</definedName>
    <definedName name="MA_FINANCIAL" localSheetId="13">'Booker T Washington'!$B$27:$F$27</definedName>
    <definedName name="MA_FINANCIAL" localSheetId="14">Centennial!$B$27:$F$27</definedName>
    <definedName name="MA_FINANCIAL" localSheetId="15">'Coastal States'!$B$27:$F$27</definedName>
    <definedName name="MA_FINANCIAL" localSheetId="16">'Colorado Health'!$B$27:$F$27</definedName>
    <definedName name="MA_FINANCIAL" localSheetId="17">'Compass (dbs Meritus)'!$B$27:$F$27</definedName>
    <definedName name="MA_FINANCIAL" localSheetId="18">'Confed Life &amp; Annty (CLIAC)'!$B$27:$F$27</definedName>
    <definedName name="MA_FINANCIAL" localSheetId="19">'Confed Life (CLIC)'!$B$27:$F$27</definedName>
    <definedName name="MA_FINANCIAL" localSheetId="20">'Consolidated National'!$B$27:$F$27</definedName>
    <definedName name="MA_FINANCIAL" localSheetId="21">'Consumers Choice'!$B$27:$F$27</definedName>
    <definedName name="MA_FINANCIAL" localSheetId="22">'Consumers Mutual'!$B$27:$F$27</definedName>
    <definedName name="MA_FINANCIAL" localSheetId="23">'Consumers United'!$B$27:$F$27</definedName>
    <definedName name="MA_FINANCIAL" localSheetId="24">CoOportunity!$B$27:$F$27</definedName>
    <definedName name="MA_FINANCIAL" localSheetId="25">'Coordinated Hlth'!$B$27:$F$27</definedName>
    <definedName name="MA_FINANCIAL" localSheetId="26">'Corporate Life'!$B$27:$F$27</definedName>
    <definedName name="MA_FINANCIAL" localSheetId="27">'Diamond Benefits'!$B$27:$F$27</definedName>
    <definedName name="MA_FINANCIAL" localSheetId="28">'EBL Life'!$B$27:$F$27</definedName>
    <definedName name="MA_FINANCIAL" localSheetId="30">ELNY!$B$27:$F$27</definedName>
    <definedName name="MA_FINANCIAL" localSheetId="29">'Executive Life'!$B$27:$F$27</definedName>
    <definedName name="MA_FINANCIAL" localSheetId="31">'Family Guaranty'!$B$27:$F$27</definedName>
    <definedName name="MA_FINANCIAL" localSheetId="32">'Farmers &amp; Ranchers'!$B$27:$F$27</definedName>
    <definedName name="MA_FINANCIAL" localSheetId="33">'Fidelity Bankers'!$B$27:$F$27</definedName>
    <definedName name="MA_FINANCIAL" localSheetId="34">'Fidelity Mutual'!$B$27:$F$27</definedName>
    <definedName name="MA_FINANCIAL" localSheetId="35">'First Capital'!$B$27:$F$27</definedName>
    <definedName name="MA_FINANCIAL" localSheetId="36">'First Natl'!$B$27:$F$27</definedName>
    <definedName name="MA_FINANCIAL" localSheetId="37">'First Natl (Thrnr)'!$B$27:$F$27</definedName>
    <definedName name="MA_FINANCIAL" localSheetId="38">'Franklin American'!$B$27:$F$27</definedName>
    <definedName name="MA_FINANCIAL" localSheetId="39">'Franklin Protective'!$B$27:$F$27</definedName>
    <definedName name="MA_FINANCIAL" localSheetId="40">'Freelancers CO-OP'!$B$27:$F$27</definedName>
    <definedName name="MA_FINANCIAL" localSheetId="41">'George Washington'!$B$27:$F$27</definedName>
    <definedName name="MA_FINANCIAL" localSheetId="42">'Golden State'!$B$27:$F$27</definedName>
    <definedName name="MA_FINANCIAL" localSheetId="43">'Guarantee Security'!$B$27:$F$27</definedName>
    <definedName name="MA_FINANCIAL" localSheetId="44">HealthyCT!$B$27:$F$27</definedName>
    <definedName name="MA_FINANCIAL" localSheetId="45">Imerica!$B$27:$F$27</definedName>
    <definedName name="MA_FINANCIAL" localSheetId="46">'Inter-American'!$B$27:$F$27</definedName>
    <definedName name="MA_FINANCIAL" localSheetId="47">'International Fin'!$B$27:$F$27</definedName>
    <definedName name="MA_FINANCIAL" localSheetId="48">'Investment Life of America'!$B$27:$F$27</definedName>
    <definedName name="MA_FINANCIAL" localSheetId="49">'Investors Equity'!$B$27:$F$27</definedName>
    <definedName name="MA_FINANCIAL" localSheetId="50">'Kentucky Central'!$B$27:$F$27</definedName>
    <definedName name="MA_FINANCIAL" localSheetId="51">'Land of Lincoln'!$B$27:$F$27</definedName>
    <definedName name="MA_FINANCIAL" localSheetId="52">Legion!$B$27:$F$27</definedName>
    <definedName name="MA_FINANCIAL" localSheetId="53">'Life Health America'!$B$27:$F$27</definedName>
    <definedName name="MA_FINANCIAL" localSheetId="54">'Lincoln Memorial'!$B$27:$F$27</definedName>
    <definedName name="MA_FINANCIAL" localSheetId="55">'London Pac'!$B$27:$F$27</definedName>
    <definedName name="MA_FINANCIAL" localSheetId="56">Lumbermens!$B$27:$F$27</definedName>
    <definedName name="MA_FINANCIAL" localSheetId="57">'Medical Savings'!$B$27:$F$27</definedName>
    <definedName name="MA_FINANCIAL" localSheetId="58">'Memorial Service'!$B$27:$F$27</definedName>
    <definedName name="MA_FINANCIAL" localSheetId="59">Midcontinent!$B$27:$F$27</definedName>
    <definedName name="MA_FINANCIAL" localSheetId="60">'Midwest Life'!$B$27:$F$27</definedName>
    <definedName name="MA_FINANCIAL" localSheetId="61">'Monarch Life'!$B$27:$F$27</definedName>
    <definedName name="MA_FINANCIAL" localSheetId="62">'Mutual Benefit'!$B$27:$F$27</definedName>
    <definedName name="MA_FINANCIAL" localSheetId="63">'Mutual Security'!$B$27:$F$27</definedName>
    <definedName name="MA_FINANCIAL" localSheetId="64">'National Affiliated'!$B$27:$F$27</definedName>
    <definedName name="MA_FINANCIAL" localSheetId="66">'National Heritage'!$B$27:$F$27</definedName>
    <definedName name="MA_FINANCIAL" localSheetId="67">'National States'!$B$27:$F$27</definedName>
    <definedName name="MA_FINANCIAL" localSheetId="65">'Natl American'!$B$27:$F$27</definedName>
    <definedName name="MA_FINANCIAL" localSheetId="68">'New Jersey Life'!$B$27:$F$27</definedName>
    <definedName name="MA_FINANCIAL" localSheetId="69">NNIC!$B$27:$F$27</definedName>
    <definedName name="MA_FINANCIAL" localSheetId="70">'Old Colony Life'!$B$27:$F$27</definedName>
    <definedName name="MA_FINANCIAL" localSheetId="71">'Old Faithful'!$B$27:$F$27</definedName>
    <definedName name="MA_FINANCIAL" localSheetId="72">'Pacific Standard'!$B$27:$F$27</definedName>
    <definedName name="MA_FINANCIAL" localSheetId="73">'Pen  Treaty'!$B$27:$F$27</definedName>
    <definedName name="MA_FINANCIAL" localSheetId="74">Reliance!$B$27:$F$27</definedName>
    <definedName name="MA_FINANCIAL" localSheetId="75">SeeChange!$B$27:$F$27</definedName>
    <definedName name="MA_FINANCIAL" localSheetId="76">'Senior American'!$B$27:$F$27</definedName>
    <definedName name="MA_FINANCIAL" localSheetId="77">Settlers!$B$27:$F$27</definedName>
    <definedName name="MA_FINANCIAL" localSheetId="78">Shenandoah!$B$27:$F$27</definedName>
    <definedName name="MA_FINANCIAL" localSheetId="79">'Standard Life IN'!$B$27:$F$27</definedName>
    <definedName name="MA_FINANCIAL" localSheetId="80">'States General'!$B$27:$F$27</definedName>
    <definedName name="MA_FINANCIAL" localSheetId="81">Statesman!$B$27:$F$27</definedName>
    <definedName name="MA_FINANCIAL" localSheetId="82">'Summit National'!$B$27:$F$27</definedName>
    <definedName name="MA_FINANCIAL" localSheetId="83">Supreme!$B$27:$F$27</definedName>
    <definedName name="MA_FINANCIAL" localSheetId="97">'Total Summary'!$B$27:$F$27</definedName>
    <definedName name="MA_FINANCIAL" localSheetId="84">Underwriters!$B$27:$F$27</definedName>
    <definedName name="MA_FINANCIAL" localSheetId="85">Unison!$B$27:$F$27</definedName>
    <definedName name="MA_FINANCIAL" localSheetId="86">'United Republic'!$B$27:$F$27</definedName>
    <definedName name="MA_FINANCIAL" localSheetId="87">'Universal Health Care'!$B$27:$F$27</definedName>
    <definedName name="MA_FINANCIAL" localSheetId="88">'Universal Life'!$B$27:$F$27</definedName>
    <definedName name="MA_FINANCIAL" localSheetId="89">Universe!$B$27:$F$27</definedName>
    <definedName name="MA_FINANCIAL" localSheetId="90">Villanova!$B$27:$F$27</definedName>
    <definedName name="MD_FINANCIAL" localSheetId="0">'Alabama Life'!$B$26:$F$26</definedName>
    <definedName name="MD_FINANCIAL" localSheetId="5">'Amer Life Asr'!$B$26:$F$26</definedName>
    <definedName name="MD_FINANCIAL" localSheetId="7">'Amer Std Life Acc'!$B$26:$F$26</definedName>
    <definedName name="MD_FINANCIAL" localSheetId="1">'American Chambers'!$B$26:$F$26</definedName>
    <definedName name="MD_FINANCIAL" localSheetId="2">'American Community'!$B$26:$F$26</definedName>
    <definedName name="MD_FINANCIAL" localSheetId="3">'American Educators'!$B$26:$F$26</definedName>
    <definedName name="MD_FINANCIAL" localSheetId="4">'American Integrity'!$B$26:$F$26</definedName>
    <definedName name="MD_FINANCIAL" localSheetId="6">'American Network'!$B$26:$F$26</definedName>
    <definedName name="MD_FINANCIAL" localSheetId="8">AmerWstrn!$B$26:$F$26</definedName>
    <definedName name="MD_FINANCIAL" localSheetId="9">'AMS Life'!$B$26:$F$26</definedName>
    <definedName name="MD_FINANCIAL" localSheetId="10">'Andrew Jackson'!$B$26:$F$26</definedName>
    <definedName name="MD_FINANCIAL" localSheetId="11">'Bankers Commercial'!$B$26:$F$26</definedName>
    <definedName name="MD_FINANCIAL" localSheetId="12">Benicorp!$B$26:$F$26</definedName>
    <definedName name="MD_FINANCIAL" localSheetId="13">'Booker T Washington'!$B$26:$F$26</definedName>
    <definedName name="MD_FINANCIAL" localSheetId="14">Centennial!$B$26:$F$26</definedName>
    <definedName name="MD_FINANCIAL" localSheetId="15">'Coastal States'!$B$26:$F$26</definedName>
    <definedName name="MD_FINANCIAL" localSheetId="16">'Colorado Health'!$B$26:$F$26</definedName>
    <definedName name="MD_FINANCIAL" localSheetId="17">'Compass (dbs Meritus)'!$B$26:$F$26</definedName>
    <definedName name="MD_FINANCIAL" localSheetId="18">'Confed Life &amp; Annty (CLIAC)'!$B$26:$F$26</definedName>
    <definedName name="MD_FINANCIAL" localSheetId="19">'Confed Life (CLIC)'!$B$26:$F$26</definedName>
    <definedName name="MD_FINANCIAL" localSheetId="20">'Consolidated National'!$B$26:$F$26</definedName>
    <definedName name="MD_FINANCIAL" localSheetId="21">'Consumers Choice'!$B$26:$F$26</definedName>
    <definedName name="MD_FINANCIAL" localSheetId="22">'Consumers Mutual'!$B$26:$F$26</definedName>
    <definedName name="MD_FINANCIAL" localSheetId="23">'Consumers United'!$B$26:$F$26</definedName>
    <definedName name="MD_FINANCIAL" localSheetId="24">CoOportunity!$B$26:$F$26</definedName>
    <definedName name="MD_FINANCIAL" localSheetId="25">'Coordinated Hlth'!$B$26:$F$26</definedName>
    <definedName name="MD_FINANCIAL" localSheetId="26">'Corporate Life'!$B$26:$F$26</definedName>
    <definedName name="MD_FINANCIAL" localSheetId="27">'Diamond Benefits'!$B$26:$F$26</definedName>
    <definedName name="MD_FINANCIAL" localSheetId="28">'EBL Life'!$B$26:$F$26</definedName>
    <definedName name="MD_FINANCIAL" localSheetId="30">ELNY!$B$26:$F$26</definedName>
    <definedName name="MD_FINANCIAL" localSheetId="29">'Executive Life'!$B$26:$F$26</definedName>
    <definedName name="MD_FINANCIAL" localSheetId="31">'Family Guaranty'!$B$26:$F$26</definedName>
    <definedName name="MD_FINANCIAL" localSheetId="32">'Farmers &amp; Ranchers'!$B$26:$F$26</definedName>
    <definedName name="MD_FINANCIAL" localSheetId="33">'Fidelity Bankers'!$B$26:$F$26</definedName>
    <definedName name="MD_FINANCIAL" localSheetId="34">'Fidelity Mutual'!$B$26:$F$26</definedName>
    <definedName name="MD_FINANCIAL" localSheetId="35">'First Capital'!$B$26:$F$26</definedName>
    <definedName name="MD_FINANCIAL" localSheetId="36">'First Natl'!$B$26:$F$26</definedName>
    <definedName name="MD_FINANCIAL" localSheetId="37">'First Natl (Thrnr)'!$B$26:$F$26</definedName>
    <definedName name="MD_FINANCIAL" localSheetId="38">'Franklin American'!$B$26:$F$26</definedName>
    <definedName name="MD_FINANCIAL" localSheetId="39">'Franklin Protective'!$B$26:$F$26</definedName>
    <definedName name="MD_FINANCIAL" localSheetId="40">'Freelancers CO-OP'!$B$26:$F$26</definedName>
    <definedName name="MD_FINANCIAL" localSheetId="41">'George Washington'!$B$26:$F$26</definedName>
    <definedName name="MD_FINANCIAL" localSheetId="42">'Golden State'!$B$26:$F$26</definedName>
    <definedName name="MD_FINANCIAL" localSheetId="43">'Guarantee Security'!$B$26:$F$26</definedName>
    <definedName name="MD_FINANCIAL" localSheetId="44">HealthyCT!$B$26:$F$26</definedName>
    <definedName name="MD_FINANCIAL" localSheetId="45">Imerica!$B$26:$F$26</definedName>
    <definedName name="MD_FINANCIAL" localSheetId="46">'Inter-American'!$B$26:$F$26</definedName>
    <definedName name="MD_FINANCIAL" localSheetId="47">'International Fin'!$B$26:$F$26</definedName>
    <definedName name="MD_FINANCIAL" localSheetId="48">'Investment Life of America'!$B$26:$F$26</definedName>
    <definedName name="MD_FINANCIAL" localSheetId="49">'Investors Equity'!$B$26:$F$26</definedName>
    <definedName name="MD_FINANCIAL" localSheetId="50">'Kentucky Central'!$B$26:$F$26</definedName>
    <definedName name="MD_FINANCIAL" localSheetId="51">'Land of Lincoln'!$B$26:$F$26</definedName>
    <definedName name="MD_FINANCIAL" localSheetId="52">Legion!$B$26:$F$26</definedName>
    <definedName name="MD_FINANCIAL" localSheetId="53">'Life Health America'!$B$26:$F$26</definedName>
    <definedName name="MD_FINANCIAL" localSheetId="54">'Lincoln Memorial'!$B$26:$F$26</definedName>
    <definedName name="MD_FINANCIAL" localSheetId="55">'London Pac'!$B$26:$F$26</definedName>
    <definedName name="MD_FINANCIAL" localSheetId="56">Lumbermens!$B$26:$F$26</definedName>
    <definedName name="MD_FINANCIAL" localSheetId="57">'Medical Savings'!$B$26:$F$26</definedName>
    <definedName name="MD_FINANCIAL" localSheetId="58">'Memorial Service'!$B$26:$F$26</definedName>
    <definedName name="MD_FINANCIAL" localSheetId="59">Midcontinent!$B$26:$F$26</definedName>
    <definedName name="MD_FINANCIAL" localSheetId="60">'Midwest Life'!$B$26:$F$26</definedName>
    <definedName name="MD_FINANCIAL" localSheetId="61">'Monarch Life'!$B$26:$F$26</definedName>
    <definedName name="MD_FINANCIAL" localSheetId="62">'Mutual Benefit'!$B$26:$F$26</definedName>
    <definedName name="MD_FINANCIAL" localSheetId="63">'Mutual Security'!$B$26:$F$26</definedName>
    <definedName name="MD_FINANCIAL" localSheetId="64">'National Affiliated'!$B$26:$F$26</definedName>
    <definedName name="MD_FINANCIAL" localSheetId="66">'National Heritage'!$B$26:$F$26</definedName>
    <definedName name="MD_FINANCIAL" localSheetId="67">'National States'!$B$26:$F$26</definedName>
    <definedName name="MD_FINANCIAL" localSheetId="65">'Natl American'!$B$26:$F$26</definedName>
    <definedName name="MD_FINANCIAL" localSheetId="68">'New Jersey Life'!$B$26:$F$26</definedName>
    <definedName name="MD_FINANCIAL" localSheetId="69">NNIC!$B$26:$F$26</definedName>
    <definedName name="MD_FINANCIAL" localSheetId="70">'Old Colony Life'!$B$26:$F$26</definedName>
    <definedName name="MD_FINANCIAL" localSheetId="71">'Old Faithful'!$B$26:$F$26</definedName>
    <definedName name="MD_FINANCIAL" localSheetId="72">'Pacific Standard'!$B$26:$F$26</definedName>
    <definedName name="MD_FINANCIAL" localSheetId="73">'Pen  Treaty'!$B$26:$F$26</definedName>
    <definedName name="MD_FINANCIAL" localSheetId="74">Reliance!$B$26:$F$26</definedName>
    <definedName name="MD_FINANCIAL" localSheetId="75">SeeChange!$B$26:$F$26</definedName>
    <definedName name="MD_FINANCIAL" localSheetId="76">'Senior American'!$B$26:$F$26</definedName>
    <definedName name="MD_FINANCIAL" localSheetId="77">Settlers!$B$26:$F$26</definedName>
    <definedName name="MD_FINANCIAL" localSheetId="78">Shenandoah!$B$26:$F$26</definedName>
    <definedName name="MD_FINANCIAL" localSheetId="79">'Standard Life IN'!$B$26:$F$26</definedName>
    <definedName name="MD_FINANCIAL" localSheetId="80">'States General'!$B$26:$F$26</definedName>
    <definedName name="MD_FINANCIAL" localSheetId="81">Statesman!$B$26:$F$26</definedName>
    <definedName name="MD_FINANCIAL" localSheetId="82">'Summit National'!$B$26:$F$26</definedName>
    <definedName name="MD_FINANCIAL" localSheetId="83">Supreme!$B$26:$F$26</definedName>
    <definedName name="MD_FINANCIAL" localSheetId="97">'Total Summary'!$B$26:$F$26</definedName>
    <definedName name="MD_FINANCIAL" localSheetId="84">Underwriters!$B$26:$F$26</definedName>
    <definedName name="MD_FINANCIAL" localSheetId="85">Unison!$B$26:$F$26</definedName>
    <definedName name="MD_FINANCIAL" localSheetId="86">'United Republic'!$B$26:$F$26</definedName>
    <definedName name="MD_FINANCIAL" localSheetId="87">'Universal Health Care'!$B$26:$F$26</definedName>
    <definedName name="MD_FINANCIAL" localSheetId="88">'Universal Life'!$B$26:$F$26</definedName>
    <definedName name="MD_FINANCIAL" localSheetId="89">Universe!$B$26:$F$26</definedName>
    <definedName name="MD_FINANCIAL" localSheetId="90">Villanova!$B$26:$F$26</definedName>
    <definedName name="ME_FINANCIAL" localSheetId="0">'Alabama Life'!$B$25:$F$25</definedName>
    <definedName name="ME_FINANCIAL" localSheetId="5">'Amer Life Asr'!$B$25:$F$25</definedName>
    <definedName name="ME_FINANCIAL" localSheetId="7">'Amer Std Life Acc'!$B$25:$F$25</definedName>
    <definedName name="ME_FINANCIAL" localSheetId="1">'American Chambers'!$B$25:$F$25</definedName>
    <definedName name="ME_FINANCIAL" localSheetId="2">'American Community'!$B$25:$F$25</definedName>
    <definedName name="ME_FINANCIAL" localSheetId="3">'American Educators'!$B$25:$F$25</definedName>
    <definedName name="ME_FINANCIAL" localSheetId="4">'American Integrity'!$B$25:$F$25</definedName>
    <definedName name="ME_FINANCIAL" localSheetId="6">'American Network'!$B$25:$F$25</definedName>
    <definedName name="ME_FINANCIAL" localSheetId="8">AmerWstrn!$B$25:$F$25</definedName>
    <definedName name="ME_FINANCIAL" localSheetId="9">'AMS Life'!$B$25:$F$25</definedName>
    <definedName name="ME_FINANCIAL" localSheetId="10">'Andrew Jackson'!$B$25:$F$25</definedName>
    <definedName name="ME_FINANCIAL" localSheetId="11">'Bankers Commercial'!$B$25:$F$25</definedName>
    <definedName name="ME_FINANCIAL" localSheetId="12">Benicorp!$B$25:$F$25</definedName>
    <definedName name="ME_FINANCIAL" localSheetId="13">'Booker T Washington'!$B$25:$F$25</definedName>
    <definedName name="ME_FINANCIAL" localSheetId="14">Centennial!$B$25:$F$25</definedName>
    <definedName name="ME_FINANCIAL" localSheetId="15">'Coastal States'!$B$25:$F$25</definedName>
    <definedName name="ME_FINANCIAL" localSheetId="16">'Colorado Health'!$B$25:$F$25</definedName>
    <definedName name="ME_FINANCIAL" localSheetId="17">'Compass (dbs Meritus)'!$B$25:$F$25</definedName>
    <definedName name="ME_FINANCIAL" localSheetId="18">'Confed Life &amp; Annty (CLIAC)'!$B$25:$F$25</definedName>
    <definedName name="ME_FINANCIAL" localSheetId="19">'Confed Life (CLIC)'!$B$25:$F$25</definedName>
    <definedName name="ME_FINANCIAL" localSheetId="20">'Consolidated National'!$B$25:$F$25</definedName>
    <definedName name="ME_FINANCIAL" localSheetId="21">'Consumers Choice'!$B$25:$F$25</definedName>
    <definedName name="ME_FINANCIAL" localSheetId="22">'Consumers Mutual'!$B$25:$F$25</definedName>
    <definedName name="ME_FINANCIAL" localSheetId="23">'Consumers United'!$B$25:$F$25</definedName>
    <definedName name="ME_FINANCIAL" localSheetId="24">CoOportunity!$B$25:$F$25</definedName>
    <definedName name="ME_FINANCIAL" localSheetId="25">'Coordinated Hlth'!$B$25:$F$25</definedName>
    <definedName name="ME_FINANCIAL" localSheetId="26">'Corporate Life'!$B$25:$F$25</definedName>
    <definedName name="ME_FINANCIAL" localSheetId="27">'Diamond Benefits'!$B$25:$F$25</definedName>
    <definedName name="ME_FINANCIAL" localSheetId="28">'EBL Life'!$B$25:$F$25</definedName>
    <definedName name="ME_FINANCIAL" localSheetId="30">ELNY!$B$25:$F$25</definedName>
    <definedName name="ME_FINANCIAL" localSheetId="29">'Executive Life'!$B$25:$F$25</definedName>
    <definedName name="ME_FINANCIAL" localSheetId="31">'Family Guaranty'!$B$25:$F$25</definedName>
    <definedName name="ME_FINANCIAL" localSheetId="32">'Farmers &amp; Ranchers'!$B$25:$F$25</definedName>
    <definedName name="ME_FINANCIAL" localSheetId="33">'Fidelity Bankers'!$B$25:$F$25</definedName>
    <definedName name="ME_FINANCIAL" localSheetId="34">'Fidelity Mutual'!$B$25:$F$25</definedName>
    <definedName name="ME_FINANCIAL" localSheetId="35">'First Capital'!$B$25:$F$25</definedName>
    <definedName name="ME_FINANCIAL" localSheetId="36">'First Natl'!$B$25:$F$25</definedName>
    <definedName name="ME_FINANCIAL" localSheetId="37">'First Natl (Thrnr)'!$B$25:$F$25</definedName>
    <definedName name="ME_FINANCIAL" localSheetId="38">'Franklin American'!$B$25:$F$25</definedName>
    <definedName name="ME_FINANCIAL" localSheetId="39">'Franklin Protective'!$B$25:$F$25</definedName>
    <definedName name="ME_FINANCIAL" localSheetId="40">'Freelancers CO-OP'!$B$25:$F$25</definedName>
    <definedName name="ME_FINANCIAL" localSheetId="41">'George Washington'!$B$25:$F$25</definedName>
    <definedName name="ME_FINANCIAL" localSheetId="42">'Golden State'!$B$25:$F$25</definedName>
    <definedName name="ME_FINANCIAL" localSheetId="43">'Guarantee Security'!$B$25:$F$25</definedName>
    <definedName name="ME_FINANCIAL" localSheetId="44">HealthyCT!$B$25:$F$25</definedName>
    <definedName name="ME_FINANCIAL" localSheetId="45">Imerica!$B$25:$F$25</definedName>
    <definedName name="ME_FINANCIAL" localSheetId="46">'Inter-American'!$B$25:$F$25</definedName>
    <definedName name="ME_FINANCIAL" localSheetId="47">'International Fin'!$B$25:$F$25</definedName>
    <definedName name="ME_FINANCIAL" localSheetId="48">'Investment Life of America'!$B$25:$F$25</definedName>
    <definedName name="ME_FINANCIAL" localSheetId="49">'Investors Equity'!$B$25:$F$25</definedName>
    <definedName name="ME_FINANCIAL" localSheetId="50">'Kentucky Central'!$B$25:$F$25</definedName>
    <definedName name="ME_FINANCIAL" localSheetId="51">'Land of Lincoln'!$B$25:$F$25</definedName>
    <definedName name="ME_FINANCIAL" localSheetId="52">Legion!$B$25:$F$25</definedName>
    <definedName name="ME_FINANCIAL" localSheetId="53">'Life Health America'!$B$25:$F$25</definedName>
    <definedName name="ME_FINANCIAL" localSheetId="54">'Lincoln Memorial'!$B$25:$F$25</definedName>
    <definedName name="ME_FINANCIAL" localSheetId="55">'London Pac'!$B$25:$F$25</definedName>
    <definedName name="ME_FINANCIAL" localSheetId="56">Lumbermens!$B$25:$F$25</definedName>
    <definedName name="ME_FINANCIAL" localSheetId="57">'Medical Savings'!$B$25:$F$25</definedName>
    <definedName name="ME_FINANCIAL" localSheetId="58">'Memorial Service'!$B$25:$F$25</definedName>
    <definedName name="ME_FINANCIAL" localSheetId="59">Midcontinent!$B$25:$F$25</definedName>
    <definedName name="ME_FINANCIAL" localSheetId="60">'Midwest Life'!$B$25:$F$25</definedName>
    <definedName name="ME_FINANCIAL" localSheetId="61">'Monarch Life'!$B$25:$F$25</definedName>
    <definedName name="ME_FINANCIAL" localSheetId="62">'Mutual Benefit'!$B$25:$F$25</definedName>
    <definedName name="ME_FINANCIAL" localSheetId="63">'Mutual Security'!$B$25:$F$25</definedName>
    <definedName name="ME_FINANCIAL" localSheetId="64">'National Affiliated'!$B$25:$F$25</definedName>
    <definedName name="ME_FINANCIAL" localSheetId="66">'National Heritage'!$B$25:$F$25</definedName>
    <definedName name="ME_FINANCIAL" localSheetId="67">'National States'!$B$25:$F$25</definedName>
    <definedName name="ME_FINANCIAL" localSheetId="65">'Natl American'!$B$25:$F$25</definedName>
    <definedName name="ME_FINANCIAL" localSheetId="68">'New Jersey Life'!$B$25:$F$25</definedName>
    <definedName name="ME_FINANCIAL" localSheetId="69">NNIC!$B$25:$F$25</definedName>
    <definedName name="ME_FINANCIAL" localSheetId="70">'Old Colony Life'!$B$25:$F$25</definedName>
    <definedName name="ME_FINANCIAL" localSheetId="71">'Old Faithful'!$B$25:$F$25</definedName>
    <definedName name="ME_FINANCIAL" localSheetId="72">'Pacific Standard'!$B$25:$F$25</definedName>
    <definedName name="ME_FINANCIAL" localSheetId="73">'Pen  Treaty'!$B$25:$F$25</definedName>
    <definedName name="ME_FINANCIAL" localSheetId="74">Reliance!$B$25:$F$25</definedName>
    <definedName name="ME_FINANCIAL" localSheetId="75">SeeChange!$B$25:$F$25</definedName>
    <definedName name="ME_FINANCIAL" localSheetId="76">'Senior American'!$B$25:$F$25</definedName>
    <definedName name="ME_FINANCIAL" localSheetId="77">Settlers!$B$25:$F$25</definedName>
    <definedName name="ME_FINANCIAL" localSheetId="78">Shenandoah!$B$25:$F$25</definedName>
    <definedName name="ME_FINANCIAL" localSheetId="79">'Standard Life IN'!$B$25:$F$25</definedName>
    <definedName name="ME_FINANCIAL" localSheetId="80">'States General'!$B$25:$F$25</definedName>
    <definedName name="ME_FINANCIAL" localSheetId="81">Statesman!$B$25:$F$25</definedName>
    <definedName name="ME_FINANCIAL" localSheetId="82">'Summit National'!$B$25:$F$25</definedName>
    <definedName name="ME_FINANCIAL" localSheetId="83">Supreme!$B$25:$F$25</definedName>
    <definedName name="ME_FINANCIAL" localSheetId="97">'Total Summary'!$B$25:$F$25</definedName>
    <definedName name="ME_FINANCIAL" localSheetId="84">Underwriters!$B$25:$F$25</definedName>
    <definedName name="ME_FINANCIAL" localSheetId="85">Unison!$B$25:$F$25</definedName>
    <definedName name="ME_FINANCIAL" localSheetId="86">'United Republic'!$B$25:$F$25</definedName>
    <definedName name="ME_FINANCIAL" localSheetId="87">'Universal Health Care'!$B$25:$F$25</definedName>
    <definedName name="ME_FINANCIAL" localSheetId="88">'Universal Life'!$B$25:$F$25</definedName>
    <definedName name="ME_FINANCIAL" localSheetId="89">Universe!$B$25:$F$25</definedName>
    <definedName name="ME_FINANCIAL" localSheetId="90">Villanova!$B$25:$F$25</definedName>
    <definedName name="MI_FINANCIAL" localSheetId="0">'Alabama Life'!$B$28:$F$28</definedName>
    <definedName name="MI_FINANCIAL" localSheetId="5">'Amer Life Asr'!$B$28:$F$28</definedName>
    <definedName name="MI_FINANCIAL" localSheetId="7">'Amer Std Life Acc'!$B$28:$F$28</definedName>
    <definedName name="MI_FINANCIAL" localSheetId="1">'American Chambers'!$B$28:$F$28</definedName>
    <definedName name="MI_FINANCIAL" localSheetId="2">'American Community'!$B$28:$F$28</definedName>
    <definedName name="MI_FINANCIAL" localSheetId="3">'American Educators'!$B$28:$F$28</definedName>
    <definedName name="MI_FINANCIAL" localSheetId="4">'American Integrity'!$B$28:$F$28</definedName>
    <definedName name="MI_FINANCIAL" localSheetId="6">'American Network'!$B$28:$F$28</definedName>
    <definedName name="MI_FINANCIAL" localSheetId="8">AmerWstrn!$B$28:$F$28</definedName>
    <definedName name="MI_FINANCIAL" localSheetId="9">'AMS Life'!$B$28:$F$28</definedName>
    <definedName name="MI_FINANCIAL" localSheetId="10">'Andrew Jackson'!$B$28:$F$28</definedName>
    <definedName name="MI_FINANCIAL" localSheetId="11">'Bankers Commercial'!$B$28:$F$28</definedName>
    <definedName name="MI_FINANCIAL" localSheetId="12">Benicorp!$B$28:$F$28</definedName>
    <definedName name="MI_FINANCIAL" localSheetId="13">'Booker T Washington'!$B$28:$F$28</definedName>
    <definedName name="MI_FINANCIAL" localSheetId="14">Centennial!$B$28:$F$28</definedName>
    <definedName name="MI_FINANCIAL" localSheetId="15">'Coastal States'!$B$28:$F$28</definedName>
    <definedName name="MI_FINANCIAL" localSheetId="16">'Colorado Health'!$B$28:$F$28</definedName>
    <definedName name="MI_FINANCIAL" localSheetId="17">'Compass (dbs Meritus)'!$B$28:$F$28</definedName>
    <definedName name="MI_FINANCIAL" localSheetId="18">'Confed Life &amp; Annty (CLIAC)'!$B$28:$F$28</definedName>
    <definedName name="MI_FINANCIAL" localSheetId="19">'Confed Life (CLIC)'!$B$28:$F$28</definedName>
    <definedName name="MI_FINANCIAL" localSheetId="20">'Consolidated National'!$B$28:$F$28</definedName>
    <definedName name="MI_FINANCIAL" localSheetId="21">'Consumers Choice'!$B$28:$F$28</definedName>
    <definedName name="MI_FINANCIAL" localSheetId="22">'Consumers Mutual'!$B$28:$F$28</definedName>
    <definedName name="MI_FINANCIAL" localSheetId="23">'Consumers United'!$B$28:$F$28</definedName>
    <definedName name="MI_FINANCIAL" localSheetId="24">CoOportunity!$B$28:$F$28</definedName>
    <definedName name="MI_FINANCIAL" localSheetId="25">'Coordinated Hlth'!$B$28:$F$28</definedName>
    <definedName name="MI_FINANCIAL" localSheetId="26">'Corporate Life'!$B$28:$F$28</definedName>
    <definedName name="MI_FINANCIAL" localSheetId="27">'Diamond Benefits'!$B$28:$F$28</definedName>
    <definedName name="MI_FINANCIAL" localSheetId="28">'EBL Life'!$B$28:$F$28</definedName>
    <definedName name="MI_FINANCIAL" localSheetId="30">ELNY!$B$28:$F$28</definedName>
    <definedName name="MI_FINANCIAL" localSheetId="29">'Executive Life'!$B$28:$F$28</definedName>
    <definedName name="MI_FINANCIAL" localSheetId="31">'Family Guaranty'!$B$28:$F$28</definedName>
    <definedName name="MI_FINANCIAL" localSheetId="32">'Farmers &amp; Ranchers'!$B$28:$F$28</definedName>
    <definedName name="MI_FINANCIAL" localSheetId="33">'Fidelity Bankers'!$B$28:$F$28</definedName>
    <definedName name="MI_FINANCIAL" localSheetId="34">'Fidelity Mutual'!$B$28:$F$28</definedName>
    <definedName name="MI_FINANCIAL" localSheetId="35">'First Capital'!$B$28:$F$28</definedName>
    <definedName name="MI_FINANCIAL" localSheetId="36">'First Natl'!$B$28:$F$28</definedName>
    <definedName name="MI_FINANCIAL" localSheetId="37">'First Natl (Thrnr)'!$B$28:$F$28</definedName>
    <definedName name="MI_FINANCIAL" localSheetId="38">'Franklin American'!$B$28:$F$28</definedName>
    <definedName name="MI_FINANCIAL" localSheetId="39">'Franklin Protective'!$B$28:$F$28</definedName>
    <definedName name="MI_FINANCIAL" localSheetId="40">'Freelancers CO-OP'!$B$28:$F$28</definedName>
    <definedName name="MI_FINANCIAL" localSheetId="41">'George Washington'!$B$28:$F$28</definedName>
    <definedName name="MI_FINANCIAL" localSheetId="42">'Golden State'!$B$28:$F$28</definedName>
    <definedName name="MI_FINANCIAL" localSheetId="43">'Guarantee Security'!$B$28:$F$28</definedName>
    <definedName name="MI_FINANCIAL" localSheetId="44">HealthyCT!$B$28:$F$28</definedName>
    <definedName name="MI_FINANCIAL" localSheetId="45">Imerica!$B$28:$F$28</definedName>
    <definedName name="MI_FINANCIAL" localSheetId="46">'Inter-American'!$B$28:$F$28</definedName>
    <definedName name="MI_FINANCIAL" localSheetId="47">'International Fin'!$B$28:$F$28</definedName>
    <definedName name="MI_FINANCIAL" localSheetId="48">'Investment Life of America'!$B$28:$F$28</definedName>
    <definedName name="MI_FINANCIAL" localSheetId="49">'Investors Equity'!$B$28:$F$28</definedName>
    <definedName name="MI_FINANCIAL" localSheetId="50">'Kentucky Central'!$B$28:$F$28</definedName>
    <definedName name="MI_FINANCIAL" localSheetId="51">'Land of Lincoln'!$B$28:$F$28</definedName>
    <definedName name="MI_FINANCIAL" localSheetId="52">Legion!$B$28:$F$28</definedName>
    <definedName name="MI_FINANCIAL" localSheetId="53">'Life Health America'!$B$28:$F$28</definedName>
    <definedName name="MI_FINANCIAL" localSheetId="54">'Lincoln Memorial'!$B$28:$F$28</definedName>
    <definedName name="MI_FINANCIAL" localSheetId="55">'London Pac'!$B$28:$F$28</definedName>
    <definedName name="MI_FINANCIAL" localSheetId="56">Lumbermens!$B$28:$F$28</definedName>
    <definedName name="MI_FINANCIAL" localSheetId="57">'Medical Savings'!$B$28:$F$28</definedName>
    <definedName name="MI_FINANCIAL" localSheetId="58">'Memorial Service'!$B$28:$F$28</definedName>
    <definedName name="MI_FINANCIAL" localSheetId="59">Midcontinent!$B$28:$F$28</definedName>
    <definedName name="MI_FINANCIAL" localSheetId="60">'Midwest Life'!$B$28:$F$28</definedName>
    <definedName name="MI_FINANCIAL" localSheetId="61">'Monarch Life'!$B$28:$F$28</definedName>
    <definedName name="MI_FINANCIAL" localSheetId="62">'Mutual Benefit'!$B$28:$F$28</definedName>
    <definedName name="MI_FINANCIAL" localSheetId="63">'Mutual Security'!$B$28:$F$28</definedName>
    <definedName name="MI_FINANCIAL" localSheetId="64">'National Affiliated'!$B$28:$F$28</definedName>
    <definedName name="MI_FINANCIAL" localSheetId="66">'National Heritage'!$B$28:$F$28</definedName>
    <definedName name="MI_FINANCIAL" localSheetId="67">'National States'!$B$28:$F$28</definedName>
    <definedName name="MI_FINANCIAL" localSheetId="65">'Natl American'!$B$28:$F$28</definedName>
    <definedName name="MI_FINANCIAL" localSheetId="68">'New Jersey Life'!$B$28:$F$28</definedName>
    <definedName name="MI_FINANCIAL" localSheetId="69">NNIC!$B$28:$F$28</definedName>
    <definedName name="MI_FINANCIAL" localSheetId="70">'Old Colony Life'!$B$28:$F$28</definedName>
    <definedName name="MI_FINANCIAL" localSheetId="71">'Old Faithful'!$B$28:$F$28</definedName>
    <definedName name="MI_FINANCIAL" localSheetId="72">'Pacific Standard'!$B$28:$F$28</definedName>
    <definedName name="MI_FINANCIAL" localSheetId="73">'Pen  Treaty'!$B$28:$F$28</definedName>
    <definedName name="MI_FINANCIAL" localSheetId="74">Reliance!$B$28:$F$28</definedName>
    <definedName name="MI_FINANCIAL" localSheetId="75">SeeChange!$B$28:$F$28</definedName>
    <definedName name="MI_FINANCIAL" localSheetId="76">'Senior American'!$B$28:$F$28</definedName>
    <definedName name="MI_FINANCIAL" localSheetId="77">Settlers!$B$28:$F$28</definedName>
    <definedName name="MI_FINANCIAL" localSheetId="78">Shenandoah!$B$28:$F$28</definedName>
    <definedName name="MI_FINANCIAL" localSheetId="79">'Standard Life IN'!$B$28:$F$28</definedName>
    <definedName name="MI_FINANCIAL" localSheetId="80">'States General'!$B$28:$F$28</definedName>
    <definedName name="MI_FINANCIAL" localSheetId="81">Statesman!$B$28:$F$28</definedName>
    <definedName name="MI_FINANCIAL" localSheetId="82">'Summit National'!$B$28:$F$28</definedName>
    <definedName name="MI_FINANCIAL" localSheetId="83">Supreme!$B$28:$F$28</definedName>
    <definedName name="MI_FINANCIAL" localSheetId="97">'Total Summary'!$B$28:$F$28</definedName>
    <definedName name="MI_FINANCIAL" localSheetId="84">Underwriters!$B$28:$F$28</definedName>
    <definedName name="MI_FINANCIAL" localSheetId="85">Unison!$B$28:$F$28</definedName>
    <definedName name="MI_FINANCIAL" localSheetId="86">'United Republic'!$B$28:$F$28</definedName>
    <definedName name="MI_FINANCIAL" localSheetId="87">'Universal Health Care'!$B$28:$F$28</definedName>
    <definedName name="MI_FINANCIAL" localSheetId="88">'Universal Life'!$B$28:$F$28</definedName>
    <definedName name="MI_FINANCIAL" localSheetId="89">Universe!$B$28:$F$28</definedName>
    <definedName name="MI_FINANCIAL" localSheetId="90">Villanova!$B$28:$F$28</definedName>
    <definedName name="MN_FINANCIAL" localSheetId="0">'Alabama Life'!$B$29:$F$29</definedName>
    <definedName name="MN_FINANCIAL" localSheetId="5">'Amer Life Asr'!$B$29:$F$29</definedName>
    <definedName name="MN_FINANCIAL" localSheetId="7">'Amer Std Life Acc'!$B$29:$F$29</definedName>
    <definedName name="MN_FINANCIAL" localSheetId="1">'American Chambers'!$B$29:$F$29</definedName>
    <definedName name="MN_FINANCIAL" localSheetId="2">'American Community'!$B$29:$F$29</definedName>
    <definedName name="MN_FINANCIAL" localSheetId="3">'American Educators'!$B$29:$F$29</definedName>
    <definedName name="MN_FINANCIAL" localSheetId="4">'American Integrity'!$B$29:$F$29</definedName>
    <definedName name="MN_FINANCIAL" localSheetId="6">'American Network'!$B$29:$F$29</definedName>
    <definedName name="MN_FINANCIAL" localSheetId="8">AmerWstrn!$B$29:$F$29</definedName>
    <definedName name="MN_FINANCIAL" localSheetId="9">'AMS Life'!$B$29:$F$29</definedName>
    <definedName name="MN_FINANCIAL" localSheetId="10">'Andrew Jackson'!$B$29:$F$29</definedName>
    <definedName name="MN_FINANCIAL" localSheetId="11">'Bankers Commercial'!$B$29:$F$29</definedName>
    <definedName name="MN_FINANCIAL" localSheetId="12">Benicorp!$B$29:$F$29</definedName>
    <definedName name="MN_FINANCIAL" localSheetId="13">'Booker T Washington'!$B$29:$F$29</definedName>
    <definedName name="MN_FINANCIAL" localSheetId="14">Centennial!$B$29:$F$29</definedName>
    <definedName name="MN_FINANCIAL" localSheetId="15">'Coastal States'!$B$29:$F$29</definedName>
    <definedName name="MN_FINANCIAL" localSheetId="16">'Colorado Health'!$B$29:$F$29</definedName>
    <definedName name="MN_FINANCIAL" localSheetId="17">'Compass (dbs Meritus)'!$B$29:$F$29</definedName>
    <definedName name="MN_FINANCIAL" localSheetId="18">'Confed Life &amp; Annty (CLIAC)'!$B$29:$F$29</definedName>
    <definedName name="MN_FINANCIAL" localSheetId="19">'Confed Life (CLIC)'!$B$29:$F$29</definedName>
    <definedName name="MN_FINANCIAL" localSheetId="20">'Consolidated National'!$B$29:$F$29</definedName>
    <definedName name="MN_FINANCIAL" localSheetId="21">'Consumers Choice'!$B$29:$F$29</definedName>
    <definedName name="MN_FINANCIAL" localSheetId="22">'Consumers Mutual'!$B$29:$F$29</definedName>
    <definedName name="MN_FINANCIAL" localSheetId="23">'Consumers United'!$B$29:$F$29</definedName>
    <definedName name="MN_FINANCIAL" localSheetId="24">CoOportunity!$B$29:$F$29</definedName>
    <definedName name="MN_FINANCIAL" localSheetId="25">'Coordinated Hlth'!$B$29:$F$29</definedName>
    <definedName name="MN_FINANCIAL" localSheetId="26">'Corporate Life'!$B$29:$F$29</definedName>
    <definedName name="MN_FINANCIAL" localSheetId="27">'Diamond Benefits'!$B$29:$F$29</definedName>
    <definedName name="MN_FINANCIAL" localSheetId="28">'EBL Life'!$B$29:$F$29</definedName>
    <definedName name="MN_FINANCIAL" localSheetId="30">ELNY!$B$29:$F$29</definedName>
    <definedName name="MN_FINANCIAL" localSheetId="29">'Executive Life'!$B$29:$F$29</definedName>
    <definedName name="MN_FINANCIAL" localSheetId="31">'Family Guaranty'!$B$29:$F$29</definedName>
    <definedName name="MN_FINANCIAL" localSheetId="32">'Farmers &amp; Ranchers'!$B$29:$F$29</definedName>
    <definedName name="MN_FINANCIAL" localSheetId="33">'Fidelity Bankers'!$B$29:$F$29</definedName>
    <definedName name="MN_FINANCIAL" localSheetId="34">'Fidelity Mutual'!$B$29:$F$29</definedName>
    <definedName name="MN_FINANCIAL" localSheetId="35">'First Capital'!$B$29:$F$29</definedName>
    <definedName name="MN_FINANCIAL" localSheetId="36">'First Natl'!$B$29:$F$29</definedName>
    <definedName name="MN_FINANCIAL" localSheetId="37">'First Natl (Thrnr)'!$B$29:$F$29</definedName>
    <definedName name="MN_FINANCIAL" localSheetId="38">'Franklin American'!$B$29:$F$29</definedName>
    <definedName name="MN_FINANCIAL" localSheetId="39">'Franklin Protective'!$B$29:$F$29</definedName>
    <definedName name="MN_FINANCIAL" localSheetId="40">'Freelancers CO-OP'!$B$29:$F$29</definedName>
    <definedName name="MN_FINANCIAL" localSheetId="41">'George Washington'!$B$29:$F$29</definedName>
    <definedName name="MN_FINANCIAL" localSheetId="42">'Golden State'!$B$29:$F$29</definedName>
    <definedName name="MN_FINANCIAL" localSheetId="43">'Guarantee Security'!$B$29:$F$29</definedName>
    <definedName name="MN_FINANCIAL" localSheetId="44">HealthyCT!$B$29:$F$29</definedName>
    <definedName name="MN_FINANCIAL" localSheetId="45">Imerica!$B$29:$F$29</definedName>
    <definedName name="MN_FINANCIAL" localSheetId="46">'Inter-American'!$B$29:$F$29</definedName>
    <definedName name="MN_FINANCIAL" localSheetId="47">'International Fin'!$B$29:$F$29</definedName>
    <definedName name="MN_FINANCIAL" localSheetId="48">'Investment Life of America'!$B$29:$F$29</definedName>
    <definedName name="MN_FINANCIAL" localSheetId="49">'Investors Equity'!$B$29:$F$29</definedName>
    <definedName name="MN_FINANCIAL" localSheetId="50">'Kentucky Central'!$B$29:$F$29</definedName>
    <definedName name="MN_FINANCIAL" localSheetId="51">'Land of Lincoln'!$B$29:$F$29</definedName>
    <definedName name="MN_FINANCIAL" localSheetId="52">Legion!$B$29:$F$29</definedName>
    <definedName name="MN_FINANCIAL" localSheetId="53">'Life Health America'!$B$29:$F$29</definedName>
    <definedName name="MN_FINANCIAL" localSheetId="54">'Lincoln Memorial'!$B$29:$F$29</definedName>
    <definedName name="MN_FINANCIAL" localSheetId="55">'London Pac'!$B$29:$F$29</definedName>
    <definedName name="MN_FINANCIAL" localSheetId="56">Lumbermens!$B$29:$F$29</definedName>
    <definedName name="MN_FINANCIAL" localSheetId="57">'Medical Savings'!$B$29:$F$29</definedName>
    <definedName name="MN_FINANCIAL" localSheetId="58">'Memorial Service'!$B$29:$F$29</definedName>
    <definedName name="MN_FINANCIAL" localSheetId="59">Midcontinent!$B$29:$F$29</definedName>
    <definedName name="MN_FINANCIAL" localSheetId="60">'Midwest Life'!$B$29:$F$29</definedName>
    <definedName name="MN_FINANCIAL" localSheetId="61">'Monarch Life'!$B$29:$F$29</definedName>
    <definedName name="MN_FINANCIAL" localSheetId="62">'Mutual Benefit'!$B$29:$F$29</definedName>
    <definedName name="MN_FINANCIAL" localSheetId="63">'Mutual Security'!$B$29:$F$29</definedName>
    <definedName name="MN_FINANCIAL" localSheetId="64">'National Affiliated'!$B$29:$F$29</definedName>
    <definedName name="MN_FINANCIAL" localSheetId="66">'National Heritage'!$B$29:$F$29</definedName>
    <definedName name="MN_FINANCIAL" localSheetId="67">'National States'!$B$29:$F$29</definedName>
    <definedName name="MN_FINANCIAL" localSheetId="65">'Natl American'!$B$29:$F$29</definedName>
    <definedName name="MN_FINANCIAL" localSheetId="68">'New Jersey Life'!$B$29:$F$29</definedName>
    <definedName name="MN_FINANCIAL" localSheetId="69">NNIC!$B$29:$F$29</definedName>
    <definedName name="MN_FINANCIAL" localSheetId="70">'Old Colony Life'!$B$29:$F$29</definedName>
    <definedName name="MN_FINANCIAL" localSheetId="71">'Old Faithful'!$B$29:$F$29</definedName>
    <definedName name="MN_FINANCIAL" localSheetId="72">'Pacific Standard'!$B$29:$F$29</definedName>
    <definedName name="MN_FINANCIAL" localSheetId="73">'Pen  Treaty'!$B$29:$F$29</definedName>
    <definedName name="MN_FINANCIAL" localSheetId="74">Reliance!$B$29:$F$29</definedName>
    <definedName name="MN_FINANCIAL" localSheetId="75">SeeChange!$B$29:$F$29</definedName>
    <definedName name="MN_FINANCIAL" localSheetId="76">'Senior American'!$B$29:$F$29</definedName>
    <definedName name="MN_FINANCIAL" localSheetId="77">Settlers!$B$29:$F$29</definedName>
    <definedName name="MN_FINANCIAL" localSheetId="78">Shenandoah!$B$29:$F$29</definedName>
    <definedName name="MN_FINANCIAL" localSheetId="79">'Standard Life IN'!$B$29:$F$29</definedName>
    <definedName name="MN_FINANCIAL" localSheetId="80">'States General'!$B$29:$F$29</definedName>
    <definedName name="MN_FINANCIAL" localSheetId="81">Statesman!$B$29:$F$29</definedName>
    <definedName name="MN_FINANCIAL" localSheetId="82">'Summit National'!$B$29:$F$29</definedName>
    <definedName name="MN_FINANCIAL" localSheetId="83">Supreme!$B$29:$F$29</definedName>
    <definedName name="MN_FINANCIAL" localSheetId="97">'Total Summary'!$B$29:$F$29</definedName>
    <definedName name="MN_FINANCIAL" localSheetId="84">Underwriters!$B$29:$F$29</definedName>
    <definedName name="MN_FINANCIAL" localSheetId="85">Unison!$B$29:$F$29</definedName>
    <definedName name="MN_FINANCIAL" localSheetId="86">'United Republic'!$B$29:$F$29</definedName>
    <definedName name="MN_FINANCIAL" localSheetId="87">'Universal Health Care'!$B$29:$F$29</definedName>
    <definedName name="MN_FINANCIAL" localSheetId="88">'Universal Life'!$B$29:$F$29</definedName>
    <definedName name="MN_FINANCIAL" localSheetId="89">Universe!$B$29:$F$29</definedName>
    <definedName name="MN_FINANCIAL" localSheetId="90">Villanova!$B$29:$F$29</definedName>
    <definedName name="MO_FINANCIAL" localSheetId="0">'Alabama Life'!$B$31:$F$31</definedName>
    <definedName name="MO_FINANCIAL" localSheetId="5">'Amer Life Asr'!$B$31:$F$31</definedName>
    <definedName name="MO_FINANCIAL" localSheetId="7">'Amer Std Life Acc'!$B$31:$F$31</definedName>
    <definedName name="MO_FINANCIAL" localSheetId="1">'American Chambers'!$B$31:$F$31</definedName>
    <definedName name="MO_FINANCIAL" localSheetId="2">'American Community'!$B$31:$F$31</definedName>
    <definedName name="MO_FINANCIAL" localSheetId="3">'American Educators'!$B$31:$F$31</definedName>
    <definedName name="MO_FINANCIAL" localSheetId="4">'American Integrity'!$B$31:$F$31</definedName>
    <definedName name="MO_FINANCIAL" localSheetId="6">'American Network'!$B$31:$F$31</definedName>
    <definedName name="MO_FINANCIAL" localSheetId="8">AmerWstrn!$B$31:$F$31</definedName>
    <definedName name="MO_FINANCIAL" localSheetId="9">'AMS Life'!$B$31:$F$31</definedName>
    <definedName name="MO_FINANCIAL" localSheetId="10">'Andrew Jackson'!$B$31:$F$31</definedName>
    <definedName name="MO_FINANCIAL" localSheetId="11">'Bankers Commercial'!$B$31:$F$31</definedName>
    <definedName name="MO_FINANCIAL" localSheetId="12">Benicorp!$B$31:$F$31</definedName>
    <definedName name="MO_FINANCIAL" localSheetId="13">'Booker T Washington'!$B$31:$F$31</definedName>
    <definedName name="MO_FINANCIAL" localSheetId="14">Centennial!$B$31:$F$31</definedName>
    <definedName name="MO_FINANCIAL" localSheetId="15">'Coastal States'!$B$31:$F$31</definedName>
    <definedName name="MO_FINANCIAL" localSheetId="16">'Colorado Health'!$B$31:$F$31</definedName>
    <definedName name="MO_FINANCIAL" localSheetId="17">'Compass (dbs Meritus)'!$B$31:$F$31</definedName>
    <definedName name="MO_FINANCIAL" localSheetId="18">'Confed Life &amp; Annty (CLIAC)'!$B$31:$F$31</definedName>
    <definedName name="MO_FINANCIAL" localSheetId="19">'Confed Life (CLIC)'!$B$31:$F$31</definedName>
    <definedName name="MO_FINANCIAL" localSheetId="20">'Consolidated National'!$B$31:$F$31</definedName>
    <definedName name="MO_FINANCIAL" localSheetId="21">'Consumers Choice'!$B$31:$F$31</definedName>
    <definedName name="MO_FINANCIAL" localSheetId="22">'Consumers Mutual'!$B$31:$F$31</definedName>
    <definedName name="MO_FINANCIAL" localSheetId="23">'Consumers United'!$B$31:$F$31</definedName>
    <definedName name="MO_FINANCIAL" localSheetId="24">CoOportunity!$B$31:$F$31</definedName>
    <definedName name="MO_FINANCIAL" localSheetId="25">'Coordinated Hlth'!$B$31:$F$31</definedName>
    <definedName name="MO_FINANCIAL" localSheetId="26">'Corporate Life'!$B$31:$F$31</definedName>
    <definedName name="MO_FINANCIAL" localSheetId="27">'Diamond Benefits'!$B$31:$F$31</definedName>
    <definedName name="MO_FINANCIAL" localSheetId="28">'EBL Life'!$B$31:$F$31</definedName>
    <definedName name="MO_FINANCIAL" localSheetId="30">ELNY!$B$31:$F$31</definedName>
    <definedName name="MO_FINANCIAL" localSheetId="29">'Executive Life'!$B$31:$F$31</definedName>
    <definedName name="MO_FINANCIAL" localSheetId="31">'Family Guaranty'!$B$31:$F$31</definedName>
    <definedName name="MO_FINANCIAL" localSheetId="32">'Farmers &amp; Ranchers'!$B$31:$F$31</definedName>
    <definedName name="MO_FINANCIAL" localSheetId="33">'Fidelity Bankers'!$B$31:$F$31</definedName>
    <definedName name="MO_FINANCIAL" localSheetId="34">'Fidelity Mutual'!$B$31:$F$31</definedName>
    <definedName name="MO_FINANCIAL" localSheetId="35">'First Capital'!$B$31:$F$31</definedName>
    <definedName name="MO_FINANCIAL" localSheetId="36">'First Natl'!$B$31:$F$31</definedName>
    <definedName name="MO_FINANCIAL" localSheetId="37">'First Natl (Thrnr)'!$B$31:$F$31</definedName>
    <definedName name="MO_FINANCIAL" localSheetId="38">'Franklin American'!$B$31:$F$31</definedName>
    <definedName name="MO_FINANCIAL" localSheetId="39">'Franklin Protective'!$B$31:$F$31</definedName>
    <definedName name="MO_FINANCIAL" localSheetId="40">'Freelancers CO-OP'!$B$31:$F$31</definedName>
    <definedName name="MO_FINANCIAL" localSheetId="41">'George Washington'!$B$31:$F$31</definedName>
    <definedName name="MO_FINANCIAL" localSheetId="42">'Golden State'!$B$31:$F$31</definedName>
    <definedName name="MO_FINANCIAL" localSheetId="43">'Guarantee Security'!$B$31:$F$31</definedName>
    <definedName name="MO_FINANCIAL" localSheetId="44">HealthyCT!$B$31:$F$31</definedName>
    <definedName name="MO_FINANCIAL" localSheetId="45">Imerica!$B$31:$F$31</definedName>
    <definedName name="MO_FINANCIAL" localSheetId="46">'Inter-American'!$B$31:$F$31</definedName>
    <definedName name="MO_FINANCIAL" localSheetId="47">'International Fin'!$B$31:$F$31</definedName>
    <definedName name="MO_FINANCIAL" localSheetId="48">'Investment Life of America'!$B$31:$F$31</definedName>
    <definedName name="MO_FINANCIAL" localSheetId="49">'Investors Equity'!$B$31:$F$31</definedName>
    <definedName name="MO_FINANCIAL" localSheetId="50">'Kentucky Central'!$B$31:$F$31</definedName>
    <definedName name="MO_FINANCIAL" localSheetId="51">'Land of Lincoln'!$B$31:$F$31</definedName>
    <definedName name="MO_FINANCIAL" localSheetId="52">Legion!$B$31:$F$31</definedName>
    <definedName name="MO_FINANCIAL" localSheetId="53">'Life Health America'!$B$31:$F$31</definedName>
    <definedName name="MO_FINANCIAL" localSheetId="54">'Lincoln Memorial'!$B$31:$F$31</definedName>
    <definedName name="MO_FINANCIAL" localSheetId="55">'London Pac'!$B$31:$F$31</definedName>
    <definedName name="MO_FINANCIAL" localSheetId="56">Lumbermens!$B$31:$F$31</definedName>
    <definedName name="MO_FINANCIAL" localSheetId="57">'Medical Savings'!$B$31:$F$31</definedName>
    <definedName name="MO_FINANCIAL" localSheetId="58">'Memorial Service'!$B$31:$F$31</definedName>
    <definedName name="MO_FINANCIAL" localSheetId="59">Midcontinent!$B$31:$F$31</definedName>
    <definedName name="MO_FINANCIAL" localSheetId="60">'Midwest Life'!$B$31:$F$31</definedName>
    <definedName name="MO_FINANCIAL" localSheetId="61">'Monarch Life'!$B$31:$F$31</definedName>
    <definedName name="MO_FINANCIAL" localSheetId="62">'Mutual Benefit'!$B$31:$F$31</definedName>
    <definedName name="MO_FINANCIAL" localSheetId="63">'Mutual Security'!$B$31:$F$31</definedName>
    <definedName name="MO_FINANCIAL" localSheetId="64">'National Affiliated'!$B$31:$F$31</definedName>
    <definedName name="MO_FINANCIAL" localSheetId="66">'National Heritage'!$B$31:$F$31</definedName>
    <definedName name="MO_FINANCIAL" localSheetId="67">'National States'!$B$31:$F$31</definedName>
    <definedName name="MO_FINANCIAL" localSheetId="65">'Natl American'!$B$31:$F$31</definedName>
    <definedName name="MO_FINANCIAL" localSheetId="68">'New Jersey Life'!$B$31:$F$31</definedName>
    <definedName name="MO_FINANCIAL" localSheetId="69">NNIC!$B$31:$F$31</definedName>
    <definedName name="MO_FINANCIAL" localSheetId="70">'Old Colony Life'!$B$31:$F$31</definedName>
    <definedName name="MO_FINANCIAL" localSheetId="71">'Old Faithful'!$B$31:$F$31</definedName>
    <definedName name="MO_FINANCIAL" localSheetId="72">'Pacific Standard'!$B$31:$F$31</definedName>
    <definedName name="MO_FINANCIAL" localSheetId="73">'Pen  Treaty'!$B$31:$F$31</definedName>
    <definedName name="MO_FINANCIAL" localSheetId="74">Reliance!$B$31:$F$31</definedName>
    <definedName name="MO_FINANCIAL" localSheetId="75">SeeChange!$B$31:$F$31</definedName>
    <definedName name="MO_FINANCIAL" localSheetId="76">'Senior American'!$B$31:$F$31</definedName>
    <definedName name="MO_FINANCIAL" localSheetId="77">Settlers!$B$31:$F$31</definedName>
    <definedName name="MO_FINANCIAL" localSheetId="78">Shenandoah!$B$31:$F$31</definedName>
    <definedName name="MO_FINANCIAL" localSheetId="79">'Standard Life IN'!$B$31:$F$31</definedName>
    <definedName name="MO_FINANCIAL" localSheetId="80">'States General'!$B$31:$F$31</definedName>
    <definedName name="MO_FINANCIAL" localSheetId="81">Statesman!$B$31:$F$31</definedName>
    <definedName name="MO_FINANCIAL" localSheetId="82">'Summit National'!$B$31:$F$31</definedName>
    <definedName name="MO_FINANCIAL" localSheetId="83">Supreme!$B$31:$F$31</definedName>
    <definedName name="MO_FINANCIAL" localSheetId="97">'Total Summary'!$B$31:$F$31</definedName>
    <definedName name="MO_FINANCIAL" localSheetId="84">Underwriters!$B$31:$F$31</definedName>
    <definedName name="MO_FINANCIAL" localSheetId="85">Unison!$B$31:$F$31</definedName>
    <definedName name="MO_FINANCIAL" localSheetId="86">'United Republic'!$B$31:$F$31</definedName>
    <definedName name="MO_FINANCIAL" localSheetId="87">'Universal Health Care'!$B$31:$F$31</definedName>
    <definedName name="MO_FINANCIAL" localSheetId="88">'Universal Life'!$B$31:$F$31</definedName>
    <definedName name="MO_FINANCIAL" localSheetId="89">Universe!$B$31:$F$31</definedName>
    <definedName name="MO_FINANCIAL" localSheetId="90">Villanova!$B$31:$F$31</definedName>
    <definedName name="MS_FINANCIAL" localSheetId="0">'Alabama Life'!$B$30:$F$30</definedName>
    <definedName name="MS_FINANCIAL" localSheetId="5">'Amer Life Asr'!$B$30:$F$30</definedName>
    <definedName name="MS_FINANCIAL" localSheetId="7">'Amer Std Life Acc'!$B$30:$F$30</definedName>
    <definedName name="MS_FINANCIAL" localSheetId="1">'American Chambers'!$B$30:$F$30</definedName>
    <definedName name="MS_FINANCIAL" localSheetId="2">'American Community'!$B$30:$F$30</definedName>
    <definedName name="MS_FINANCIAL" localSheetId="3">'American Educators'!$B$30:$F$30</definedName>
    <definedName name="MS_FINANCIAL" localSheetId="4">'American Integrity'!$B$30:$F$30</definedName>
    <definedName name="MS_FINANCIAL" localSheetId="6">'American Network'!$B$30:$F$30</definedName>
    <definedName name="MS_FINANCIAL" localSheetId="8">AmerWstrn!$B$30:$F$30</definedName>
    <definedName name="MS_FINANCIAL" localSheetId="9">'AMS Life'!$B$30:$F$30</definedName>
    <definedName name="MS_FINANCIAL" localSheetId="10">'Andrew Jackson'!$B$30:$F$30</definedName>
    <definedName name="MS_FINANCIAL" localSheetId="11">'Bankers Commercial'!$B$30:$F$30</definedName>
    <definedName name="MS_FINANCIAL" localSheetId="12">Benicorp!$B$30:$F$30</definedName>
    <definedName name="MS_FINANCIAL" localSheetId="13">'Booker T Washington'!$B$30:$F$30</definedName>
    <definedName name="MS_FINANCIAL" localSheetId="14">Centennial!$B$30:$F$30</definedName>
    <definedName name="MS_FINANCIAL" localSheetId="15">'Coastal States'!$B$30:$F$30</definedName>
    <definedName name="MS_FINANCIAL" localSheetId="16">'Colorado Health'!$B$30:$F$30</definedName>
    <definedName name="MS_FINANCIAL" localSheetId="17">'Compass (dbs Meritus)'!$B$30:$F$30</definedName>
    <definedName name="MS_FINANCIAL" localSheetId="18">'Confed Life &amp; Annty (CLIAC)'!$B$30:$F$30</definedName>
    <definedName name="MS_FINANCIAL" localSheetId="19">'Confed Life (CLIC)'!$B$30:$F$30</definedName>
    <definedName name="MS_FINANCIAL" localSheetId="20">'Consolidated National'!$B$30:$F$30</definedName>
    <definedName name="MS_FINANCIAL" localSheetId="21">'Consumers Choice'!$B$30:$F$30</definedName>
    <definedName name="MS_FINANCIAL" localSheetId="22">'Consumers Mutual'!$B$30:$F$30</definedName>
    <definedName name="MS_FINANCIAL" localSheetId="23">'Consumers United'!$B$30:$F$30</definedName>
    <definedName name="MS_FINANCIAL" localSheetId="24">CoOportunity!$B$30:$F$30</definedName>
    <definedName name="MS_FINANCIAL" localSheetId="25">'Coordinated Hlth'!$B$30:$F$30</definedName>
    <definedName name="MS_FINANCIAL" localSheetId="26">'Corporate Life'!$B$30:$F$30</definedName>
    <definedName name="MS_FINANCIAL" localSheetId="27">'Diamond Benefits'!$B$30:$F$30</definedName>
    <definedName name="MS_FINANCIAL" localSheetId="28">'EBL Life'!$B$30:$F$30</definedName>
    <definedName name="MS_FINANCIAL" localSheetId="30">ELNY!$B$30:$F$30</definedName>
    <definedName name="MS_FINANCIAL" localSheetId="29">'Executive Life'!$B$30:$F$30</definedName>
    <definedName name="MS_FINANCIAL" localSheetId="31">'Family Guaranty'!$B$30:$F$30</definedName>
    <definedName name="MS_FINANCIAL" localSheetId="32">'Farmers &amp; Ranchers'!$B$30:$F$30</definedName>
    <definedName name="MS_FINANCIAL" localSheetId="33">'Fidelity Bankers'!$B$30:$F$30</definedName>
    <definedName name="MS_FINANCIAL" localSheetId="34">'Fidelity Mutual'!$B$30:$F$30</definedName>
    <definedName name="MS_FINANCIAL" localSheetId="35">'First Capital'!$B$30:$F$30</definedName>
    <definedName name="MS_FINANCIAL" localSheetId="36">'First Natl'!$B$30:$F$30</definedName>
    <definedName name="MS_FINANCIAL" localSheetId="37">'First Natl (Thrnr)'!$B$30:$F$30</definedName>
    <definedName name="MS_FINANCIAL" localSheetId="38">'Franklin American'!$B$30:$F$30</definedName>
    <definedName name="MS_FINANCIAL" localSheetId="39">'Franklin Protective'!$B$30:$F$30</definedName>
    <definedName name="MS_FINANCIAL" localSheetId="40">'Freelancers CO-OP'!$B$30:$F$30</definedName>
    <definedName name="MS_FINANCIAL" localSheetId="41">'George Washington'!$B$30:$F$30</definedName>
    <definedName name="MS_FINANCIAL" localSheetId="42">'Golden State'!$B$30:$F$30</definedName>
    <definedName name="MS_FINANCIAL" localSheetId="43">'Guarantee Security'!$B$30:$F$30</definedName>
    <definedName name="MS_FINANCIAL" localSheetId="44">HealthyCT!$B$30:$F$30</definedName>
    <definedName name="MS_FINANCIAL" localSheetId="45">Imerica!$B$30:$F$30</definedName>
    <definedName name="MS_FINANCIAL" localSheetId="46">'Inter-American'!$B$30:$F$30</definedName>
    <definedName name="MS_FINANCIAL" localSheetId="47">'International Fin'!$B$30:$F$30</definedName>
    <definedName name="MS_FINANCIAL" localSheetId="48">'Investment Life of America'!$B$30:$F$30</definedName>
    <definedName name="MS_FINANCIAL" localSheetId="49">'Investors Equity'!$B$30:$F$30</definedName>
    <definedName name="MS_FINANCIAL" localSheetId="50">'Kentucky Central'!$B$30:$F$30</definedName>
    <definedName name="MS_FINANCIAL" localSheetId="51">'Land of Lincoln'!$B$30:$F$30</definedName>
    <definedName name="MS_FINANCIAL" localSheetId="52">Legion!$B$30:$F$30</definedName>
    <definedName name="MS_FINANCIAL" localSheetId="53">'Life Health America'!$B$30:$F$30</definedName>
    <definedName name="MS_FINANCIAL" localSheetId="54">'Lincoln Memorial'!$B$30:$F$30</definedName>
    <definedName name="MS_FINANCIAL" localSheetId="55">'London Pac'!$B$30:$F$30</definedName>
    <definedName name="MS_FINANCIAL" localSheetId="56">Lumbermens!$B$30:$F$30</definedName>
    <definedName name="MS_FINANCIAL" localSheetId="57">'Medical Savings'!$B$30:$F$30</definedName>
    <definedName name="MS_FINANCIAL" localSheetId="58">'Memorial Service'!$B$30:$F$30</definedName>
    <definedName name="MS_FINANCIAL" localSheetId="59">Midcontinent!$B$30:$F$30</definedName>
    <definedName name="MS_FINANCIAL" localSheetId="60">'Midwest Life'!$B$30:$F$30</definedName>
    <definedName name="MS_FINANCIAL" localSheetId="61">'Monarch Life'!$B$30:$F$30</definedName>
    <definedName name="MS_FINANCIAL" localSheetId="62">'Mutual Benefit'!$B$30:$F$30</definedName>
    <definedName name="MS_FINANCIAL" localSheetId="63">'Mutual Security'!$B$30:$F$30</definedName>
    <definedName name="MS_FINANCIAL" localSheetId="64">'National Affiliated'!$B$30:$F$30</definedName>
    <definedName name="MS_FINANCIAL" localSheetId="66">'National Heritage'!$B$30:$F$30</definedName>
    <definedName name="MS_FINANCIAL" localSheetId="67">'National States'!$B$30:$F$30</definedName>
    <definedName name="MS_FINANCIAL" localSheetId="65">'Natl American'!$B$30:$F$30</definedName>
    <definedName name="MS_FINANCIAL" localSheetId="68">'New Jersey Life'!$B$30:$F$30</definedName>
    <definedName name="MS_FINANCIAL" localSheetId="69">NNIC!$B$30:$F$30</definedName>
    <definedName name="MS_FINANCIAL" localSheetId="70">'Old Colony Life'!$B$30:$F$30</definedName>
    <definedName name="MS_FINANCIAL" localSheetId="71">'Old Faithful'!$B$30:$F$30</definedName>
    <definedName name="MS_FINANCIAL" localSheetId="72">'Pacific Standard'!$B$30:$F$30</definedName>
    <definedName name="MS_FINANCIAL" localSheetId="73">'Pen  Treaty'!$B$30:$F$30</definedName>
    <definedName name="MS_FINANCIAL" localSheetId="74">Reliance!$B$30:$F$30</definedName>
    <definedName name="MS_FINANCIAL" localSheetId="75">SeeChange!$B$30:$F$30</definedName>
    <definedName name="MS_FINANCIAL" localSheetId="76">'Senior American'!$B$30:$F$30</definedName>
    <definedName name="MS_FINANCIAL" localSheetId="77">Settlers!$B$30:$F$30</definedName>
    <definedName name="MS_FINANCIAL" localSheetId="78">Shenandoah!$B$30:$F$30</definedName>
    <definedName name="MS_FINANCIAL" localSheetId="79">'Standard Life IN'!$B$30:$F$30</definedName>
    <definedName name="MS_FINANCIAL" localSheetId="80">'States General'!$B$30:$F$30</definedName>
    <definedName name="MS_FINANCIAL" localSheetId="81">Statesman!$B$30:$F$30</definedName>
    <definedName name="MS_FINANCIAL" localSheetId="82">'Summit National'!$B$30:$F$30</definedName>
    <definedName name="MS_FINANCIAL" localSheetId="83">Supreme!$B$30:$F$30</definedName>
    <definedName name="MS_FINANCIAL" localSheetId="97">'Total Summary'!$B$30:$F$30</definedName>
    <definedName name="MS_FINANCIAL" localSheetId="84">Underwriters!$B$30:$F$30</definedName>
    <definedName name="MS_FINANCIAL" localSheetId="85">Unison!$B$30:$F$30</definedName>
    <definedName name="MS_FINANCIAL" localSheetId="86">'United Republic'!$B$30:$F$30</definedName>
    <definedName name="MS_FINANCIAL" localSheetId="87">'Universal Health Care'!$B$30:$F$30</definedName>
    <definedName name="MS_FINANCIAL" localSheetId="88">'Universal Life'!$B$30:$F$30</definedName>
    <definedName name="MS_FINANCIAL" localSheetId="89">Universe!$B$30:$F$30</definedName>
    <definedName name="MS_FINANCIAL" localSheetId="90">Villanova!$B$30:$F$30</definedName>
    <definedName name="MT_FINANCIAL" localSheetId="0">'Alabama Life'!$B$32:$F$32</definedName>
    <definedName name="MT_FINANCIAL" localSheetId="5">'Amer Life Asr'!$B$32:$F$32</definedName>
    <definedName name="MT_FINANCIAL" localSheetId="7">'Amer Std Life Acc'!$B$32:$F$32</definedName>
    <definedName name="MT_FINANCIAL" localSheetId="1">'American Chambers'!$B$32:$F$32</definedName>
    <definedName name="MT_FINANCIAL" localSheetId="2">'American Community'!$B$32:$F$32</definedName>
    <definedName name="MT_FINANCIAL" localSheetId="3">'American Educators'!$B$32:$F$32</definedName>
    <definedName name="MT_FINANCIAL" localSheetId="4">'American Integrity'!$B$32:$F$32</definedName>
    <definedName name="MT_FINANCIAL" localSheetId="6">'American Network'!$B$32:$F$32</definedName>
    <definedName name="MT_FINANCIAL" localSheetId="8">AmerWstrn!$B$32:$F$32</definedName>
    <definedName name="MT_FINANCIAL" localSheetId="9">'AMS Life'!$B$32:$F$32</definedName>
    <definedName name="MT_FINANCIAL" localSheetId="10">'Andrew Jackson'!$B$32:$F$32</definedName>
    <definedName name="MT_FINANCIAL" localSheetId="11">'Bankers Commercial'!$B$32:$F$32</definedName>
    <definedName name="MT_FINANCIAL" localSheetId="12">Benicorp!$B$32:$F$32</definedName>
    <definedName name="MT_FINANCIAL" localSheetId="13">'Booker T Washington'!$B$32:$F$32</definedName>
    <definedName name="MT_FINANCIAL" localSheetId="14">Centennial!$B$32:$F$32</definedName>
    <definedName name="MT_FINANCIAL" localSheetId="15">'Coastal States'!$B$32:$F$32</definedName>
    <definedName name="MT_FINANCIAL" localSheetId="16">'Colorado Health'!$B$32:$F$32</definedName>
    <definedName name="MT_FINANCIAL" localSheetId="17">'Compass (dbs Meritus)'!$B$32:$F$32</definedName>
    <definedName name="MT_FINANCIAL" localSheetId="18">'Confed Life &amp; Annty (CLIAC)'!$B$32:$F$32</definedName>
    <definedName name="MT_FINANCIAL" localSheetId="19">'Confed Life (CLIC)'!$B$32:$F$32</definedName>
    <definedName name="MT_FINANCIAL" localSheetId="20">'Consolidated National'!$B$32:$F$32</definedName>
    <definedName name="MT_FINANCIAL" localSheetId="21">'Consumers Choice'!$B$32:$F$32</definedName>
    <definedName name="MT_FINANCIAL" localSheetId="22">'Consumers Mutual'!$B$32:$F$32</definedName>
    <definedName name="MT_FINANCIAL" localSheetId="23">'Consumers United'!$B$32:$F$32</definedName>
    <definedName name="MT_FINANCIAL" localSheetId="24">CoOportunity!$B$32:$F$32</definedName>
    <definedName name="MT_FINANCIAL" localSheetId="25">'Coordinated Hlth'!$B$32:$F$32</definedName>
    <definedName name="MT_FINANCIAL" localSheetId="26">'Corporate Life'!$B$32:$F$32</definedName>
    <definedName name="MT_FINANCIAL" localSheetId="27">'Diamond Benefits'!$B$32:$F$32</definedName>
    <definedName name="MT_FINANCIAL" localSheetId="28">'EBL Life'!$B$32:$F$32</definedName>
    <definedName name="MT_FINANCIAL" localSheetId="30">ELNY!$B$32:$F$32</definedName>
    <definedName name="MT_FINANCIAL" localSheetId="29">'Executive Life'!$B$32:$F$32</definedName>
    <definedName name="MT_FINANCIAL" localSheetId="31">'Family Guaranty'!$B$32:$F$32</definedName>
    <definedName name="MT_FINANCIAL" localSheetId="32">'Farmers &amp; Ranchers'!$B$32:$F$32</definedName>
    <definedName name="MT_FINANCIAL" localSheetId="33">'Fidelity Bankers'!$B$32:$F$32</definedName>
    <definedName name="MT_FINANCIAL" localSheetId="34">'Fidelity Mutual'!$B$32:$F$32</definedName>
    <definedName name="MT_FINANCIAL" localSheetId="35">'First Capital'!$B$32:$F$32</definedName>
    <definedName name="MT_FINANCIAL" localSheetId="36">'First Natl'!$B$32:$F$32</definedName>
    <definedName name="MT_FINANCIAL" localSheetId="37">'First Natl (Thrnr)'!$B$32:$F$32</definedName>
    <definedName name="MT_FINANCIAL" localSheetId="38">'Franklin American'!$B$32:$F$32</definedName>
    <definedName name="MT_FINANCIAL" localSheetId="39">'Franklin Protective'!$B$32:$F$32</definedName>
    <definedName name="MT_FINANCIAL" localSheetId="40">'Freelancers CO-OP'!$B$32:$F$32</definedName>
    <definedName name="MT_FINANCIAL" localSheetId="41">'George Washington'!$B$32:$F$32</definedName>
    <definedName name="MT_FINANCIAL" localSheetId="42">'Golden State'!$B$32:$F$32</definedName>
    <definedName name="MT_FINANCIAL" localSheetId="43">'Guarantee Security'!$B$32:$F$32</definedName>
    <definedName name="MT_FINANCIAL" localSheetId="44">HealthyCT!$B$32:$F$32</definedName>
    <definedName name="MT_FINANCIAL" localSheetId="45">Imerica!$B$32:$F$32</definedName>
    <definedName name="MT_FINANCIAL" localSheetId="46">'Inter-American'!$B$32:$F$32</definedName>
    <definedName name="MT_FINANCIAL" localSheetId="47">'International Fin'!$B$32:$F$32</definedName>
    <definedName name="MT_FINANCIAL" localSheetId="48">'Investment Life of America'!$B$32:$F$32</definedName>
    <definedName name="MT_FINANCIAL" localSheetId="49">'Investors Equity'!$B$32:$F$32</definedName>
    <definedName name="MT_FINANCIAL" localSheetId="50">'Kentucky Central'!$B$32:$F$32</definedName>
    <definedName name="MT_FINANCIAL" localSheetId="51">'Land of Lincoln'!$B$32:$F$32</definedName>
    <definedName name="MT_FINANCIAL" localSheetId="52">Legion!$B$32:$F$32</definedName>
    <definedName name="MT_FINANCIAL" localSheetId="53">'Life Health America'!$B$32:$F$32</definedName>
    <definedName name="MT_FINANCIAL" localSheetId="54">'Lincoln Memorial'!$B$32:$F$32</definedName>
    <definedName name="MT_FINANCIAL" localSheetId="55">'London Pac'!$B$32:$F$32</definedName>
    <definedName name="MT_FINANCIAL" localSheetId="56">Lumbermens!$B$32:$F$32</definedName>
    <definedName name="MT_FINANCIAL" localSheetId="57">'Medical Savings'!$B$32:$F$32</definedName>
    <definedName name="MT_FINANCIAL" localSheetId="58">'Memorial Service'!$B$32:$F$32</definedName>
    <definedName name="MT_FINANCIAL" localSheetId="59">Midcontinent!$B$32:$F$32</definedName>
    <definedName name="MT_FINANCIAL" localSheetId="60">'Midwest Life'!$B$32:$F$32</definedName>
    <definedName name="MT_FINANCIAL" localSheetId="61">'Monarch Life'!$B$32:$F$32</definedName>
    <definedName name="MT_FINANCIAL" localSheetId="62">'Mutual Benefit'!$B$32:$F$32</definedName>
    <definedName name="MT_FINANCIAL" localSheetId="63">'Mutual Security'!$B$32:$F$32</definedName>
    <definedName name="MT_FINANCIAL" localSheetId="64">'National Affiliated'!$B$32:$F$32</definedName>
    <definedName name="MT_FINANCIAL" localSheetId="66">'National Heritage'!$B$32:$F$32</definedName>
    <definedName name="MT_FINANCIAL" localSheetId="67">'National States'!$B$32:$F$32</definedName>
    <definedName name="MT_FINANCIAL" localSheetId="65">'Natl American'!$B$32:$F$32</definedName>
    <definedName name="MT_FINANCIAL" localSheetId="68">'New Jersey Life'!$B$32:$F$32</definedName>
    <definedName name="MT_FINANCIAL" localSheetId="69">NNIC!$B$32:$F$32</definedName>
    <definedName name="MT_FINANCIAL" localSheetId="70">'Old Colony Life'!$B$32:$F$32</definedName>
    <definedName name="MT_FINANCIAL" localSheetId="71">'Old Faithful'!$B$32:$F$32</definedName>
    <definedName name="MT_FINANCIAL" localSheetId="72">'Pacific Standard'!$B$32:$F$32</definedName>
    <definedName name="MT_FINANCIAL" localSheetId="73">'Pen  Treaty'!$B$32:$F$32</definedName>
    <definedName name="MT_FINANCIAL" localSheetId="74">Reliance!$B$32:$F$32</definedName>
    <definedName name="MT_FINANCIAL" localSheetId="75">SeeChange!$B$32:$F$32</definedName>
    <definedName name="MT_FINANCIAL" localSheetId="76">'Senior American'!$B$32:$F$32</definedName>
    <definedName name="MT_FINANCIAL" localSheetId="77">Settlers!$B$32:$F$32</definedName>
    <definedName name="MT_FINANCIAL" localSheetId="78">Shenandoah!$B$32:$F$32</definedName>
    <definedName name="MT_FINANCIAL" localSheetId="79">'Standard Life IN'!$B$32:$F$32</definedName>
    <definedName name="MT_FINANCIAL" localSheetId="80">'States General'!$B$32:$F$32</definedName>
    <definedName name="MT_FINANCIAL" localSheetId="81">Statesman!$B$32:$F$32</definedName>
    <definedName name="MT_FINANCIAL" localSheetId="82">'Summit National'!$B$32:$F$32</definedName>
    <definedName name="MT_FINANCIAL" localSheetId="83">Supreme!$B$32:$F$32</definedName>
    <definedName name="MT_FINANCIAL" localSheetId="97">'Total Summary'!$B$32:$F$32</definedName>
    <definedName name="MT_FINANCIAL" localSheetId="84">Underwriters!$B$32:$F$32</definedName>
    <definedName name="MT_FINANCIAL" localSheetId="85">Unison!$B$32:$F$32</definedName>
    <definedName name="MT_FINANCIAL" localSheetId="86">'United Republic'!$B$32:$F$32</definedName>
    <definedName name="MT_FINANCIAL" localSheetId="87">'Universal Health Care'!$B$32:$F$32</definedName>
    <definedName name="MT_FINANCIAL" localSheetId="88">'Universal Life'!$B$32:$F$32</definedName>
    <definedName name="MT_FINANCIAL" localSheetId="89">Universe!$B$32:$F$32</definedName>
    <definedName name="MT_FINANCIAL" localSheetId="90">Villanova!$B$32:$F$32</definedName>
    <definedName name="NC_FINANCIAL" localSheetId="0">'Alabama Life'!$B$39:$F$39</definedName>
    <definedName name="NC_FINANCIAL" localSheetId="5">'Amer Life Asr'!$B$39:$F$39</definedName>
    <definedName name="NC_FINANCIAL" localSheetId="7">'Amer Std Life Acc'!$B$39:$F$39</definedName>
    <definedName name="NC_FINANCIAL" localSheetId="1">'American Chambers'!$B$39:$F$39</definedName>
    <definedName name="NC_FINANCIAL" localSheetId="2">'American Community'!$B$39:$F$39</definedName>
    <definedName name="NC_FINANCIAL" localSheetId="3">'American Educators'!$B$39:$F$39</definedName>
    <definedName name="NC_FINANCIAL" localSheetId="4">'American Integrity'!$B$39:$F$39</definedName>
    <definedName name="NC_FINANCIAL" localSheetId="6">'American Network'!$B$39:$F$39</definedName>
    <definedName name="NC_FINANCIAL" localSheetId="8">AmerWstrn!$B$39:$F$39</definedName>
    <definedName name="NC_FINANCIAL" localSheetId="9">'AMS Life'!$B$39:$F$39</definedName>
    <definedName name="NC_FINANCIAL" localSheetId="10">'Andrew Jackson'!$B$39:$F$39</definedName>
    <definedName name="NC_FINANCIAL" localSheetId="11">'Bankers Commercial'!$B$39:$F$39</definedName>
    <definedName name="NC_FINANCIAL" localSheetId="12">Benicorp!$B$39:$F$39</definedName>
    <definedName name="NC_FINANCIAL" localSheetId="13">'Booker T Washington'!$B$39:$F$39</definedName>
    <definedName name="NC_FINANCIAL" localSheetId="14">Centennial!$B$39:$F$39</definedName>
    <definedName name="NC_FINANCIAL" localSheetId="15">'Coastal States'!$B$39:$F$39</definedName>
    <definedName name="NC_FINANCIAL" localSheetId="16">'Colorado Health'!$B$39:$F$39</definedName>
    <definedName name="NC_FINANCIAL" localSheetId="17">'Compass (dbs Meritus)'!$B$39:$F$39</definedName>
    <definedName name="NC_FINANCIAL" localSheetId="18">'Confed Life &amp; Annty (CLIAC)'!$B$39:$F$39</definedName>
    <definedName name="NC_FINANCIAL" localSheetId="19">'Confed Life (CLIC)'!$B$39:$F$39</definedName>
    <definedName name="NC_FINANCIAL" localSheetId="20">'Consolidated National'!$B$39:$F$39</definedName>
    <definedName name="NC_FINANCIAL" localSheetId="21">'Consumers Choice'!$B$39:$F$39</definedName>
    <definedName name="NC_FINANCIAL" localSheetId="22">'Consumers Mutual'!$B$39:$F$39</definedName>
    <definedName name="NC_FINANCIAL" localSheetId="23">'Consumers United'!$B$39:$F$39</definedName>
    <definedName name="NC_FINANCIAL" localSheetId="24">CoOportunity!$B$39:$F$39</definedName>
    <definedName name="NC_FINANCIAL" localSheetId="25">'Coordinated Hlth'!$B$39:$F$39</definedName>
    <definedName name="NC_FINANCIAL" localSheetId="26">'Corporate Life'!$B$39:$F$39</definedName>
    <definedName name="NC_FINANCIAL" localSheetId="27">'Diamond Benefits'!$B$39:$F$39</definedName>
    <definedName name="NC_FINANCIAL" localSheetId="28">'EBL Life'!$B$39:$F$39</definedName>
    <definedName name="NC_FINANCIAL" localSheetId="30">ELNY!$B$39:$F$39</definedName>
    <definedName name="NC_FINANCIAL" localSheetId="29">'Executive Life'!$B$39:$F$39</definedName>
    <definedName name="NC_FINANCIAL" localSheetId="31">'Family Guaranty'!$B$39:$F$39</definedName>
    <definedName name="NC_FINANCIAL" localSheetId="32">'Farmers &amp; Ranchers'!$B$39:$F$39</definedName>
    <definedName name="NC_FINANCIAL" localSheetId="33">'Fidelity Bankers'!$B$39:$F$39</definedName>
    <definedName name="NC_FINANCIAL" localSheetId="34">'Fidelity Mutual'!$B$39:$F$39</definedName>
    <definedName name="NC_FINANCIAL" localSheetId="35">'First Capital'!$B$39:$F$39</definedName>
    <definedName name="NC_FINANCIAL" localSheetId="36">'First Natl'!$B$39:$F$39</definedName>
    <definedName name="NC_FINANCIAL" localSheetId="37">'First Natl (Thrnr)'!$B$39:$F$39</definedName>
    <definedName name="NC_FINANCIAL" localSheetId="38">'Franklin American'!$B$39:$F$39</definedName>
    <definedName name="NC_FINANCIAL" localSheetId="39">'Franklin Protective'!$B$39:$F$39</definedName>
    <definedName name="NC_FINANCIAL" localSheetId="40">'Freelancers CO-OP'!$B$39:$F$39</definedName>
    <definedName name="NC_FINANCIAL" localSheetId="41">'George Washington'!$B$39:$F$39</definedName>
    <definedName name="NC_FINANCIAL" localSheetId="42">'Golden State'!$B$39:$F$39</definedName>
    <definedName name="NC_FINANCIAL" localSheetId="43">'Guarantee Security'!$B$39:$F$39</definedName>
    <definedName name="NC_FINANCIAL" localSheetId="44">HealthyCT!$B$39:$F$39</definedName>
    <definedName name="NC_FINANCIAL" localSheetId="45">Imerica!$B$39:$F$39</definedName>
    <definedName name="NC_FINANCIAL" localSheetId="46">'Inter-American'!$B$39:$F$39</definedName>
    <definedName name="NC_FINANCIAL" localSheetId="47">'International Fin'!$B$39:$F$39</definedName>
    <definedName name="NC_FINANCIAL" localSheetId="48">'Investment Life of America'!$B$39:$F$39</definedName>
    <definedName name="NC_FINANCIAL" localSheetId="49">'Investors Equity'!$B$39:$F$39</definedName>
    <definedName name="NC_FINANCIAL" localSheetId="50">'Kentucky Central'!$B$39:$F$39</definedName>
    <definedName name="NC_FINANCIAL" localSheetId="51">'Land of Lincoln'!$B$39:$F$39</definedName>
    <definedName name="NC_FINANCIAL" localSheetId="52">Legion!$B$39:$F$39</definedName>
    <definedName name="NC_FINANCIAL" localSheetId="53">'Life Health America'!$B$39:$F$39</definedName>
    <definedName name="NC_FINANCIAL" localSheetId="54">'Lincoln Memorial'!$B$39:$F$39</definedName>
    <definedName name="NC_FINANCIAL" localSheetId="55">'London Pac'!$B$39:$F$39</definedName>
    <definedName name="NC_FINANCIAL" localSheetId="56">Lumbermens!$B$39:$F$39</definedName>
    <definedName name="NC_FINANCIAL" localSheetId="57">'Medical Savings'!$B$39:$F$39</definedName>
    <definedName name="NC_FINANCIAL" localSheetId="58">'Memorial Service'!$B$39:$F$39</definedName>
    <definedName name="NC_FINANCIAL" localSheetId="59">Midcontinent!$B$39:$F$39</definedName>
    <definedName name="NC_FINANCIAL" localSheetId="60">'Midwest Life'!$B$39:$F$39</definedName>
    <definedName name="NC_FINANCIAL" localSheetId="61">'Monarch Life'!$B$39:$F$39</definedName>
    <definedName name="NC_FINANCIAL" localSheetId="62">'Mutual Benefit'!$B$39:$F$39</definedName>
    <definedName name="NC_FINANCIAL" localSheetId="63">'Mutual Security'!$B$39:$F$39</definedName>
    <definedName name="NC_FINANCIAL" localSheetId="64">'National Affiliated'!$B$39:$F$39</definedName>
    <definedName name="NC_FINANCIAL" localSheetId="66">'National Heritage'!$B$39:$F$39</definedName>
    <definedName name="NC_FINANCIAL" localSheetId="67">'National States'!$B$39:$F$39</definedName>
    <definedName name="NC_FINANCIAL" localSheetId="65">'Natl American'!$B$39:$F$39</definedName>
    <definedName name="NC_FINANCIAL" localSheetId="68">'New Jersey Life'!$B$39:$F$39</definedName>
    <definedName name="NC_FINANCIAL" localSheetId="69">NNIC!$B$39:$F$39</definedName>
    <definedName name="NC_FINANCIAL" localSheetId="70">'Old Colony Life'!$B$39:$F$39</definedName>
    <definedName name="NC_FINANCIAL" localSheetId="71">'Old Faithful'!$B$39:$F$39</definedName>
    <definedName name="NC_FINANCIAL" localSheetId="72">'Pacific Standard'!$B$39:$F$39</definedName>
    <definedName name="NC_FINANCIAL" localSheetId="73">'Pen  Treaty'!$B$39:$F$39</definedName>
    <definedName name="NC_FINANCIAL" localSheetId="74">Reliance!$B$39:$F$39</definedName>
    <definedName name="NC_FINANCIAL" localSheetId="75">SeeChange!$B$39:$F$39</definedName>
    <definedName name="NC_FINANCIAL" localSheetId="76">'Senior American'!$B$39:$F$39</definedName>
    <definedName name="NC_FINANCIAL" localSheetId="77">Settlers!$B$39:$F$39</definedName>
    <definedName name="NC_FINANCIAL" localSheetId="78">Shenandoah!$B$39:$F$39</definedName>
    <definedName name="NC_FINANCIAL" localSheetId="79">'Standard Life IN'!$B$39:$F$39</definedName>
    <definedName name="NC_FINANCIAL" localSheetId="80">'States General'!$B$39:$F$39</definedName>
    <definedName name="NC_FINANCIAL" localSheetId="81">Statesman!$B$39:$F$39</definedName>
    <definedName name="NC_FINANCIAL" localSheetId="82">'Summit National'!$B$39:$F$39</definedName>
    <definedName name="NC_FINANCIAL" localSheetId="83">Supreme!$B$39:$F$39</definedName>
    <definedName name="NC_FINANCIAL" localSheetId="97">'Total Summary'!$B$39:$F$39</definedName>
    <definedName name="NC_FINANCIAL" localSheetId="84">Underwriters!$B$39:$F$39</definedName>
    <definedName name="NC_FINANCIAL" localSheetId="85">Unison!$B$39:$F$39</definedName>
    <definedName name="NC_FINANCIAL" localSheetId="86">'United Republic'!$B$39:$F$39</definedName>
    <definedName name="NC_FINANCIAL" localSheetId="87">'Universal Health Care'!$B$39:$F$39</definedName>
    <definedName name="NC_FINANCIAL" localSheetId="88">'Universal Life'!$B$39:$F$39</definedName>
    <definedName name="NC_FINANCIAL" localSheetId="89">Universe!$B$39:$F$39</definedName>
    <definedName name="NC_FINANCIAL" localSheetId="90">Villanova!$B$39:$F$39</definedName>
    <definedName name="ND_FINANCIAL" localSheetId="0">'Alabama Life'!$B$40:$F$40</definedName>
    <definedName name="ND_FINANCIAL" localSheetId="5">'Amer Life Asr'!$B$40:$F$40</definedName>
    <definedName name="ND_FINANCIAL" localSheetId="7">'Amer Std Life Acc'!$B$40:$F$40</definedName>
    <definedName name="ND_FINANCIAL" localSheetId="1">'American Chambers'!$B$40:$F$40</definedName>
    <definedName name="ND_FINANCIAL" localSheetId="2">'American Community'!$B$40:$F$40</definedName>
    <definedName name="ND_FINANCIAL" localSheetId="3">'American Educators'!$B$40:$F$40</definedName>
    <definedName name="ND_FINANCIAL" localSheetId="4">'American Integrity'!$B$40:$F$40</definedName>
    <definedName name="ND_FINANCIAL" localSheetId="6">'American Network'!$B$40:$F$40</definedName>
    <definedName name="ND_FINANCIAL" localSheetId="8">AmerWstrn!$B$40:$F$40</definedName>
    <definedName name="ND_FINANCIAL" localSheetId="9">'AMS Life'!$B$40:$F$40</definedName>
    <definedName name="ND_FINANCIAL" localSheetId="10">'Andrew Jackson'!$B$40:$F$40</definedName>
    <definedName name="ND_FINANCIAL" localSheetId="11">'Bankers Commercial'!$B$40:$F$40</definedName>
    <definedName name="ND_FINANCIAL" localSheetId="12">Benicorp!$B$40:$F$40</definedName>
    <definedName name="ND_FINANCIAL" localSheetId="13">'Booker T Washington'!$B$40:$F$40</definedName>
    <definedName name="ND_FINANCIAL" localSheetId="14">Centennial!$B$40:$F$40</definedName>
    <definedName name="ND_FINANCIAL" localSheetId="15">'Coastal States'!$B$40:$F$40</definedName>
    <definedName name="ND_FINANCIAL" localSheetId="16">'Colorado Health'!$B$40:$F$40</definedName>
    <definedName name="ND_FINANCIAL" localSheetId="17">'Compass (dbs Meritus)'!$B$40:$F$40</definedName>
    <definedName name="ND_FINANCIAL" localSheetId="18">'Confed Life &amp; Annty (CLIAC)'!$B$40:$F$40</definedName>
    <definedName name="ND_FINANCIAL" localSheetId="19">'Confed Life (CLIC)'!$B$40:$F$40</definedName>
    <definedName name="ND_FINANCIAL" localSheetId="20">'Consolidated National'!$B$40:$F$40</definedName>
    <definedName name="ND_FINANCIAL" localSheetId="21">'Consumers Choice'!$B$40:$F$40</definedName>
    <definedName name="ND_FINANCIAL" localSheetId="22">'Consumers Mutual'!$B$40:$F$40</definedName>
    <definedName name="ND_FINANCIAL" localSheetId="23">'Consumers United'!$B$40:$F$40</definedName>
    <definedName name="ND_FINANCIAL" localSheetId="24">CoOportunity!$B$40:$F$40</definedName>
    <definedName name="ND_FINANCIAL" localSheetId="25">'Coordinated Hlth'!$B$40:$F$40</definedName>
    <definedName name="ND_FINANCIAL" localSheetId="26">'Corporate Life'!$B$40:$F$40</definedName>
    <definedName name="ND_FINANCIAL" localSheetId="27">'Diamond Benefits'!$B$40:$F$40</definedName>
    <definedName name="ND_FINANCIAL" localSheetId="28">'EBL Life'!$B$40:$F$40</definedName>
    <definedName name="ND_FINANCIAL" localSheetId="30">ELNY!$B$40:$F$40</definedName>
    <definedName name="ND_FINANCIAL" localSheetId="29">'Executive Life'!$B$40:$F$40</definedName>
    <definedName name="ND_FINANCIAL" localSheetId="31">'Family Guaranty'!$B$40:$F$40</definedName>
    <definedName name="ND_FINANCIAL" localSheetId="32">'Farmers &amp; Ranchers'!$B$40:$F$40</definedName>
    <definedName name="ND_FINANCIAL" localSheetId="33">'Fidelity Bankers'!$B$40:$F$40</definedName>
    <definedName name="ND_FINANCIAL" localSheetId="34">'Fidelity Mutual'!$B$40:$F$40</definedName>
    <definedName name="ND_FINANCIAL" localSheetId="35">'First Capital'!$B$40:$F$40</definedName>
    <definedName name="ND_FINANCIAL" localSheetId="36">'First Natl'!$B$40:$F$40</definedName>
    <definedName name="ND_FINANCIAL" localSheetId="37">'First Natl (Thrnr)'!$B$40:$F$40</definedName>
    <definedName name="ND_FINANCIAL" localSheetId="38">'Franklin American'!$B$40:$F$40</definedName>
    <definedName name="ND_FINANCIAL" localSheetId="39">'Franklin Protective'!$B$40:$F$40</definedName>
    <definedName name="ND_FINANCIAL" localSheetId="40">'Freelancers CO-OP'!$B$40:$F$40</definedName>
    <definedName name="ND_FINANCIAL" localSheetId="41">'George Washington'!$B$40:$F$40</definedName>
    <definedName name="ND_FINANCIAL" localSheetId="42">'Golden State'!$B$40:$F$40</definedName>
    <definedName name="ND_FINANCIAL" localSheetId="43">'Guarantee Security'!$B$40:$F$40</definedName>
    <definedName name="ND_FINANCIAL" localSheetId="44">HealthyCT!$B$40:$F$40</definedName>
    <definedName name="ND_FINANCIAL" localSheetId="45">Imerica!$B$40:$F$40</definedName>
    <definedName name="ND_FINANCIAL" localSheetId="46">'Inter-American'!$B$40:$F$40</definedName>
    <definedName name="ND_FINANCIAL" localSheetId="47">'International Fin'!$B$40:$F$40</definedName>
    <definedName name="ND_FINANCIAL" localSheetId="48">'Investment Life of America'!$B$40:$F$40</definedName>
    <definedName name="ND_FINANCIAL" localSheetId="49">'Investors Equity'!$B$40:$F$40</definedName>
    <definedName name="ND_FINANCIAL" localSheetId="50">'Kentucky Central'!$B$40:$F$40</definedName>
    <definedName name="ND_FINANCIAL" localSheetId="51">'Land of Lincoln'!$B$40:$F$40</definedName>
    <definedName name="ND_FINANCIAL" localSheetId="52">Legion!$B$40:$F$40</definedName>
    <definedName name="ND_FINANCIAL" localSheetId="53">'Life Health America'!$B$40:$F$40</definedName>
    <definedName name="ND_FINANCIAL" localSheetId="54">'Lincoln Memorial'!$B$40:$F$40</definedName>
    <definedName name="ND_FINANCIAL" localSheetId="55">'London Pac'!$B$40:$F$40</definedName>
    <definedName name="ND_FINANCIAL" localSheetId="56">Lumbermens!$B$40:$F$40</definedName>
    <definedName name="ND_FINANCIAL" localSheetId="57">'Medical Savings'!$B$40:$F$40</definedName>
    <definedName name="ND_FINANCIAL" localSheetId="58">'Memorial Service'!$B$40:$F$40</definedName>
    <definedName name="ND_FINANCIAL" localSheetId="59">Midcontinent!$B$40:$F$40</definedName>
    <definedName name="ND_FINANCIAL" localSheetId="60">'Midwest Life'!$B$40:$F$40</definedName>
    <definedName name="ND_FINANCIAL" localSheetId="61">'Monarch Life'!$B$40:$F$40</definedName>
    <definedName name="ND_FINANCIAL" localSheetId="62">'Mutual Benefit'!$B$40:$F$40</definedName>
    <definedName name="ND_FINANCIAL" localSheetId="63">'Mutual Security'!$B$40:$F$40</definedName>
    <definedName name="ND_FINANCIAL" localSheetId="64">'National Affiliated'!$B$40:$F$40</definedName>
    <definedName name="ND_FINANCIAL" localSheetId="66">'National Heritage'!$B$40:$F$40</definedName>
    <definedName name="ND_FINANCIAL" localSheetId="67">'National States'!$B$40:$F$40</definedName>
    <definedName name="ND_FINANCIAL" localSheetId="65">'Natl American'!$B$40:$F$40</definedName>
    <definedName name="ND_FINANCIAL" localSheetId="68">'New Jersey Life'!$B$40:$F$40</definedName>
    <definedName name="ND_FINANCIAL" localSheetId="69">NNIC!$B$40:$F$40</definedName>
    <definedName name="ND_FINANCIAL" localSheetId="70">'Old Colony Life'!$B$40:$F$40</definedName>
    <definedName name="ND_FINANCIAL" localSheetId="71">'Old Faithful'!$B$40:$F$40</definedName>
    <definedName name="ND_FINANCIAL" localSheetId="72">'Pacific Standard'!$B$40:$F$40</definedName>
    <definedName name="ND_FINANCIAL" localSheetId="73">'Pen  Treaty'!$B$40:$F$40</definedName>
    <definedName name="ND_FINANCIAL" localSheetId="74">Reliance!$B$40:$F$40</definedName>
    <definedName name="ND_FINANCIAL" localSheetId="75">SeeChange!$B$40:$F$40</definedName>
    <definedName name="ND_FINANCIAL" localSheetId="76">'Senior American'!$B$40:$F$40</definedName>
    <definedName name="ND_FINANCIAL" localSheetId="77">Settlers!$B$40:$F$40</definedName>
    <definedName name="ND_FINANCIAL" localSheetId="78">Shenandoah!$B$40:$F$40</definedName>
    <definedName name="ND_FINANCIAL" localSheetId="79">'Standard Life IN'!$B$40:$F$40</definedName>
    <definedName name="ND_FINANCIAL" localSheetId="80">'States General'!$B$40:$F$40</definedName>
    <definedName name="ND_FINANCIAL" localSheetId="81">Statesman!$B$40:$F$40</definedName>
    <definedName name="ND_FINANCIAL" localSheetId="82">'Summit National'!$B$40:$F$40</definedName>
    <definedName name="ND_FINANCIAL" localSheetId="83">Supreme!$B$40:$F$40</definedName>
    <definedName name="ND_FINANCIAL" localSheetId="97">'Total Summary'!$B$40:$F$40</definedName>
    <definedName name="ND_FINANCIAL" localSheetId="84">Underwriters!$B$40:$F$40</definedName>
    <definedName name="ND_FINANCIAL" localSheetId="85">Unison!$B$40:$F$40</definedName>
    <definedName name="ND_FINANCIAL" localSheetId="86">'United Republic'!$B$40:$F$40</definedName>
    <definedName name="ND_FINANCIAL" localSheetId="87">'Universal Health Care'!$B$40:$F$40</definedName>
    <definedName name="ND_FINANCIAL" localSheetId="88">'Universal Life'!$B$40:$F$40</definedName>
    <definedName name="ND_FINANCIAL" localSheetId="89">Universe!$B$40:$F$40</definedName>
    <definedName name="ND_FINANCIAL" localSheetId="90">Villanova!$B$40:$F$40</definedName>
    <definedName name="NE_FINANCIAL" localSheetId="0">'Alabama Life'!$B$33:$F$33</definedName>
    <definedName name="NE_FINANCIAL" localSheetId="5">'Amer Life Asr'!$B$33:$F$33</definedName>
    <definedName name="NE_FINANCIAL" localSheetId="7">'Amer Std Life Acc'!$B$33:$F$33</definedName>
    <definedName name="NE_FINANCIAL" localSheetId="1">'American Chambers'!$B$33:$F$33</definedName>
    <definedName name="NE_FINANCIAL" localSheetId="2">'American Community'!$B$33:$F$33</definedName>
    <definedName name="NE_FINANCIAL" localSheetId="3">'American Educators'!$B$33:$F$33</definedName>
    <definedName name="NE_FINANCIAL" localSheetId="4">'American Integrity'!$B$33:$F$33</definedName>
    <definedName name="NE_FINANCIAL" localSheetId="6">'American Network'!$B$33:$F$33</definedName>
    <definedName name="NE_FINANCIAL" localSheetId="8">AmerWstrn!$B$33:$F$33</definedName>
    <definedName name="NE_FINANCIAL" localSheetId="9">'AMS Life'!$B$33:$F$33</definedName>
    <definedName name="NE_FINANCIAL" localSheetId="10">'Andrew Jackson'!$B$33:$F$33</definedName>
    <definedName name="NE_FINANCIAL" localSheetId="11">'Bankers Commercial'!$B$33:$F$33</definedName>
    <definedName name="NE_FINANCIAL" localSheetId="12">Benicorp!$B$33:$F$33</definedName>
    <definedName name="NE_FINANCIAL" localSheetId="13">'Booker T Washington'!$B$33:$F$33</definedName>
    <definedName name="NE_FINANCIAL" localSheetId="14">Centennial!$B$33:$F$33</definedName>
    <definedName name="NE_FINANCIAL" localSheetId="15">'Coastal States'!$B$33:$F$33</definedName>
    <definedName name="NE_FINANCIAL" localSheetId="16">'Colorado Health'!$B$33:$F$33</definedName>
    <definedName name="NE_FINANCIAL" localSheetId="17">'Compass (dbs Meritus)'!$B$33:$F$33</definedName>
    <definedName name="NE_FINANCIAL" localSheetId="18">'Confed Life &amp; Annty (CLIAC)'!$B$33:$F$33</definedName>
    <definedName name="NE_FINANCIAL" localSheetId="19">'Confed Life (CLIC)'!$B$33:$F$33</definedName>
    <definedName name="NE_FINANCIAL" localSheetId="20">'Consolidated National'!$B$33:$F$33</definedName>
    <definedName name="NE_FINANCIAL" localSheetId="21">'Consumers Choice'!$B$33:$F$33</definedName>
    <definedName name="NE_FINANCIAL" localSheetId="22">'Consumers Mutual'!$B$33:$F$33</definedName>
    <definedName name="NE_FINANCIAL" localSheetId="23">'Consumers United'!$B$33:$F$33</definedName>
    <definedName name="NE_FINANCIAL" localSheetId="24">CoOportunity!$B$33:$F$33</definedName>
    <definedName name="NE_FINANCIAL" localSheetId="25">'Coordinated Hlth'!$B$33:$F$33</definedName>
    <definedName name="NE_FINANCIAL" localSheetId="26">'Corporate Life'!$B$33:$F$33</definedName>
    <definedName name="NE_FINANCIAL" localSheetId="27">'Diamond Benefits'!$B$33:$F$33</definedName>
    <definedName name="NE_FINANCIAL" localSheetId="28">'EBL Life'!$B$33:$F$33</definedName>
    <definedName name="NE_FINANCIAL" localSheetId="30">ELNY!$B$33:$F$33</definedName>
    <definedName name="NE_FINANCIAL" localSheetId="29">'Executive Life'!$B$33:$F$33</definedName>
    <definedName name="NE_FINANCIAL" localSheetId="31">'Family Guaranty'!$B$33:$F$33</definedName>
    <definedName name="NE_FINANCIAL" localSheetId="32">'Farmers &amp; Ranchers'!$B$33:$F$33</definedName>
    <definedName name="NE_FINANCIAL" localSheetId="33">'Fidelity Bankers'!$B$33:$F$33</definedName>
    <definedName name="NE_FINANCIAL" localSheetId="34">'Fidelity Mutual'!$B$33:$F$33</definedName>
    <definedName name="NE_FINANCIAL" localSheetId="35">'First Capital'!$B$33:$F$33</definedName>
    <definedName name="NE_FINANCIAL" localSheetId="36">'First Natl'!$B$33:$F$33</definedName>
    <definedName name="NE_FINANCIAL" localSheetId="37">'First Natl (Thrnr)'!$B$33:$F$33</definedName>
    <definedName name="NE_FINANCIAL" localSheetId="38">'Franklin American'!$B$33:$F$33</definedName>
    <definedName name="NE_FINANCIAL" localSheetId="39">'Franklin Protective'!$B$33:$F$33</definedName>
    <definedName name="NE_FINANCIAL" localSheetId="40">'Freelancers CO-OP'!$B$33:$F$33</definedName>
    <definedName name="NE_FINANCIAL" localSheetId="41">'George Washington'!$B$33:$F$33</definedName>
    <definedName name="NE_FINANCIAL" localSheetId="42">'Golden State'!$B$33:$F$33</definedName>
    <definedName name="NE_FINANCIAL" localSheetId="43">'Guarantee Security'!$B$33:$F$33</definedName>
    <definedName name="NE_FINANCIAL" localSheetId="44">HealthyCT!$B$33:$F$33</definedName>
    <definedName name="NE_FINANCIAL" localSheetId="45">Imerica!$B$33:$F$33</definedName>
    <definedName name="NE_FINANCIAL" localSheetId="46">'Inter-American'!$B$33:$F$33</definedName>
    <definedName name="NE_FINANCIAL" localSheetId="47">'International Fin'!$B$33:$F$33</definedName>
    <definedName name="NE_FINANCIAL" localSheetId="48">'Investment Life of America'!$B$33:$F$33</definedName>
    <definedName name="NE_FINANCIAL" localSheetId="49">'Investors Equity'!$B$33:$F$33</definedName>
    <definedName name="NE_FINANCIAL" localSheetId="50">'Kentucky Central'!$B$33:$F$33</definedName>
    <definedName name="NE_FINANCIAL" localSheetId="51">'Land of Lincoln'!$B$33:$F$33</definedName>
    <definedName name="NE_FINANCIAL" localSheetId="52">Legion!$B$33:$F$33</definedName>
    <definedName name="NE_FINANCIAL" localSheetId="53">'Life Health America'!$B$33:$F$33</definedName>
    <definedName name="NE_FINANCIAL" localSheetId="54">'Lincoln Memorial'!$B$33:$F$33</definedName>
    <definedName name="NE_FINANCIAL" localSheetId="55">'London Pac'!$B$33:$F$33</definedName>
    <definedName name="NE_FINANCIAL" localSheetId="56">Lumbermens!$B$33:$F$33</definedName>
    <definedName name="NE_FINANCIAL" localSheetId="57">'Medical Savings'!$B$33:$F$33</definedName>
    <definedName name="NE_FINANCIAL" localSheetId="58">'Memorial Service'!$B$33:$F$33</definedName>
    <definedName name="NE_FINANCIAL" localSheetId="59">Midcontinent!$B$33:$F$33</definedName>
    <definedName name="NE_FINANCIAL" localSheetId="60">'Midwest Life'!$B$33:$F$33</definedName>
    <definedName name="NE_FINANCIAL" localSheetId="61">'Monarch Life'!$B$33:$F$33</definedName>
    <definedName name="NE_FINANCIAL" localSheetId="62">'Mutual Benefit'!$B$33:$F$33</definedName>
    <definedName name="NE_FINANCIAL" localSheetId="63">'Mutual Security'!$B$33:$F$33</definedName>
    <definedName name="NE_FINANCIAL" localSheetId="64">'National Affiliated'!$B$33:$F$33</definedName>
    <definedName name="NE_FINANCIAL" localSheetId="66">'National Heritage'!$B$33:$F$33</definedName>
    <definedName name="NE_FINANCIAL" localSheetId="67">'National States'!$B$33:$F$33</definedName>
    <definedName name="NE_FINANCIAL" localSheetId="65">'Natl American'!$B$33:$F$33</definedName>
    <definedName name="NE_FINANCIAL" localSheetId="68">'New Jersey Life'!$B$33:$F$33</definedName>
    <definedName name="NE_FINANCIAL" localSheetId="69">NNIC!$B$33:$F$33</definedName>
    <definedName name="NE_FINANCIAL" localSheetId="70">'Old Colony Life'!$B$33:$F$33</definedName>
    <definedName name="NE_FINANCIAL" localSheetId="71">'Old Faithful'!$B$33:$F$33</definedName>
    <definedName name="NE_FINANCIAL" localSheetId="72">'Pacific Standard'!$B$33:$F$33</definedName>
    <definedName name="NE_FINANCIAL" localSheetId="73">'Pen  Treaty'!$B$33:$F$33</definedName>
    <definedName name="NE_FINANCIAL" localSheetId="74">Reliance!$B$33:$F$33</definedName>
    <definedName name="NE_FINANCIAL" localSheetId="75">SeeChange!$B$33:$F$33</definedName>
    <definedName name="NE_FINANCIAL" localSheetId="76">'Senior American'!$B$33:$F$33</definedName>
    <definedName name="NE_FINANCIAL" localSheetId="77">Settlers!$B$33:$F$33</definedName>
    <definedName name="NE_FINANCIAL" localSheetId="78">Shenandoah!$B$33:$F$33</definedName>
    <definedName name="NE_FINANCIAL" localSheetId="79">'Standard Life IN'!$B$33:$F$33</definedName>
    <definedName name="NE_FINANCIAL" localSheetId="80">'States General'!$B$33:$F$33</definedName>
    <definedName name="NE_FINANCIAL" localSheetId="81">Statesman!$B$33:$F$33</definedName>
    <definedName name="NE_FINANCIAL" localSheetId="82">'Summit National'!$B$33:$F$33</definedName>
    <definedName name="NE_FINANCIAL" localSheetId="83">Supreme!$B$33:$F$33</definedName>
    <definedName name="NE_FINANCIAL" localSheetId="97">'Total Summary'!$B$33:$F$33</definedName>
    <definedName name="NE_FINANCIAL" localSheetId="84">Underwriters!$B$33:$F$33</definedName>
    <definedName name="NE_FINANCIAL" localSheetId="85">Unison!$B$33:$F$33</definedName>
    <definedName name="NE_FINANCIAL" localSheetId="86">'United Republic'!$B$33:$F$33</definedName>
    <definedName name="NE_FINANCIAL" localSheetId="87">'Universal Health Care'!$B$33:$F$33</definedName>
    <definedName name="NE_FINANCIAL" localSheetId="88">'Universal Life'!$B$33:$F$33</definedName>
    <definedName name="NE_FINANCIAL" localSheetId="89">Universe!$B$33:$F$33</definedName>
    <definedName name="NE_FINANCIAL" localSheetId="90">Villanova!$B$33:$F$33</definedName>
    <definedName name="NH_FINANCIAL" localSheetId="0">'Alabama Life'!$B$35:$F$35</definedName>
    <definedName name="NH_FINANCIAL" localSheetId="5">'Amer Life Asr'!$B$35:$F$35</definedName>
    <definedName name="NH_FINANCIAL" localSheetId="7">'Amer Std Life Acc'!$B$35:$F$35</definedName>
    <definedName name="NH_FINANCIAL" localSheetId="1">'American Chambers'!$B$35:$F$35</definedName>
    <definedName name="NH_FINANCIAL" localSheetId="2">'American Community'!$B$35:$F$35</definedName>
    <definedName name="NH_FINANCIAL" localSheetId="3">'American Educators'!$B$35:$F$35</definedName>
    <definedName name="NH_FINANCIAL" localSheetId="4">'American Integrity'!$B$35:$F$35</definedName>
    <definedName name="NH_FINANCIAL" localSheetId="6">'American Network'!$B$35:$F$35</definedName>
    <definedName name="NH_FINANCIAL" localSheetId="8">AmerWstrn!$B$35:$F$35</definedName>
    <definedName name="NH_FINANCIAL" localSheetId="9">'AMS Life'!$B$35:$F$35</definedName>
    <definedName name="NH_FINANCIAL" localSheetId="10">'Andrew Jackson'!$B$35:$F$35</definedName>
    <definedName name="NH_FINANCIAL" localSheetId="11">'Bankers Commercial'!$B$35:$F$35</definedName>
    <definedName name="NH_FINANCIAL" localSheetId="12">Benicorp!$B$35:$F$35</definedName>
    <definedName name="NH_FINANCIAL" localSheetId="13">'Booker T Washington'!$B$35:$F$35</definedName>
    <definedName name="NH_FINANCIAL" localSheetId="14">Centennial!$B$35:$F$35</definedName>
    <definedName name="NH_FINANCIAL" localSheetId="15">'Coastal States'!$B$35:$F$35</definedName>
    <definedName name="NH_FINANCIAL" localSheetId="16">'Colorado Health'!$B$35:$F$35</definedName>
    <definedName name="NH_FINANCIAL" localSheetId="17">'Compass (dbs Meritus)'!$B$35:$F$35</definedName>
    <definedName name="NH_FINANCIAL" localSheetId="18">'Confed Life &amp; Annty (CLIAC)'!$B$35:$F$35</definedName>
    <definedName name="NH_FINANCIAL" localSheetId="19">'Confed Life (CLIC)'!$B$35:$F$35</definedName>
    <definedName name="NH_FINANCIAL" localSheetId="20">'Consolidated National'!$B$35:$F$35</definedName>
    <definedName name="NH_FINANCIAL" localSheetId="21">'Consumers Choice'!$B$35:$F$35</definedName>
    <definedName name="NH_FINANCIAL" localSheetId="22">'Consumers Mutual'!$B$35:$F$35</definedName>
    <definedName name="NH_FINANCIAL" localSheetId="23">'Consumers United'!$B$35:$F$35</definedName>
    <definedName name="NH_FINANCIAL" localSheetId="24">CoOportunity!$B$35:$F$35</definedName>
    <definedName name="NH_FINANCIAL" localSheetId="25">'Coordinated Hlth'!$B$35:$F$35</definedName>
    <definedName name="NH_FINANCIAL" localSheetId="26">'Corporate Life'!$B$35:$F$35</definedName>
    <definedName name="NH_FINANCIAL" localSheetId="27">'Diamond Benefits'!$B$35:$F$35</definedName>
    <definedName name="NH_FINANCIAL" localSheetId="28">'EBL Life'!$B$35:$F$35</definedName>
    <definedName name="NH_FINANCIAL" localSheetId="30">ELNY!$B$35:$F$35</definedName>
    <definedName name="NH_FINANCIAL" localSheetId="29">'Executive Life'!$B$35:$F$35</definedName>
    <definedName name="NH_FINANCIAL" localSheetId="31">'Family Guaranty'!$B$35:$F$35</definedName>
    <definedName name="NH_FINANCIAL" localSheetId="32">'Farmers &amp; Ranchers'!$B$35:$F$35</definedName>
    <definedName name="NH_FINANCIAL" localSheetId="33">'Fidelity Bankers'!$B$35:$F$35</definedName>
    <definedName name="NH_FINANCIAL" localSheetId="34">'Fidelity Mutual'!$B$35:$F$35</definedName>
    <definedName name="NH_FINANCIAL" localSheetId="35">'First Capital'!$B$35:$F$35</definedName>
    <definedName name="NH_FINANCIAL" localSheetId="36">'First Natl'!$B$35:$F$35</definedName>
    <definedName name="NH_FINANCIAL" localSheetId="37">'First Natl (Thrnr)'!$B$35:$F$35</definedName>
    <definedName name="NH_FINANCIAL" localSheetId="38">'Franklin American'!$B$35:$F$35</definedName>
    <definedName name="NH_FINANCIAL" localSheetId="39">'Franklin Protective'!$B$35:$F$35</definedName>
    <definedName name="NH_FINANCIAL" localSheetId="40">'Freelancers CO-OP'!$B$35:$F$35</definedName>
    <definedName name="NH_FINANCIAL" localSheetId="41">'George Washington'!$B$35:$F$35</definedName>
    <definedName name="NH_FINANCIAL" localSheetId="42">'Golden State'!$B$35:$F$35</definedName>
    <definedName name="NH_FINANCIAL" localSheetId="43">'Guarantee Security'!$B$35:$F$35</definedName>
    <definedName name="NH_FINANCIAL" localSheetId="44">HealthyCT!$B$35:$F$35</definedName>
    <definedName name="NH_FINANCIAL" localSheetId="45">Imerica!$B$35:$F$35</definedName>
    <definedName name="NH_FINANCIAL" localSheetId="46">'Inter-American'!$B$35:$F$35</definedName>
    <definedName name="NH_FINANCIAL" localSheetId="47">'International Fin'!$B$35:$F$35</definedName>
    <definedName name="NH_FINANCIAL" localSheetId="48">'Investment Life of America'!$B$35:$F$35</definedName>
    <definedName name="NH_FINANCIAL" localSheetId="49">'Investors Equity'!$B$35:$F$35</definedName>
    <definedName name="NH_FINANCIAL" localSheetId="50">'Kentucky Central'!$B$35:$F$35</definedName>
    <definedName name="NH_FINANCIAL" localSheetId="51">'Land of Lincoln'!$B$35:$F$35</definedName>
    <definedName name="NH_FINANCIAL" localSheetId="52">Legion!$B$35:$F$35</definedName>
    <definedName name="NH_FINANCIAL" localSheetId="53">'Life Health America'!$B$35:$F$35</definedName>
    <definedName name="NH_FINANCIAL" localSheetId="54">'Lincoln Memorial'!$B$35:$F$35</definedName>
    <definedName name="NH_FINANCIAL" localSheetId="55">'London Pac'!$B$35:$F$35</definedName>
    <definedName name="NH_FINANCIAL" localSheetId="56">Lumbermens!$B$35:$F$35</definedName>
    <definedName name="NH_FINANCIAL" localSheetId="57">'Medical Savings'!$B$35:$F$35</definedName>
    <definedName name="NH_FINANCIAL" localSheetId="58">'Memorial Service'!$B$35:$F$35</definedName>
    <definedName name="NH_FINANCIAL" localSheetId="59">Midcontinent!$B$35:$F$35</definedName>
    <definedName name="NH_FINANCIAL" localSheetId="60">'Midwest Life'!$B$35:$F$35</definedName>
    <definedName name="NH_FINANCIAL" localSheetId="61">'Monarch Life'!$B$35:$F$35</definedName>
    <definedName name="NH_FINANCIAL" localSheetId="62">'Mutual Benefit'!$B$35:$F$35</definedName>
    <definedName name="NH_FINANCIAL" localSheetId="63">'Mutual Security'!$B$35:$F$35</definedName>
    <definedName name="NH_FINANCIAL" localSheetId="64">'National Affiliated'!$B$35:$F$35</definedName>
    <definedName name="NH_FINANCIAL" localSheetId="66">'National Heritage'!$B$35:$F$35</definedName>
    <definedName name="NH_FINANCIAL" localSheetId="67">'National States'!$B$35:$F$35</definedName>
    <definedName name="NH_FINANCIAL" localSheetId="65">'Natl American'!$B$35:$F$35</definedName>
    <definedName name="NH_FINANCIAL" localSheetId="68">'New Jersey Life'!$B$35:$F$35</definedName>
    <definedName name="NH_FINANCIAL" localSheetId="69">NNIC!$B$35:$F$35</definedName>
    <definedName name="NH_FINANCIAL" localSheetId="70">'Old Colony Life'!$B$35:$F$35</definedName>
    <definedName name="NH_FINANCIAL" localSheetId="71">'Old Faithful'!$B$35:$F$35</definedName>
    <definedName name="NH_FINANCIAL" localSheetId="72">'Pacific Standard'!$B$35:$F$35</definedName>
    <definedName name="NH_FINANCIAL" localSheetId="73">'Pen  Treaty'!$B$35:$F$35</definedName>
    <definedName name="NH_FINANCIAL" localSheetId="74">Reliance!$B$35:$F$35</definedName>
    <definedName name="NH_FINANCIAL" localSheetId="75">SeeChange!$B$35:$F$35</definedName>
    <definedName name="NH_FINANCIAL" localSheetId="76">'Senior American'!$B$35:$F$35</definedName>
    <definedName name="NH_FINANCIAL" localSheetId="77">Settlers!$B$35:$F$35</definedName>
    <definedName name="NH_FINANCIAL" localSheetId="78">Shenandoah!$B$35:$F$35</definedName>
    <definedName name="NH_FINANCIAL" localSheetId="79">'Standard Life IN'!$B$35:$F$35</definedName>
    <definedName name="NH_FINANCIAL" localSheetId="80">'States General'!$B$35:$F$35</definedName>
    <definedName name="NH_FINANCIAL" localSheetId="81">Statesman!$B$35:$F$35</definedName>
    <definedName name="NH_FINANCIAL" localSheetId="82">'Summit National'!$B$35:$F$35</definedName>
    <definedName name="NH_FINANCIAL" localSheetId="83">Supreme!$B$35:$F$35</definedName>
    <definedName name="NH_FINANCIAL" localSheetId="97">'Total Summary'!$B$35:$F$35</definedName>
    <definedName name="NH_FINANCIAL" localSheetId="84">Underwriters!$B$35:$F$35</definedName>
    <definedName name="NH_FINANCIAL" localSheetId="85">Unison!$B$35:$F$35</definedName>
    <definedName name="NH_FINANCIAL" localSheetId="86">'United Republic'!$B$35:$F$35</definedName>
    <definedName name="NH_FINANCIAL" localSheetId="87">'Universal Health Care'!$B$35:$F$35</definedName>
    <definedName name="NH_FINANCIAL" localSheetId="88">'Universal Life'!$B$35:$F$35</definedName>
    <definedName name="NH_FINANCIAL" localSheetId="89">Universe!$B$35:$F$35</definedName>
    <definedName name="NH_FINANCIAL" localSheetId="90">Villanova!$B$35:$F$35</definedName>
    <definedName name="NJ_FINANCIAL" localSheetId="0">'Alabama Life'!$B$36:$F$36</definedName>
    <definedName name="NJ_FINANCIAL" localSheetId="5">'Amer Life Asr'!$B$36:$F$36</definedName>
    <definedName name="NJ_FINANCIAL" localSheetId="7">'Amer Std Life Acc'!$B$36:$F$36</definedName>
    <definedName name="NJ_FINANCIAL" localSheetId="1">'American Chambers'!$B$36:$F$36</definedName>
    <definedName name="NJ_FINANCIAL" localSheetId="2">'American Community'!$B$36:$F$36</definedName>
    <definedName name="NJ_FINANCIAL" localSheetId="3">'American Educators'!$B$36:$F$36</definedName>
    <definedName name="NJ_FINANCIAL" localSheetId="4">'American Integrity'!$B$36:$F$36</definedName>
    <definedName name="NJ_FINANCIAL" localSheetId="6">'American Network'!$B$36:$F$36</definedName>
    <definedName name="NJ_FINANCIAL" localSheetId="8">AmerWstrn!$B$36:$F$36</definedName>
    <definedName name="NJ_FINANCIAL" localSheetId="9">'AMS Life'!$B$36:$F$36</definedName>
    <definedName name="NJ_FINANCIAL" localSheetId="10">'Andrew Jackson'!$B$36:$F$36</definedName>
    <definedName name="NJ_FINANCIAL" localSheetId="11">'Bankers Commercial'!$B$36:$F$36</definedName>
    <definedName name="NJ_FINANCIAL" localSheetId="12">Benicorp!$B$36:$F$36</definedName>
    <definedName name="NJ_FINANCIAL" localSheetId="13">'Booker T Washington'!$B$36:$F$36</definedName>
    <definedName name="NJ_FINANCIAL" localSheetId="14">Centennial!$B$36:$F$36</definedName>
    <definedName name="NJ_FINANCIAL" localSheetId="15">'Coastal States'!$B$36:$F$36</definedName>
    <definedName name="NJ_FINANCIAL" localSheetId="16">'Colorado Health'!$B$36:$F$36</definedName>
    <definedName name="NJ_FINANCIAL" localSheetId="17">'Compass (dbs Meritus)'!$B$36:$F$36</definedName>
    <definedName name="NJ_FINANCIAL" localSheetId="18">'Confed Life &amp; Annty (CLIAC)'!$B$36:$F$36</definedName>
    <definedName name="NJ_FINANCIAL" localSheetId="19">'Confed Life (CLIC)'!$B$36:$F$36</definedName>
    <definedName name="NJ_FINANCIAL" localSheetId="20">'Consolidated National'!$B$36:$F$36</definedName>
    <definedName name="NJ_FINANCIAL" localSheetId="21">'Consumers Choice'!$B$36:$F$36</definedName>
    <definedName name="NJ_FINANCIAL" localSheetId="22">'Consumers Mutual'!$B$36:$F$36</definedName>
    <definedName name="NJ_FINANCIAL" localSheetId="23">'Consumers United'!$B$36:$F$36</definedName>
    <definedName name="NJ_FINANCIAL" localSheetId="24">CoOportunity!$B$36:$F$36</definedName>
    <definedName name="NJ_FINANCIAL" localSheetId="25">'Coordinated Hlth'!$B$36:$F$36</definedName>
    <definedName name="NJ_FINANCIAL" localSheetId="26">'Corporate Life'!$B$36:$F$36</definedName>
    <definedName name="NJ_FINANCIAL" localSheetId="27">'Diamond Benefits'!$B$36:$F$36</definedName>
    <definedName name="NJ_FINANCIAL" localSheetId="28">'EBL Life'!$B$36:$F$36</definedName>
    <definedName name="NJ_FINANCIAL" localSheetId="30">ELNY!$B$36:$F$36</definedName>
    <definedName name="NJ_FINANCIAL" localSheetId="29">'Executive Life'!$B$36:$F$36</definedName>
    <definedName name="NJ_FINANCIAL" localSheetId="31">'Family Guaranty'!$B$36:$F$36</definedName>
    <definedName name="NJ_FINANCIAL" localSheetId="32">'Farmers &amp; Ranchers'!$B$36:$F$36</definedName>
    <definedName name="NJ_FINANCIAL" localSheetId="33">'Fidelity Bankers'!$B$36:$F$36</definedName>
    <definedName name="NJ_FINANCIAL" localSheetId="34">'Fidelity Mutual'!$B$36:$F$36</definedName>
    <definedName name="NJ_FINANCIAL" localSheetId="35">'First Capital'!$B$36:$F$36</definedName>
    <definedName name="NJ_FINANCIAL" localSheetId="36">'First Natl'!$B$36:$F$36</definedName>
    <definedName name="NJ_FINANCIAL" localSheetId="37">'First Natl (Thrnr)'!$B$36:$F$36</definedName>
    <definedName name="NJ_FINANCIAL" localSheetId="38">'Franklin American'!$B$36:$F$36</definedName>
    <definedName name="NJ_FINANCIAL" localSheetId="39">'Franklin Protective'!$B$36:$F$36</definedName>
    <definedName name="NJ_FINANCIAL" localSheetId="40">'Freelancers CO-OP'!$B$36:$F$36</definedName>
    <definedName name="NJ_FINANCIAL" localSheetId="41">'George Washington'!$B$36:$F$36</definedName>
    <definedName name="NJ_FINANCIAL" localSheetId="42">'Golden State'!$B$36:$F$36</definedName>
    <definedName name="NJ_FINANCIAL" localSheetId="43">'Guarantee Security'!$B$36:$F$36</definedName>
    <definedName name="NJ_FINANCIAL" localSheetId="44">HealthyCT!$B$36:$F$36</definedName>
    <definedName name="NJ_FINANCIAL" localSheetId="45">Imerica!$B$36:$F$36</definedName>
    <definedName name="NJ_FINANCIAL" localSheetId="46">'Inter-American'!$B$36:$F$36</definedName>
    <definedName name="NJ_FINANCIAL" localSheetId="47">'International Fin'!$B$36:$F$36</definedName>
    <definedName name="NJ_FINANCIAL" localSheetId="48">'Investment Life of America'!$B$36:$F$36</definedName>
    <definedName name="NJ_FINANCIAL" localSheetId="49">'Investors Equity'!$B$36:$F$36</definedName>
    <definedName name="NJ_FINANCIAL" localSheetId="50">'Kentucky Central'!$B$36:$F$36</definedName>
    <definedName name="NJ_FINANCIAL" localSheetId="51">'Land of Lincoln'!$B$36:$F$36</definedName>
    <definedName name="NJ_FINANCIAL" localSheetId="52">Legion!$B$36:$F$36</definedName>
    <definedName name="NJ_FINANCIAL" localSheetId="53">'Life Health America'!$B$36:$F$36</definedName>
    <definedName name="NJ_FINANCIAL" localSheetId="54">'Lincoln Memorial'!$B$36:$F$36</definedName>
    <definedName name="NJ_FINANCIAL" localSheetId="55">'London Pac'!$B$36:$F$36</definedName>
    <definedName name="NJ_FINANCIAL" localSheetId="56">Lumbermens!$B$36:$F$36</definedName>
    <definedName name="NJ_FINANCIAL" localSheetId="57">'Medical Savings'!$B$36:$F$36</definedName>
    <definedName name="NJ_FINANCIAL" localSheetId="58">'Memorial Service'!$B$36:$F$36</definedName>
    <definedName name="NJ_FINANCIAL" localSheetId="59">Midcontinent!$B$36:$F$36</definedName>
    <definedName name="NJ_FINANCIAL" localSheetId="60">'Midwest Life'!$B$36:$F$36</definedName>
    <definedName name="NJ_FINANCIAL" localSheetId="61">'Monarch Life'!$B$36:$F$36</definedName>
    <definedName name="NJ_FINANCIAL" localSheetId="62">'Mutual Benefit'!$B$36:$F$36</definedName>
    <definedName name="NJ_FINANCIAL" localSheetId="63">'Mutual Security'!$B$36:$F$36</definedName>
    <definedName name="NJ_FINANCIAL" localSheetId="64">'National Affiliated'!$B$36:$F$36</definedName>
    <definedName name="NJ_FINANCIAL" localSheetId="66">'National Heritage'!$B$36:$F$36</definedName>
    <definedName name="NJ_FINANCIAL" localSheetId="67">'National States'!$B$36:$F$36</definedName>
    <definedName name="NJ_FINANCIAL" localSheetId="65">'Natl American'!$B$36:$F$36</definedName>
    <definedName name="NJ_FINANCIAL" localSheetId="68">'New Jersey Life'!$B$36:$F$36</definedName>
    <definedName name="NJ_FINANCIAL" localSheetId="69">NNIC!$B$36:$F$36</definedName>
    <definedName name="NJ_FINANCIAL" localSheetId="70">'Old Colony Life'!$B$36:$F$36</definedName>
    <definedName name="NJ_FINANCIAL" localSheetId="71">'Old Faithful'!$B$36:$F$36</definedName>
    <definedName name="NJ_FINANCIAL" localSheetId="72">'Pacific Standard'!$B$36:$F$36</definedName>
    <definedName name="NJ_FINANCIAL" localSheetId="73">'Pen  Treaty'!$B$36:$F$36</definedName>
    <definedName name="NJ_FINANCIAL" localSheetId="74">Reliance!$B$36:$F$36</definedName>
    <definedName name="NJ_FINANCIAL" localSheetId="75">SeeChange!$B$36:$F$36</definedName>
    <definedName name="NJ_FINANCIAL" localSheetId="76">'Senior American'!$B$36:$F$36</definedName>
    <definedName name="NJ_FINANCIAL" localSheetId="77">Settlers!$B$36:$F$36</definedName>
    <definedName name="NJ_FINANCIAL" localSheetId="78">Shenandoah!$B$36:$F$36</definedName>
    <definedName name="NJ_FINANCIAL" localSheetId="79">'Standard Life IN'!$B$36:$F$36</definedName>
    <definedName name="NJ_FINANCIAL" localSheetId="80">'States General'!$B$36:$F$36</definedName>
    <definedName name="NJ_FINANCIAL" localSheetId="81">Statesman!$B$36:$F$36</definedName>
    <definedName name="NJ_FINANCIAL" localSheetId="82">'Summit National'!$B$36:$F$36</definedName>
    <definedName name="NJ_FINANCIAL" localSheetId="83">Supreme!$B$36:$F$36</definedName>
    <definedName name="NJ_FINANCIAL" localSheetId="97">'Total Summary'!$B$36:$F$36</definedName>
    <definedName name="NJ_FINANCIAL" localSheetId="84">Underwriters!$B$36:$F$36</definedName>
    <definedName name="NJ_FINANCIAL" localSheetId="85">Unison!$B$36:$F$36</definedName>
    <definedName name="NJ_FINANCIAL" localSheetId="86">'United Republic'!$B$36:$F$36</definedName>
    <definedName name="NJ_FINANCIAL" localSheetId="87">'Universal Health Care'!$B$36:$F$36</definedName>
    <definedName name="NJ_FINANCIAL" localSheetId="88">'Universal Life'!$B$36:$F$36</definedName>
    <definedName name="NJ_FINANCIAL" localSheetId="89">Universe!$B$36:$F$36</definedName>
    <definedName name="NJ_FINANCIAL" localSheetId="90">Villanova!$B$36:$F$36</definedName>
    <definedName name="NM_FINANCIAL" localSheetId="0">'Alabama Life'!$B$37:$F$37</definedName>
    <definedName name="NM_FINANCIAL" localSheetId="5">'Amer Life Asr'!$B$37:$F$37</definedName>
    <definedName name="NM_FINANCIAL" localSheetId="7">'Amer Std Life Acc'!$B$37:$F$37</definedName>
    <definedName name="NM_FINANCIAL" localSheetId="1">'American Chambers'!$B$37:$F$37</definedName>
    <definedName name="NM_FINANCIAL" localSheetId="2">'American Community'!$B$37:$F$37</definedName>
    <definedName name="NM_FINANCIAL" localSheetId="3">'American Educators'!$B$37:$F$37</definedName>
    <definedName name="NM_FINANCIAL" localSheetId="4">'American Integrity'!$B$37:$F$37</definedName>
    <definedName name="NM_FINANCIAL" localSheetId="6">'American Network'!$B$37:$F$37</definedName>
    <definedName name="NM_FINANCIAL" localSheetId="8">AmerWstrn!$B$37:$F$37</definedName>
    <definedName name="NM_FINANCIAL" localSheetId="9">'AMS Life'!$B$37:$F$37</definedName>
    <definedName name="NM_FINANCIAL" localSheetId="10">'Andrew Jackson'!$B$37:$F$37</definedName>
    <definedName name="NM_FINANCIAL" localSheetId="11">'Bankers Commercial'!$B$37:$F$37</definedName>
    <definedName name="NM_FINANCIAL" localSheetId="12">Benicorp!$B$37:$F$37</definedName>
    <definedName name="NM_FINANCIAL" localSheetId="13">'Booker T Washington'!$B$37:$F$37</definedName>
    <definedName name="NM_FINANCIAL" localSheetId="14">Centennial!$B$37:$F$37</definedName>
    <definedName name="NM_FINANCIAL" localSheetId="15">'Coastal States'!$B$37:$F$37</definedName>
    <definedName name="NM_FINANCIAL" localSheetId="16">'Colorado Health'!$B$37:$F$37</definedName>
    <definedName name="NM_FINANCIAL" localSheetId="17">'Compass (dbs Meritus)'!$B$37:$F$37</definedName>
    <definedName name="NM_FINANCIAL" localSheetId="18">'Confed Life &amp; Annty (CLIAC)'!$B$37:$F$37</definedName>
    <definedName name="NM_FINANCIAL" localSheetId="19">'Confed Life (CLIC)'!$B$37:$F$37</definedName>
    <definedName name="NM_FINANCIAL" localSheetId="20">'Consolidated National'!$B$37:$F$37</definedName>
    <definedName name="NM_FINANCIAL" localSheetId="21">'Consumers Choice'!$B$37:$F$37</definedName>
    <definedName name="NM_FINANCIAL" localSheetId="22">'Consumers Mutual'!$B$37:$F$37</definedName>
    <definedName name="NM_FINANCIAL" localSheetId="23">'Consumers United'!$B$37:$F$37</definedName>
    <definedName name="NM_FINANCIAL" localSheetId="24">CoOportunity!$B$37:$F$37</definedName>
    <definedName name="NM_FINANCIAL" localSheetId="25">'Coordinated Hlth'!$B$37:$F$37</definedName>
    <definedName name="NM_FINANCIAL" localSheetId="26">'Corporate Life'!$B$37:$F$37</definedName>
    <definedName name="NM_FINANCIAL" localSheetId="27">'Diamond Benefits'!$B$37:$F$37</definedName>
    <definedName name="NM_FINANCIAL" localSheetId="28">'EBL Life'!$B$37:$F$37</definedName>
    <definedName name="NM_FINANCIAL" localSheetId="30">ELNY!$B$37:$F$37</definedName>
    <definedName name="NM_FINANCIAL" localSheetId="29">'Executive Life'!$B$37:$F$37</definedName>
    <definedName name="NM_FINANCIAL" localSheetId="31">'Family Guaranty'!$B$37:$F$37</definedName>
    <definedName name="NM_FINANCIAL" localSheetId="32">'Farmers &amp; Ranchers'!$B$37:$F$37</definedName>
    <definedName name="NM_FINANCIAL" localSheetId="33">'Fidelity Bankers'!$B$37:$F$37</definedName>
    <definedName name="NM_FINANCIAL" localSheetId="34">'Fidelity Mutual'!$B$37:$F$37</definedName>
    <definedName name="NM_FINANCIAL" localSheetId="35">'First Capital'!$B$37:$F$37</definedName>
    <definedName name="NM_FINANCIAL" localSheetId="36">'First Natl'!$B$37:$F$37</definedName>
    <definedName name="NM_FINANCIAL" localSheetId="37">'First Natl (Thrnr)'!$B$37:$F$37</definedName>
    <definedName name="NM_FINANCIAL" localSheetId="38">'Franklin American'!$B$37:$F$37</definedName>
    <definedName name="NM_FINANCIAL" localSheetId="39">'Franklin Protective'!$B$37:$F$37</definedName>
    <definedName name="NM_FINANCIAL" localSheetId="40">'Freelancers CO-OP'!$B$37:$F$37</definedName>
    <definedName name="NM_FINANCIAL" localSheetId="41">'George Washington'!$B$37:$F$37</definedName>
    <definedName name="NM_FINANCIAL" localSheetId="42">'Golden State'!$B$37:$F$37</definedName>
    <definedName name="NM_FINANCIAL" localSheetId="43">'Guarantee Security'!$B$37:$F$37</definedName>
    <definedName name="NM_FINANCIAL" localSheetId="44">HealthyCT!$B$37:$F$37</definedName>
    <definedName name="NM_FINANCIAL" localSheetId="45">Imerica!$B$37:$F$37</definedName>
    <definedName name="NM_FINANCIAL" localSheetId="46">'Inter-American'!$B$37:$F$37</definedName>
    <definedName name="NM_FINANCIAL" localSheetId="47">'International Fin'!$B$37:$F$37</definedName>
    <definedName name="NM_FINANCIAL" localSheetId="48">'Investment Life of America'!$B$37:$F$37</definedName>
    <definedName name="NM_FINANCIAL" localSheetId="49">'Investors Equity'!$B$37:$F$37</definedName>
    <definedName name="NM_FINANCIAL" localSheetId="50">'Kentucky Central'!$B$37:$F$37</definedName>
    <definedName name="NM_FINANCIAL" localSheetId="51">'Land of Lincoln'!$B$37:$F$37</definedName>
    <definedName name="NM_FINANCIAL" localSheetId="52">Legion!$B$37:$F$37</definedName>
    <definedName name="NM_FINANCIAL" localSheetId="53">'Life Health America'!$B$37:$F$37</definedName>
    <definedName name="NM_FINANCIAL" localSheetId="54">'Lincoln Memorial'!$B$37:$F$37</definedName>
    <definedName name="NM_FINANCIAL" localSheetId="55">'London Pac'!$B$37:$F$37</definedName>
    <definedName name="NM_FINANCIAL" localSheetId="56">Lumbermens!$B$37:$F$37</definedName>
    <definedName name="NM_FINANCIAL" localSheetId="57">'Medical Savings'!$B$37:$F$37</definedName>
    <definedName name="NM_FINANCIAL" localSheetId="58">'Memorial Service'!$B$37:$F$37</definedName>
    <definedName name="NM_FINANCIAL" localSheetId="59">Midcontinent!$B$37:$F$37</definedName>
    <definedName name="NM_FINANCIAL" localSheetId="60">'Midwest Life'!$B$37:$F$37</definedName>
    <definedName name="NM_FINANCIAL" localSheetId="61">'Monarch Life'!$B$37:$F$37</definedName>
    <definedName name="NM_FINANCIAL" localSheetId="62">'Mutual Benefit'!$B$37:$F$37</definedName>
    <definedName name="NM_FINANCIAL" localSheetId="63">'Mutual Security'!$B$37:$F$37</definedName>
    <definedName name="NM_FINANCIAL" localSheetId="64">'National Affiliated'!$B$37:$F$37</definedName>
    <definedName name="NM_FINANCIAL" localSheetId="66">'National Heritage'!$B$37:$F$37</definedName>
    <definedName name="NM_FINANCIAL" localSheetId="67">'National States'!$B$37:$F$37</definedName>
    <definedName name="NM_FINANCIAL" localSheetId="65">'Natl American'!$B$37:$F$37</definedName>
    <definedName name="NM_FINANCIAL" localSheetId="68">'New Jersey Life'!$B$37:$F$37</definedName>
    <definedName name="NM_FINANCIAL" localSheetId="69">NNIC!$B$37:$F$37</definedName>
    <definedName name="NM_FINANCIAL" localSheetId="70">'Old Colony Life'!$B$37:$F$37</definedName>
    <definedName name="NM_FINANCIAL" localSheetId="71">'Old Faithful'!$B$37:$F$37</definedName>
    <definedName name="NM_FINANCIAL" localSheetId="72">'Pacific Standard'!$B$37:$F$37</definedName>
    <definedName name="NM_FINANCIAL" localSheetId="73">'Pen  Treaty'!$B$37:$F$37</definedName>
    <definedName name="NM_FINANCIAL" localSheetId="74">Reliance!$B$37:$F$37</definedName>
    <definedName name="NM_FINANCIAL" localSheetId="75">SeeChange!$B$37:$F$37</definedName>
    <definedName name="NM_FINANCIAL" localSheetId="76">'Senior American'!$B$37:$F$37</definedName>
    <definedName name="NM_FINANCIAL" localSheetId="77">Settlers!$B$37:$F$37</definedName>
    <definedName name="NM_FINANCIAL" localSheetId="78">Shenandoah!$B$37:$F$37</definedName>
    <definedName name="NM_FINANCIAL" localSheetId="79">'Standard Life IN'!$B$37:$F$37</definedName>
    <definedName name="NM_FINANCIAL" localSheetId="80">'States General'!$B$37:$F$37</definedName>
    <definedName name="NM_FINANCIAL" localSheetId="81">Statesman!$B$37:$F$37</definedName>
    <definedName name="NM_FINANCIAL" localSheetId="82">'Summit National'!$B$37:$F$37</definedName>
    <definedName name="NM_FINANCIAL" localSheetId="83">Supreme!$B$37:$F$37</definedName>
    <definedName name="NM_FINANCIAL" localSheetId="97">'Total Summary'!$B$37:$F$37</definedName>
    <definedName name="NM_FINANCIAL" localSheetId="84">Underwriters!$B$37:$F$37</definedName>
    <definedName name="NM_FINANCIAL" localSheetId="85">Unison!$B$37:$F$37</definedName>
    <definedName name="NM_FINANCIAL" localSheetId="86">'United Republic'!$B$37:$F$37</definedName>
    <definedName name="NM_FINANCIAL" localSheetId="87">'Universal Health Care'!$B$37:$F$37</definedName>
    <definedName name="NM_FINANCIAL" localSheetId="88">'Universal Life'!$B$37:$F$37</definedName>
    <definedName name="NM_FINANCIAL" localSheetId="89">Universe!$B$37:$F$37</definedName>
    <definedName name="NM_FINANCIAL" localSheetId="90">Villanova!$B$37:$F$37</definedName>
    <definedName name="NV_FINANCIAL" localSheetId="0">'Alabama Life'!$B$34:$F$34</definedName>
    <definedName name="NV_FINANCIAL" localSheetId="5">'Amer Life Asr'!$B$34:$F$34</definedName>
    <definedName name="NV_FINANCIAL" localSheetId="7">'Amer Std Life Acc'!$B$34:$F$34</definedName>
    <definedName name="NV_FINANCIAL" localSheetId="1">'American Chambers'!$B$34:$F$34</definedName>
    <definedName name="NV_FINANCIAL" localSheetId="2">'American Community'!$B$34:$F$34</definedName>
    <definedName name="NV_FINANCIAL" localSheetId="3">'American Educators'!$B$34:$F$34</definedName>
    <definedName name="NV_FINANCIAL" localSheetId="4">'American Integrity'!$B$34:$F$34</definedName>
    <definedName name="NV_FINANCIAL" localSheetId="6">'American Network'!$B$34:$F$34</definedName>
    <definedName name="NV_FINANCIAL" localSheetId="8">AmerWstrn!$B$34:$F$34</definedName>
    <definedName name="NV_FINANCIAL" localSheetId="9">'AMS Life'!$B$34:$F$34</definedName>
    <definedName name="NV_FINANCIAL" localSheetId="10">'Andrew Jackson'!$B$34:$F$34</definedName>
    <definedName name="NV_FINANCIAL" localSheetId="11">'Bankers Commercial'!$B$34:$F$34</definedName>
    <definedName name="NV_FINANCIAL" localSheetId="12">Benicorp!$B$34:$F$34</definedName>
    <definedName name="NV_FINANCIAL" localSheetId="13">'Booker T Washington'!$B$34:$F$34</definedName>
    <definedName name="NV_FINANCIAL" localSheetId="14">Centennial!$B$34:$F$34</definedName>
    <definedName name="NV_FINANCIAL" localSheetId="15">'Coastal States'!$B$34:$F$34</definedName>
    <definedName name="NV_FINANCIAL" localSheetId="16">'Colorado Health'!$B$34:$F$34</definedName>
    <definedName name="NV_FINANCIAL" localSheetId="17">'Compass (dbs Meritus)'!$B$34:$F$34</definedName>
    <definedName name="NV_FINANCIAL" localSheetId="18">'Confed Life &amp; Annty (CLIAC)'!$B$34:$F$34</definedName>
    <definedName name="NV_FINANCIAL" localSheetId="19">'Confed Life (CLIC)'!$B$34:$F$34</definedName>
    <definedName name="NV_FINANCIAL" localSheetId="20">'Consolidated National'!$B$34:$F$34</definedName>
    <definedName name="NV_FINANCIAL" localSheetId="21">'Consumers Choice'!$B$34:$F$34</definedName>
    <definedName name="NV_FINANCIAL" localSheetId="22">'Consumers Mutual'!$B$34:$F$34</definedName>
    <definedName name="NV_FINANCIAL" localSheetId="23">'Consumers United'!$B$34:$F$34</definedName>
    <definedName name="NV_FINANCIAL" localSheetId="24">CoOportunity!$B$34:$F$34</definedName>
    <definedName name="NV_FINANCIAL" localSheetId="25">'Coordinated Hlth'!$B$34:$F$34</definedName>
    <definedName name="NV_FINANCIAL" localSheetId="26">'Corporate Life'!$B$34:$F$34</definedName>
    <definedName name="NV_FINANCIAL" localSheetId="27">'Diamond Benefits'!$B$34:$F$34</definedName>
    <definedName name="NV_FINANCIAL" localSheetId="28">'EBL Life'!$B$34:$F$34</definedName>
    <definedName name="NV_FINANCIAL" localSheetId="30">ELNY!$B$34:$F$34</definedName>
    <definedName name="NV_FINANCIAL" localSheetId="29">'Executive Life'!$B$34:$F$34</definedName>
    <definedName name="NV_FINANCIAL" localSheetId="31">'Family Guaranty'!$B$34:$F$34</definedName>
    <definedName name="NV_FINANCIAL" localSheetId="32">'Farmers &amp; Ranchers'!$B$34:$F$34</definedName>
    <definedName name="NV_FINANCIAL" localSheetId="33">'Fidelity Bankers'!$B$34:$F$34</definedName>
    <definedName name="NV_FINANCIAL" localSheetId="34">'Fidelity Mutual'!$B$34:$F$34</definedName>
    <definedName name="NV_FINANCIAL" localSheetId="35">'First Capital'!$B$34:$F$34</definedName>
    <definedName name="NV_FINANCIAL" localSheetId="36">'First Natl'!$B$34:$F$34</definedName>
    <definedName name="NV_FINANCIAL" localSheetId="37">'First Natl (Thrnr)'!$B$34:$F$34</definedName>
    <definedName name="NV_FINANCIAL" localSheetId="38">'Franklin American'!$B$34:$F$34</definedName>
    <definedName name="NV_FINANCIAL" localSheetId="39">'Franklin Protective'!$B$34:$F$34</definedName>
    <definedName name="NV_FINANCIAL" localSheetId="40">'Freelancers CO-OP'!$B$34:$F$34</definedName>
    <definedName name="NV_FINANCIAL" localSheetId="41">'George Washington'!$B$34:$F$34</definedName>
    <definedName name="NV_FINANCIAL" localSheetId="42">'Golden State'!$B$34:$F$34</definedName>
    <definedName name="NV_FINANCIAL" localSheetId="43">'Guarantee Security'!$B$34:$F$34</definedName>
    <definedName name="NV_FINANCIAL" localSheetId="44">HealthyCT!$B$34:$F$34</definedName>
    <definedName name="NV_FINANCIAL" localSheetId="45">Imerica!$B$34:$F$34</definedName>
    <definedName name="NV_FINANCIAL" localSheetId="46">'Inter-American'!$B$34:$F$34</definedName>
    <definedName name="NV_FINANCIAL" localSheetId="47">'International Fin'!$B$34:$F$34</definedName>
    <definedName name="NV_FINANCIAL" localSheetId="48">'Investment Life of America'!$B$34:$F$34</definedName>
    <definedName name="NV_FINANCIAL" localSheetId="49">'Investors Equity'!$B$34:$F$34</definedName>
    <definedName name="NV_FINANCIAL" localSheetId="50">'Kentucky Central'!$B$34:$F$34</definedName>
    <definedName name="NV_FINANCIAL" localSheetId="51">'Land of Lincoln'!$B$34:$F$34</definedName>
    <definedName name="NV_FINANCIAL" localSheetId="52">Legion!$B$34:$F$34</definedName>
    <definedName name="NV_FINANCIAL" localSheetId="53">'Life Health America'!$B$34:$F$34</definedName>
    <definedName name="NV_FINANCIAL" localSheetId="54">'Lincoln Memorial'!$B$34:$F$34</definedName>
    <definedName name="NV_FINANCIAL" localSheetId="55">'London Pac'!$B$34:$F$34</definedName>
    <definedName name="NV_FINANCIAL" localSheetId="56">Lumbermens!$B$34:$F$34</definedName>
    <definedName name="NV_FINANCIAL" localSheetId="57">'Medical Savings'!$B$34:$F$34</definedName>
    <definedName name="NV_FINANCIAL" localSheetId="58">'Memorial Service'!$B$34:$F$34</definedName>
    <definedName name="NV_FINANCIAL" localSheetId="59">Midcontinent!$B$34:$F$34</definedName>
    <definedName name="NV_FINANCIAL" localSheetId="60">'Midwest Life'!$B$34:$F$34</definedName>
    <definedName name="NV_FINANCIAL" localSheetId="61">'Monarch Life'!$B$34:$F$34</definedName>
    <definedName name="NV_FINANCIAL" localSheetId="62">'Mutual Benefit'!$B$34:$F$34</definedName>
    <definedName name="NV_FINANCIAL" localSheetId="63">'Mutual Security'!$B$34:$F$34</definedName>
    <definedName name="NV_FINANCIAL" localSheetId="64">'National Affiliated'!$B$34:$F$34</definedName>
    <definedName name="NV_FINANCIAL" localSheetId="66">'National Heritage'!$B$34:$F$34</definedName>
    <definedName name="NV_FINANCIAL" localSheetId="67">'National States'!$B$34:$F$34</definedName>
    <definedName name="NV_FINANCIAL" localSheetId="65">'Natl American'!$B$34:$F$34</definedName>
    <definedName name="NV_FINANCIAL" localSheetId="68">'New Jersey Life'!$B$34:$F$34</definedName>
    <definedName name="NV_FINANCIAL" localSheetId="69">NNIC!$B$34:$F$34</definedName>
    <definedName name="NV_FINANCIAL" localSheetId="70">'Old Colony Life'!$B$34:$F$34</definedName>
    <definedName name="NV_FINANCIAL" localSheetId="71">'Old Faithful'!$B$34:$F$34</definedName>
    <definedName name="NV_FINANCIAL" localSheetId="72">'Pacific Standard'!$B$34:$F$34</definedName>
    <definedName name="NV_FINANCIAL" localSheetId="73">'Pen  Treaty'!$B$34:$F$34</definedName>
    <definedName name="NV_FINANCIAL" localSheetId="74">Reliance!$B$34:$F$34</definedName>
    <definedName name="NV_FINANCIAL" localSheetId="75">SeeChange!$B$34:$F$34</definedName>
    <definedName name="NV_FINANCIAL" localSheetId="76">'Senior American'!$B$34:$F$34</definedName>
    <definedName name="NV_FINANCIAL" localSheetId="77">Settlers!$B$34:$F$34</definedName>
    <definedName name="NV_FINANCIAL" localSheetId="78">Shenandoah!$B$34:$F$34</definedName>
    <definedName name="NV_FINANCIAL" localSheetId="79">'Standard Life IN'!$B$34:$F$34</definedName>
    <definedName name="NV_FINANCIAL" localSheetId="80">'States General'!$B$34:$F$34</definedName>
    <definedName name="NV_FINANCIAL" localSheetId="81">Statesman!$B$34:$F$34</definedName>
    <definedName name="NV_FINANCIAL" localSheetId="82">'Summit National'!$B$34:$F$34</definedName>
    <definedName name="NV_FINANCIAL" localSheetId="83">Supreme!$B$34:$F$34</definedName>
    <definedName name="NV_FINANCIAL" localSheetId="97">'Total Summary'!$B$34:$F$34</definedName>
    <definedName name="NV_FINANCIAL" localSheetId="84">Underwriters!$B$34:$F$34</definedName>
    <definedName name="NV_FINANCIAL" localSheetId="85">Unison!$B$34:$F$34</definedName>
    <definedName name="NV_FINANCIAL" localSheetId="86">'United Republic'!$B$34:$F$34</definedName>
    <definedName name="NV_FINANCIAL" localSheetId="87">'Universal Health Care'!$B$34:$F$34</definedName>
    <definedName name="NV_FINANCIAL" localSheetId="88">'Universal Life'!$B$34:$F$34</definedName>
    <definedName name="NV_FINANCIAL" localSheetId="89">Universe!$B$34:$F$34</definedName>
    <definedName name="NV_FINANCIAL" localSheetId="90">Villanova!$B$34:$F$34</definedName>
    <definedName name="NY_FINANCIAL" localSheetId="0">'Alabama Life'!$B$38:$F$38</definedName>
    <definedName name="NY_FINANCIAL" localSheetId="5">'Amer Life Asr'!$B$38:$F$38</definedName>
    <definedName name="NY_FINANCIAL" localSheetId="7">'Amer Std Life Acc'!$B$38:$F$38</definedName>
    <definedName name="NY_FINANCIAL" localSheetId="1">'American Chambers'!$B$38:$F$38</definedName>
    <definedName name="NY_FINANCIAL" localSheetId="2">'American Community'!$B$38:$F$38</definedName>
    <definedName name="NY_FINANCIAL" localSheetId="3">'American Educators'!$B$38:$F$38</definedName>
    <definedName name="NY_FINANCIAL" localSheetId="4">'American Integrity'!$B$38:$F$38</definedName>
    <definedName name="NY_FINANCIAL" localSheetId="6">'American Network'!$B$38:$F$38</definedName>
    <definedName name="NY_FINANCIAL" localSheetId="8">AmerWstrn!$B$38:$F$38</definedName>
    <definedName name="NY_FINANCIAL" localSheetId="9">'AMS Life'!$B$38:$F$38</definedName>
    <definedName name="NY_FINANCIAL" localSheetId="10">'Andrew Jackson'!$B$38:$F$38</definedName>
    <definedName name="NY_FINANCIAL" localSheetId="11">'Bankers Commercial'!$B$38:$F$38</definedName>
    <definedName name="NY_FINANCIAL" localSheetId="12">Benicorp!$B$38:$F$38</definedName>
    <definedName name="NY_FINANCIAL" localSheetId="13">'Booker T Washington'!$B$38:$F$38</definedName>
    <definedName name="NY_FINANCIAL" localSheetId="14">Centennial!$B$38:$F$38</definedName>
    <definedName name="NY_FINANCIAL" localSheetId="15">'Coastal States'!$B$38:$F$38</definedName>
    <definedName name="NY_FINANCIAL" localSheetId="16">'Colorado Health'!$B$38:$F$38</definedName>
    <definedName name="NY_FINANCIAL" localSheetId="17">'Compass (dbs Meritus)'!$B$38:$F$38</definedName>
    <definedName name="NY_FINANCIAL" localSheetId="18">'Confed Life &amp; Annty (CLIAC)'!$B$38:$F$38</definedName>
    <definedName name="NY_FINANCIAL" localSheetId="19">'Confed Life (CLIC)'!$B$38:$F$38</definedName>
    <definedName name="NY_FINANCIAL" localSheetId="20">'Consolidated National'!$B$38:$F$38</definedName>
    <definedName name="NY_FINANCIAL" localSheetId="21">'Consumers Choice'!$B$38:$F$38</definedName>
    <definedName name="NY_FINANCIAL" localSheetId="22">'Consumers Mutual'!$B$38:$F$38</definedName>
    <definedName name="NY_FINANCIAL" localSheetId="23">'Consumers United'!$B$38:$F$38</definedName>
    <definedName name="NY_FINANCIAL" localSheetId="24">CoOportunity!$B$38:$F$38</definedName>
    <definedName name="NY_FINANCIAL" localSheetId="25">'Coordinated Hlth'!$B$38:$F$38</definedName>
    <definedName name="NY_FINANCIAL" localSheetId="26">'Corporate Life'!$B$38:$F$38</definedName>
    <definedName name="NY_FINANCIAL" localSheetId="27">'Diamond Benefits'!$B$38:$F$38</definedName>
    <definedName name="NY_FINANCIAL" localSheetId="28">'EBL Life'!$B$38:$F$38</definedName>
    <definedName name="NY_FINANCIAL" localSheetId="30">ELNY!$B$38:$F$38</definedName>
    <definedName name="NY_FINANCIAL" localSheetId="29">'Executive Life'!$B$38:$F$38</definedName>
    <definedName name="NY_FINANCIAL" localSheetId="31">'Family Guaranty'!$B$38:$F$38</definedName>
    <definedName name="NY_FINANCIAL" localSheetId="32">'Farmers &amp; Ranchers'!$B$38:$F$38</definedName>
    <definedName name="NY_FINANCIAL" localSheetId="33">'Fidelity Bankers'!$B$38:$F$38</definedName>
    <definedName name="NY_FINANCIAL" localSheetId="34">'Fidelity Mutual'!$B$38:$F$38</definedName>
    <definedName name="NY_FINANCIAL" localSheetId="35">'First Capital'!$B$38:$F$38</definedName>
    <definedName name="NY_FINANCIAL" localSheetId="36">'First Natl'!$B$38:$F$38</definedName>
    <definedName name="NY_FINANCIAL" localSheetId="37">'First Natl (Thrnr)'!$B$38:$F$38</definedName>
    <definedName name="NY_FINANCIAL" localSheetId="38">'Franklin American'!$B$38:$F$38</definedName>
    <definedName name="NY_FINANCIAL" localSheetId="39">'Franklin Protective'!$B$38:$F$38</definedName>
    <definedName name="NY_FINANCIAL" localSheetId="40">'Freelancers CO-OP'!$B$38:$F$38</definedName>
    <definedName name="NY_FINANCIAL" localSheetId="41">'George Washington'!$B$38:$F$38</definedName>
    <definedName name="NY_FINANCIAL" localSheetId="42">'Golden State'!$B$38:$F$38</definedName>
    <definedName name="NY_FINANCIAL" localSheetId="43">'Guarantee Security'!$B$38:$F$38</definedName>
    <definedName name="NY_FINANCIAL" localSheetId="44">HealthyCT!$B$38:$F$38</definedName>
    <definedName name="NY_FINANCIAL" localSheetId="45">Imerica!$B$38:$F$38</definedName>
    <definedName name="NY_FINANCIAL" localSheetId="46">'Inter-American'!$B$38:$F$38</definedName>
    <definedName name="NY_FINANCIAL" localSheetId="47">'International Fin'!$B$38:$F$38</definedName>
    <definedName name="NY_FINANCIAL" localSheetId="48">'Investment Life of America'!$B$38:$F$38</definedName>
    <definedName name="NY_FINANCIAL" localSheetId="49">'Investors Equity'!$B$38:$F$38</definedName>
    <definedName name="NY_FINANCIAL" localSheetId="50">'Kentucky Central'!$B$38:$F$38</definedName>
    <definedName name="NY_FINANCIAL" localSheetId="51">'Land of Lincoln'!$B$38:$F$38</definedName>
    <definedName name="NY_FINANCIAL" localSheetId="52">Legion!$B$38:$F$38</definedName>
    <definedName name="NY_FINANCIAL" localSheetId="53">'Life Health America'!$B$38:$F$38</definedName>
    <definedName name="NY_FINANCIAL" localSheetId="54">'Lincoln Memorial'!$B$38:$F$38</definedName>
    <definedName name="NY_FINANCIAL" localSheetId="55">'London Pac'!$B$38:$F$38</definedName>
    <definedName name="NY_FINANCIAL" localSheetId="56">Lumbermens!$B$38:$F$38</definedName>
    <definedName name="NY_FINANCIAL" localSheetId="57">'Medical Savings'!$B$38:$F$38</definedName>
    <definedName name="NY_FINANCIAL" localSheetId="58">'Memorial Service'!$B$38:$F$38</definedName>
    <definedName name="NY_FINANCIAL" localSheetId="59">Midcontinent!$B$38:$F$38</definedName>
    <definedName name="NY_FINANCIAL" localSheetId="60">'Midwest Life'!$B$38:$F$38</definedName>
    <definedName name="NY_FINANCIAL" localSheetId="61">'Monarch Life'!$B$38:$F$38</definedName>
    <definedName name="NY_FINANCIAL" localSheetId="62">'Mutual Benefit'!$B$38:$F$38</definedName>
    <definedName name="NY_FINANCIAL" localSheetId="63">'Mutual Security'!$B$38:$F$38</definedName>
    <definedName name="NY_FINANCIAL" localSheetId="64">'National Affiliated'!$B$38:$F$38</definedName>
    <definedName name="NY_FINANCIAL" localSheetId="66">'National Heritage'!$B$38:$F$38</definedName>
    <definedName name="NY_FINANCIAL" localSheetId="67">'National States'!$B$38:$F$38</definedName>
    <definedName name="NY_FINANCIAL" localSheetId="65">'Natl American'!$B$38:$F$38</definedName>
    <definedName name="NY_FINANCIAL" localSheetId="68">'New Jersey Life'!$B$38:$F$38</definedName>
    <definedName name="NY_FINANCIAL" localSheetId="69">NNIC!$B$38:$F$38</definedName>
    <definedName name="NY_FINANCIAL" localSheetId="70">'Old Colony Life'!$B$38:$F$38</definedName>
    <definedName name="NY_FINANCIAL" localSheetId="71">'Old Faithful'!$B$38:$F$38</definedName>
    <definedName name="NY_FINANCIAL" localSheetId="72">'Pacific Standard'!$B$38:$F$38</definedName>
    <definedName name="NY_FINANCIAL" localSheetId="73">'Pen  Treaty'!$B$38:$F$38</definedName>
    <definedName name="NY_FINANCIAL" localSheetId="74">Reliance!$B$38:$F$38</definedName>
    <definedName name="NY_FINANCIAL" localSheetId="75">SeeChange!$B$38:$F$38</definedName>
    <definedName name="NY_FINANCIAL" localSheetId="76">'Senior American'!$B$38:$F$38</definedName>
    <definedName name="NY_FINANCIAL" localSheetId="77">Settlers!$B$38:$F$38</definedName>
    <definedName name="NY_FINANCIAL" localSheetId="78">Shenandoah!$B$38:$F$38</definedName>
    <definedName name="NY_FINANCIAL" localSheetId="79">'Standard Life IN'!$B$38:$F$38</definedName>
    <definedName name="NY_FINANCIAL" localSheetId="80">'States General'!$B$38:$F$38</definedName>
    <definedName name="NY_FINANCIAL" localSheetId="81">Statesman!$B$38:$F$38</definedName>
    <definedName name="NY_FINANCIAL" localSheetId="82">'Summit National'!$B$38:$F$38</definedName>
    <definedName name="NY_FINANCIAL" localSheetId="83">Supreme!$B$38:$F$38</definedName>
    <definedName name="NY_FINANCIAL" localSheetId="97">'Total Summary'!$B$38:$F$38</definedName>
    <definedName name="NY_FINANCIAL" localSheetId="84">Underwriters!$B$38:$F$38</definedName>
    <definedName name="NY_FINANCIAL" localSheetId="85">Unison!$B$38:$F$38</definedName>
    <definedName name="NY_FINANCIAL" localSheetId="86">'United Republic'!$B$38:$F$38</definedName>
    <definedName name="NY_FINANCIAL" localSheetId="87">'Universal Health Care'!$B$38:$F$38</definedName>
    <definedName name="NY_FINANCIAL" localSheetId="88">'Universal Life'!$B$38:$F$38</definedName>
    <definedName name="NY_FINANCIAL" localSheetId="89">Universe!$B$38:$F$38</definedName>
    <definedName name="NY_FINANCIAL" localSheetId="90">Villanova!$B$38:$F$38</definedName>
    <definedName name="OH_FINANCIAL" localSheetId="0">'Alabama Life'!$B$41:$F$41</definedName>
    <definedName name="OH_FINANCIAL" localSheetId="5">'Amer Life Asr'!$B$41:$F$41</definedName>
    <definedName name="OH_FINANCIAL" localSheetId="7">'Amer Std Life Acc'!$B$41:$F$41</definedName>
    <definedName name="OH_FINANCIAL" localSheetId="1">'American Chambers'!$B$41:$F$41</definedName>
    <definedName name="OH_FINANCIAL" localSheetId="2">'American Community'!$B$41:$F$41</definedName>
    <definedName name="OH_FINANCIAL" localSheetId="3">'American Educators'!$B$41:$F$41</definedName>
    <definedName name="OH_FINANCIAL" localSheetId="4">'American Integrity'!$B$41:$F$41</definedName>
    <definedName name="OH_FINANCIAL" localSheetId="6">'American Network'!$B$41:$F$41</definedName>
    <definedName name="OH_FINANCIAL" localSheetId="8">AmerWstrn!$B$41:$F$41</definedName>
    <definedName name="OH_FINANCIAL" localSheetId="9">'AMS Life'!$B$41:$F$41</definedName>
    <definedName name="OH_FINANCIAL" localSheetId="10">'Andrew Jackson'!$B$41:$F$41</definedName>
    <definedName name="OH_FINANCIAL" localSheetId="11">'Bankers Commercial'!$B$41:$F$41</definedName>
    <definedName name="OH_FINANCIAL" localSheetId="12">Benicorp!$B$41:$F$41</definedName>
    <definedName name="OH_FINANCIAL" localSheetId="13">'Booker T Washington'!$B$41:$F$41</definedName>
    <definedName name="OH_FINANCIAL" localSheetId="14">Centennial!$B$41:$F$41</definedName>
    <definedName name="OH_FINANCIAL" localSheetId="15">'Coastal States'!$B$41:$F$41</definedName>
    <definedName name="OH_FINANCIAL" localSheetId="16">'Colorado Health'!$B$41:$F$41</definedName>
    <definedName name="OH_FINANCIAL" localSheetId="17">'Compass (dbs Meritus)'!$B$41:$F$41</definedName>
    <definedName name="OH_FINANCIAL" localSheetId="18">'Confed Life &amp; Annty (CLIAC)'!$B$41:$F$41</definedName>
    <definedName name="OH_FINANCIAL" localSheetId="19">'Confed Life (CLIC)'!$B$41:$F$41</definedName>
    <definedName name="OH_FINANCIAL" localSheetId="20">'Consolidated National'!$B$41:$F$41</definedName>
    <definedName name="OH_FINANCIAL" localSheetId="21">'Consumers Choice'!$B$41:$F$41</definedName>
    <definedName name="OH_FINANCIAL" localSheetId="22">'Consumers Mutual'!$B$41:$F$41</definedName>
    <definedName name="OH_FINANCIAL" localSheetId="23">'Consumers United'!$B$41:$F$41</definedName>
    <definedName name="OH_FINANCIAL" localSheetId="24">CoOportunity!$B$41:$F$41</definedName>
    <definedName name="OH_FINANCIAL" localSheetId="25">'Coordinated Hlth'!$B$41:$F$41</definedName>
    <definedName name="OH_FINANCIAL" localSheetId="26">'Corporate Life'!$B$41:$F$41</definedName>
    <definedName name="OH_FINANCIAL" localSheetId="27">'Diamond Benefits'!$B$41:$F$41</definedName>
    <definedName name="OH_FINANCIAL" localSheetId="28">'EBL Life'!$B$41:$F$41</definedName>
    <definedName name="OH_FINANCIAL" localSheetId="30">ELNY!$B$41:$F$41</definedName>
    <definedName name="OH_FINANCIAL" localSheetId="29">'Executive Life'!$B$41:$F$41</definedName>
    <definedName name="OH_FINANCIAL" localSheetId="31">'Family Guaranty'!$B$41:$F$41</definedName>
    <definedName name="OH_FINANCIAL" localSheetId="32">'Farmers &amp; Ranchers'!$B$41:$F$41</definedName>
    <definedName name="OH_FINANCIAL" localSheetId="33">'Fidelity Bankers'!$B$41:$F$41</definedName>
    <definedName name="OH_FINANCIAL" localSheetId="34">'Fidelity Mutual'!$B$41:$F$41</definedName>
    <definedName name="OH_FINANCIAL" localSheetId="35">'First Capital'!$B$41:$F$41</definedName>
    <definedName name="OH_FINANCIAL" localSheetId="36">'First Natl'!$B$41:$F$41</definedName>
    <definedName name="OH_FINANCIAL" localSheetId="37">'First Natl (Thrnr)'!$B$41:$F$41</definedName>
    <definedName name="OH_FINANCIAL" localSheetId="38">'Franklin American'!$B$41:$F$41</definedName>
    <definedName name="OH_FINANCIAL" localSheetId="39">'Franklin Protective'!$B$41:$F$41</definedName>
    <definedName name="OH_FINANCIAL" localSheetId="40">'Freelancers CO-OP'!$B$41:$F$41</definedName>
    <definedName name="OH_FINANCIAL" localSheetId="41">'George Washington'!$B$41:$F$41</definedName>
    <definedName name="OH_FINANCIAL" localSheetId="42">'Golden State'!$B$41:$F$41</definedName>
    <definedName name="OH_FINANCIAL" localSheetId="43">'Guarantee Security'!$B$41:$F$41</definedName>
    <definedName name="OH_FINANCIAL" localSheetId="44">HealthyCT!$B$41:$F$41</definedName>
    <definedName name="OH_FINANCIAL" localSheetId="45">Imerica!$B$41:$F$41</definedName>
    <definedName name="OH_FINANCIAL" localSheetId="46">'Inter-American'!$B$41:$F$41</definedName>
    <definedName name="OH_FINANCIAL" localSheetId="47">'International Fin'!$B$41:$F$41</definedName>
    <definedName name="OH_FINANCIAL" localSheetId="48">'Investment Life of America'!$B$41:$F$41</definedName>
    <definedName name="OH_FINANCIAL" localSheetId="49">'Investors Equity'!$B$41:$F$41</definedName>
    <definedName name="OH_FINANCIAL" localSheetId="50">'Kentucky Central'!$B$41:$F$41</definedName>
    <definedName name="OH_FINANCIAL" localSheetId="51">'Land of Lincoln'!$B$41:$F$41</definedName>
    <definedName name="OH_FINANCIAL" localSheetId="52">Legion!$B$41:$F$41</definedName>
    <definedName name="OH_FINANCIAL" localSheetId="53">'Life Health America'!$B$41:$F$41</definedName>
    <definedName name="OH_FINANCIAL" localSheetId="54">'Lincoln Memorial'!$B$41:$F$41</definedName>
    <definedName name="OH_FINANCIAL" localSheetId="55">'London Pac'!$B$41:$F$41</definedName>
    <definedName name="OH_FINANCIAL" localSheetId="56">Lumbermens!$B$41:$F$41</definedName>
    <definedName name="OH_FINANCIAL" localSheetId="57">'Medical Savings'!$B$41:$F$41</definedName>
    <definedName name="OH_FINANCIAL" localSheetId="58">'Memorial Service'!$B$41:$F$41</definedName>
    <definedName name="OH_FINANCIAL" localSheetId="59">Midcontinent!$B$41:$F$41</definedName>
    <definedName name="OH_FINANCIAL" localSheetId="60">'Midwest Life'!$B$41:$F$41</definedName>
    <definedName name="OH_FINANCIAL" localSheetId="61">'Monarch Life'!$B$41:$F$41</definedName>
    <definedName name="OH_FINANCIAL" localSheetId="62">'Mutual Benefit'!$B$41:$F$41</definedName>
    <definedName name="OH_FINANCIAL" localSheetId="63">'Mutual Security'!$B$41:$F$41</definedName>
    <definedName name="OH_FINANCIAL" localSheetId="64">'National Affiliated'!$B$41:$F$41</definedName>
    <definedName name="OH_FINANCIAL" localSheetId="66">'National Heritage'!$B$41:$F$41</definedName>
    <definedName name="OH_FINANCIAL" localSheetId="67">'National States'!$B$41:$F$41</definedName>
    <definedName name="OH_FINANCIAL" localSheetId="65">'Natl American'!$B$41:$F$41</definedName>
    <definedName name="OH_FINANCIAL" localSheetId="68">'New Jersey Life'!$B$41:$F$41</definedName>
    <definedName name="OH_FINANCIAL" localSheetId="69">NNIC!$B$41:$F$41</definedName>
    <definedName name="OH_FINANCIAL" localSheetId="70">'Old Colony Life'!$B$41:$F$41</definedName>
    <definedName name="OH_FINANCIAL" localSheetId="71">'Old Faithful'!$B$41:$F$41</definedName>
    <definedName name="OH_FINANCIAL" localSheetId="72">'Pacific Standard'!$B$41:$F$41</definedName>
    <definedName name="OH_FINANCIAL" localSheetId="73">'Pen  Treaty'!$B$41:$F$41</definedName>
    <definedName name="OH_FINANCIAL" localSheetId="74">Reliance!$B$41:$F$41</definedName>
    <definedName name="OH_FINANCIAL" localSheetId="75">SeeChange!$B$41:$F$41</definedName>
    <definedName name="OH_FINANCIAL" localSheetId="76">'Senior American'!$B$41:$F$41</definedName>
    <definedName name="OH_FINANCIAL" localSheetId="77">Settlers!$B$41:$F$41</definedName>
    <definedName name="OH_FINANCIAL" localSheetId="78">Shenandoah!$B$41:$F$41</definedName>
    <definedName name="OH_FINANCIAL" localSheetId="79">'Standard Life IN'!$B$41:$F$41</definedName>
    <definedName name="OH_FINANCIAL" localSheetId="80">'States General'!$B$41:$F$41</definedName>
    <definedName name="OH_FINANCIAL" localSheetId="81">Statesman!$B$41:$F$41</definedName>
    <definedName name="OH_FINANCIAL" localSheetId="82">'Summit National'!$B$41:$F$41</definedName>
    <definedName name="OH_FINANCIAL" localSheetId="83">Supreme!$B$41:$F$41</definedName>
    <definedName name="OH_FINANCIAL" localSheetId="97">'Total Summary'!$B$41:$F$41</definedName>
    <definedName name="OH_FINANCIAL" localSheetId="84">Underwriters!$B$41:$F$41</definedName>
    <definedName name="OH_FINANCIAL" localSheetId="85">Unison!$B$41:$F$41</definedName>
    <definedName name="OH_FINANCIAL" localSheetId="86">'United Republic'!$B$41:$F$41</definedName>
    <definedName name="OH_FINANCIAL" localSheetId="87">'Universal Health Care'!$B$41:$F$41</definedName>
    <definedName name="OH_FINANCIAL" localSheetId="88">'Universal Life'!$B$41:$F$41</definedName>
    <definedName name="OH_FINANCIAL" localSheetId="89">Universe!$B$41:$F$41</definedName>
    <definedName name="OH_FINANCIAL" localSheetId="90">Villanova!$B$41:$F$41</definedName>
    <definedName name="OK_FINANCIAL" localSheetId="0">'Alabama Life'!$B$42:$F$42</definedName>
    <definedName name="OK_FINANCIAL" localSheetId="5">'Amer Life Asr'!$B$42:$F$42</definedName>
    <definedName name="OK_FINANCIAL" localSheetId="7">'Amer Std Life Acc'!$B$42:$F$42</definedName>
    <definedName name="OK_FINANCIAL" localSheetId="1">'American Chambers'!$B$42:$F$42</definedName>
    <definedName name="OK_FINANCIAL" localSheetId="2">'American Community'!$B$42:$F$42</definedName>
    <definedName name="OK_FINANCIAL" localSheetId="3">'American Educators'!$B$42:$F$42</definedName>
    <definedName name="OK_FINANCIAL" localSheetId="4">'American Integrity'!$B$42:$F$42</definedName>
    <definedName name="OK_FINANCIAL" localSheetId="6">'American Network'!$B$42:$F$42</definedName>
    <definedName name="OK_FINANCIAL" localSheetId="8">AmerWstrn!$B$42:$F$42</definedName>
    <definedName name="OK_FINANCIAL" localSheetId="9">'AMS Life'!$B$42:$F$42</definedName>
    <definedName name="OK_FINANCIAL" localSheetId="10">'Andrew Jackson'!$B$42:$F$42</definedName>
    <definedName name="OK_FINANCIAL" localSheetId="11">'Bankers Commercial'!$B$42:$F$42</definedName>
    <definedName name="OK_FINANCIAL" localSheetId="12">Benicorp!$B$42:$F$42</definedName>
    <definedName name="OK_FINANCIAL" localSheetId="13">'Booker T Washington'!$B$42:$F$42</definedName>
    <definedName name="OK_FINANCIAL" localSheetId="14">Centennial!$B$42:$F$42</definedName>
    <definedName name="OK_FINANCIAL" localSheetId="15">'Coastal States'!$B$42:$F$42</definedName>
    <definedName name="OK_FINANCIAL" localSheetId="16">'Colorado Health'!$B$42:$F$42</definedName>
    <definedName name="OK_FINANCIAL" localSheetId="17">'Compass (dbs Meritus)'!$B$42:$F$42</definedName>
    <definedName name="OK_FINANCIAL" localSheetId="18">'Confed Life &amp; Annty (CLIAC)'!$B$42:$F$42</definedName>
    <definedName name="OK_FINANCIAL" localSheetId="19">'Confed Life (CLIC)'!$B$42:$F$42</definedName>
    <definedName name="OK_FINANCIAL" localSheetId="20">'Consolidated National'!$B$42:$F$42</definedName>
    <definedName name="OK_FINANCIAL" localSheetId="21">'Consumers Choice'!$B$42:$F$42</definedName>
    <definedName name="OK_FINANCIAL" localSheetId="22">'Consumers Mutual'!$B$42:$F$42</definedName>
    <definedName name="OK_FINANCIAL" localSheetId="23">'Consumers United'!$B$42:$F$42</definedName>
    <definedName name="OK_FINANCIAL" localSheetId="24">CoOportunity!$B$42:$F$42</definedName>
    <definedName name="OK_FINANCIAL" localSheetId="25">'Coordinated Hlth'!$B$42:$F$42</definedName>
    <definedName name="OK_FINANCIAL" localSheetId="26">'Corporate Life'!$B$42:$F$42</definedName>
    <definedName name="OK_FINANCIAL" localSheetId="27">'Diamond Benefits'!$B$42:$F$42</definedName>
    <definedName name="OK_FINANCIAL" localSheetId="28">'EBL Life'!$B$42:$F$42</definedName>
    <definedName name="OK_FINANCIAL" localSheetId="30">ELNY!$B$42:$F$42</definedName>
    <definedName name="OK_FINANCIAL" localSheetId="29">'Executive Life'!$B$42:$F$42</definedName>
    <definedName name="OK_FINANCIAL" localSheetId="31">'Family Guaranty'!$B$42:$F$42</definedName>
    <definedName name="OK_FINANCIAL" localSheetId="32">'Farmers &amp; Ranchers'!$B$42:$F$42</definedName>
    <definedName name="OK_FINANCIAL" localSheetId="33">'Fidelity Bankers'!$B$42:$F$42</definedName>
    <definedName name="OK_FINANCIAL" localSheetId="34">'Fidelity Mutual'!$B$42:$F$42</definedName>
    <definedName name="OK_FINANCIAL" localSheetId="35">'First Capital'!$B$42:$F$42</definedName>
    <definedName name="OK_FINANCIAL" localSheetId="36">'First Natl'!$B$42:$F$42</definedName>
    <definedName name="OK_FINANCIAL" localSheetId="37">'First Natl (Thrnr)'!$B$42:$F$42</definedName>
    <definedName name="OK_FINANCIAL" localSheetId="38">'Franklin American'!$B$42:$F$42</definedName>
    <definedName name="OK_FINANCIAL" localSheetId="39">'Franklin Protective'!$B$42:$F$42</definedName>
    <definedName name="OK_FINANCIAL" localSheetId="40">'Freelancers CO-OP'!$B$42:$F$42</definedName>
    <definedName name="OK_FINANCIAL" localSheetId="41">'George Washington'!$B$42:$F$42</definedName>
    <definedName name="OK_FINANCIAL" localSheetId="42">'Golden State'!$B$42:$F$42</definedName>
    <definedName name="OK_FINANCIAL" localSheetId="43">'Guarantee Security'!$B$42:$F$42</definedName>
    <definedName name="OK_FINANCIAL" localSheetId="44">HealthyCT!$B$42:$F$42</definedName>
    <definedName name="OK_FINANCIAL" localSheetId="45">Imerica!$B$42:$F$42</definedName>
    <definedName name="OK_FINANCIAL" localSheetId="46">'Inter-American'!$B$42:$F$42</definedName>
    <definedName name="OK_FINANCIAL" localSheetId="47">'International Fin'!$B$42:$F$42</definedName>
    <definedName name="OK_FINANCIAL" localSheetId="48">'Investment Life of America'!$B$42:$F$42</definedName>
    <definedName name="OK_FINANCIAL" localSheetId="49">'Investors Equity'!$B$42:$F$42</definedName>
    <definedName name="OK_FINANCIAL" localSheetId="50">'Kentucky Central'!$B$42:$F$42</definedName>
    <definedName name="OK_FINANCIAL" localSheetId="51">'Land of Lincoln'!$B$42:$F$42</definedName>
    <definedName name="OK_FINANCIAL" localSheetId="52">Legion!$B$42:$F$42</definedName>
    <definedName name="OK_FINANCIAL" localSheetId="53">'Life Health America'!$B$42:$F$42</definedName>
    <definedName name="OK_FINANCIAL" localSheetId="54">'Lincoln Memorial'!$B$42:$F$42</definedName>
    <definedName name="OK_FINANCIAL" localSheetId="55">'London Pac'!$B$42:$F$42</definedName>
    <definedName name="OK_FINANCIAL" localSheetId="56">Lumbermens!$B$42:$F$42</definedName>
    <definedName name="OK_FINANCIAL" localSheetId="57">'Medical Savings'!$B$42:$F$42</definedName>
    <definedName name="OK_FINANCIAL" localSheetId="58">'Memorial Service'!$B$42:$F$42</definedName>
    <definedName name="OK_FINANCIAL" localSheetId="59">Midcontinent!$B$42:$F$42</definedName>
    <definedName name="OK_FINANCIAL" localSheetId="60">'Midwest Life'!$B$42:$F$42</definedName>
    <definedName name="OK_FINANCIAL" localSheetId="61">'Monarch Life'!$B$42:$F$42</definedName>
    <definedName name="OK_FINANCIAL" localSheetId="62">'Mutual Benefit'!$B$42:$F$42</definedName>
    <definedName name="OK_FINANCIAL" localSheetId="63">'Mutual Security'!$B$42:$F$42</definedName>
    <definedName name="OK_FINANCIAL" localSheetId="64">'National Affiliated'!$B$42:$F$42</definedName>
    <definedName name="OK_FINANCIAL" localSheetId="66">'National Heritage'!$B$42:$F$42</definedName>
    <definedName name="OK_FINANCIAL" localSheetId="67">'National States'!$B$42:$F$42</definedName>
    <definedName name="OK_FINANCIAL" localSheetId="65">'Natl American'!$B$42:$F$42</definedName>
    <definedName name="OK_FINANCIAL" localSheetId="68">'New Jersey Life'!$B$42:$F$42</definedName>
    <definedName name="OK_FINANCIAL" localSheetId="69">NNIC!$B$42:$F$42</definedName>
    <definedName name="OK_FINANCIAL" localSheetId="70">'Old Colony Life'!$B$42:$F$42</definedName>
    <definedName name="OK_FINANCIAL" localSheetId="71">'Old Faithful'!$B$42:$F$42</definedName>
    <definedName name="OK_FINANCIAL" localSheetId="72">'Pacific Standard'!$B$42:$F$42</definedName>
    <definedName name="OK_FINANCIAL" localSheetId="73">'Pen  Treaty'!$B$42:$F$42</definedName>
    <definedName name="OK_FINANCIAL" localSheetId="74">Reliance!$B$42:$F$42</definedName>
    <definedName name="OK_FINANCIAL" localSheetId="75">SeeChange!$B$42:$F$42</definedName>
    <definedName name="OK_FINANCIAL" localSheetId="76">'Senior American'!$B$42:$F$42</definedName>
    <definedName name="OK_FINANCIAL" localSheetId="77">Settlers!$B$42:$F$42</definedName>
    <definedName name="OK_FINANCIAL" localSheetId="78">Shenandoah!$B$42:$F$42</definedName>
    <definedName name="OK_FINANCIAL" localSheetId="79">'Standard Life IN'!$B$42:$F$42</definedName>
    <definedName name="OK_FINANCIAL" localSheetId="80">'States General'!$B$42:$F$42</definedName>
    <definedName name="OK_FINANCIAL" localSheetId="81">Statesman!$B$42:$F$42</definedName>
    <definedName name="OK_FINANCIAL" localSheetId="82">'Summit National'!$B$42:$F$42</definedName>
    <definedName name="OK_FINANCIAL" localSheetId="83">Supreme!$B$42:$F$42</definedName>
    <definedName name="OK_FINANCIAL" localSheetId="97">'Total Summary'!$B$42:$F$42</definedName>
    <definedName name="OK_FINANCIAL" localSheetId="84">Underwriters!$B$42:$F$42</definedName>
    <definedName name="OK_FINANCIAL" localSheetId="85">Unison!$B$42:$F$42</definedName>
    <definedName name="OK_FINANCIAL" localSheetId="86">'United Republic'!$B$42:$F$42</definedName>
    <definedName name="OK_FINANCIAL" localSheetId="87">'Universal Health Care'!$B$42:$F$42</definedName>
    <definedName name="OK_FINANCIAL" localSheetId="88">'Universal Life'!$B$42:$F$42</definedName>
    <definedName name="OK_FINANCIAL" localSheetId="89">Universe!$B$42:$F$42</definedName>
    <definedName name="OK_FINANCIAL" localSheetId="90">Villanova!$B$42:$F$42</definedName>
    <definedName name="OP_ALLOC_CALLED" localSheetId="91">Summary!$V$11:$V$20</definedName>
    <definedName name="OP_ALLOC_REFUNDED" localSheetId="91">Summary!$W$11:$W$20</definedName>
    <definedName name="OP_ALLOCATED" localSheetId="91">Summary!$I$11:$I$20</definedName>
    <definedName name="OP_CHANGE" localSheetId="91">Summary!$P$11:$P$20</definedName>
    <definedName name="OP_HEALTH" localSheetId="91">Summary!$J$11:$J$20</definedName>
    <definedName name="OP_HEALTH_CALLED" localSheetId="91">Summary!$Y$11:$Y$20</definedName>
    <definedName name="OP_HEALTH_REFUNDED" localSheetId="91">Summary!$Z$11:$Z$20</definedName>
    <definedName name="OP_LIFE" localSheetId="91">Summary!$H$11:$H$20</definedName>
    <definedName name="OP_LIFE_CALLED" localSheetId="91">Summary!$S$11:$S$20</definedName>
    <definedName name="OP_LIFE_REFUNDED" localSheetId="91">Summary!$T$11:$T$20</definedName>
    <definedName name="OP_LTC" localSheetId="91">Summary!$L$11:$L$20</definedName>
    <definedName name="OP_RECON" localSheetId="91">Summary!$N$11:$N$20</definedName>
    <definedName name="OP_TOTAL" localSheetId="91">Summary!$M$11:$M$20</definedName>
    <definedName name="OP_TOTAL_PREV" localSheetId="91">Summary!$O$11:$O$20</definedName>
    <definedName name="OP_UNALLOC_CALLED" localSheetId="91">Summary!$AB$11:$AB$20</definedName>
    <definedName name="OP_UNALLOC_REFUNDED" localSheetId="91">Summary!$AC$11:$AC$20</definedName>
    <definedName name="OP_UNALLOCATED" localSheetId="91">Summary!$K$11:$K$20</definedName>
    <definedName name="OR_FINANCIAL" localSheetId="0">'Alabama Life'!$B$43:$F$43</definedName>
    <definedName name="OR_FINANCIAL" localSheetId="5">'Amer Life Asr'!$B$43:$F$43</definedName>
    <definedName name="OR_FINANCIAL" localSheetId="7">'Amer Std Life Acc'!$B$43:$F$43</definedName>
    <definedName name="OR_FINANCIAL" localSheetId="1">'American Chambers'!$B$43:$F$43</definedName>
    <definedName name="OR_FINANCIAL" localSheetId="2">'American Community'!$B$43:$F$43</definedName>
    <definedName name="OR_FINANCIAL" localSheetId="3">'American Educators'!$B$43:$F$43</definedName>
    <definedName name="OR_FINANCIAL" localSheetId="4">'American Integrity'!$B$43:$F$43</definedName>
    <definedName name="OR_FINANCIAL" localSheetId="6">'American Network'!$B$43:$F$43</definedName>
    <definedName name="OR_FINANCIAL" localSheetId="8">AmerWstrn!$B$43:$F$43</definedName>
    <definedName name="OR_FINANCIAL" localSheetId="9">'AMS Life'!$B$43:$F$43</definedName>
    <definedName name="OR_FINANCIAL" localSheetId="10">'Andrew Jackson'!$B$43:$F$43</definedName>
    <definedName name="OR_FINANCIAL" localSheetId="11">'Bankers Commercial'!$B$43:$F$43</definedName>
    <definedName name="OR_FINANCIAL" localSheetId="12">Benicorp!$B$43:$F$43</definedName>
    <definedName name="OR_FINANCIAL" localSheetId="13">'Booker T Washington'!$B$43:$F$43</definedName>
    <definedName name="OR_FINANCIAL" localSheetId="14">Centennial!$B$43:$F$43</definedName>
    <definedName name="OR_FINANCIAL" localSheetId="15">'Coastal States'!$B$43:$F$43</definedName>
    <definedName name="OR_FINANCIAL" localSheetId="16">'Colorado Health'!$B$43:$F$43</definedName>
    <definedName name="OR_FINANCIAL" localSheetId="17">'Compass (dbs Meritus)'!$B$43:$F$43</definedName>
    <definedName name="OR_FINANCIAL" localSheetId="18">'Confed Life &amp; Annty (CLIAC)'!$B$43:$F$43</definedName>
    <definedName name="OR_FINANCIAL" localSheetId="19">'Confed Life (CLIC)'!$B$43:$F$43</definedName>
    <definedName name="OR_FINANCIAL" localSheetId="20">'Consolidated National'!$B$43:$F$43</definedName>
    <definedName name="OR_FINANCIAL" localSheetId="21">'Consumers Choice'!$B$43:$F$43</definedName>
    <definedName name="OR_FINANCIAL" localSheetId="22">'Consumers Mutual'!$B$43:$F$43</definedName>
    <definedName name="OR_FINANCIAL" localSheetId="23">'Consumers United'!$B$43:$F$43</definedName>
    <definedName name="OR_FINANCIAL" localSheetId="24">CoOportunity!$B$43:$F$43</definedName>
    <definedName name="OR_FINANCIAL" localSheetId="25">'Coordinated Hlth'!$B$43:$F$43</definedName>
    <definedName name="OR_FINANCIAL" localSheetId="26">'Corporate Life'!$B$43:$F$43</definedName>
    <definedName name="OR_FINANCIAL" localSheetId="27">'Diamond Benefits'!$B$43:$F$43</definedName>
    <definedName name="OR_FINANCIAL" localSheetId="28">'EBL Life'!$B$43:$F$43</definedName>
    <definedName name="OR_FINANCIAL" localSheetId="30">ELNY!$B$43:$F$43</definedName>
    <definedName name="OR_FINANCIAL" localSheetId="29">'Executive Life'!$B$43:$F$43</definedName>
    <definedName name="OR_FINANCIAL" localSheetId="31">'Family Guaranty'!$B$43:$F$43</definedName>
    <definedName name="OR_FINANCIAL" localSheetId="32">'Farmers &amp; Ranchers'!$B$43:$F$43</definedName>
    <definedName name="OR_FINANCIAL" localSheetId="33">'Fidelity Bankers'!$B$43:$F$43</definedName>
    <definedName name="OR_FINANCIAL" localSheetId="34">'Fidelity Mutual'!$B$43:$F$43</definedName>
    <definedName name="OR_FINANCIAL" localSheetId="35">'First Capital'!$B$43:$F$43</definedName>
    <definedName name="OR_FINANCIAL" localSheetId="36">'First Natl'!$B$43:$F$43</definedName>
    <definedName name="OR_FINANCIAL" localSheetId="37">'First Natl (Thrnr)'!$B$43:$F$43</definedName>
    <definedName name="OR_FINANCIAL" localSheetId="38">'Franklin American'!$B$43:$F$43</definedName>
    <definedName name="OR_FINANCIAL" localSheetId="39">'Franklin Protective'!$B$43:$F$43</definedName>
    <definedName name="OR_FINANCIAL" localSheetId="40">'Freelancers CO-OP'!$B$43:$F$43</definedName>
    <definedName name="OR_FINANCIAL" localSheetId="41">'George Washington'!$B$43:$F$43</definedName>
    <definedName name="OR_FINANCIAL" localSheetId="42">'Golden State'!$B$43:$F$43</definedName>
    <definedName name="OR_FINANCIAL" localSheetId="43">'Guarantee Security'!$B$43:$F$43</definedName>
    <definedName name="OR_FINANCIAL" localSheetId="44">HealthyCT!$B$43:$F$43</definedName>
    <definedName name="OR_FINANCIAL" localSheetId="45">Imerica!$B$43:$F$43</definedName>
    <definedName name="OR_FINANCIAL" localSheetId="46">'Inter-American'!$B$43:$F$43</definedName>
    <definedName name="OR_FINANCIAL" localSheetId="47">'International Fin'!$B$43:$F$43</definedName>
    <definedName name="OR_FINANCIAL" localSheetId="48">'Investment Life of America'!$B$43:$F$43</definedName>
    <definedName name="OR_FINANCIAL" localSheetId="49">'Investors Equity'!$B$43:$F$43</definedName>
    <definedName name="OR_FINANCIAL" localSheetId="50">'Kentucky Central'!$B$43:$F$43</definedName>
    <definedName name="OR_FINANCIAL" localSheetId="51">'Land of Lincoln'!$B$43:$F$43</definedName>
    <definedName name="OR_FINANCIAL" localSheetId="52">Legion!$B$43:$F$43</definedName>
    <definedName name="OR_FINANCIAL" localSheetId="53">'Life Health America'!$B$43:$F$43</definedName>
    <definedName name="OR_FINANCIAL" localSheetId="54">'Lincoln Memorial'!$B$43:$F$43</definedName>
    <definedName name="OR_FINANCIAL" localSheetId="55">'London Pac'!$B$43:$F$43</definedName>
    <definedName name="OR_FINANCIAL" localSheetId="56">Lumbermens!$B$43:$F$43</definedName>
    <definedName name="OR_FINANCIAL" localSheetId="57">'Medical Savings'!$B$43:$F$43</definedName>
    <definedName name="OR_FINANCIAL" localSheetId="58">'Memorial Service'!$B$43:$F$43</definedName>
    <definedName name="OR_FINANCIAL" localSheetId="59">Midcontinent!$B$43:$F$43</definedName>
    <definedName name="OR_FINANCIAL" localSheetId="60">'Midwest Life'!$B$43:$F$43</definedName>
    <definedName name="OR_FINANCIAL" localSheetId="61">'Monarch Life'!$B$43:$F$43</definedName>
    <definedName name="OR_FINANCIAL" localSheetId="62">'Mutual Benefit'!$B$43:$F$43</definedName>
    <definedName name="OR_FINANCIAL" localSheetId="63">'Mutual Security'!$B$43:$F$43</definedName>
    <definedName name="OR_FINANCIAL" localSheetId="64">'National Affiliated'!$B$43:$F$43</definedName>
    <definedName name="OR_FINANCIAL" localSheetId="66">'National Heritage'!$B$43:$F$43</definedName>
    <definedName name="OR_FINANCIAL" localSheetId="67">'National States'!$B$43:$F$43</definedName>
    <definedName name="OR_FINANCIAL" localSheetId="65">'Natl American'!$B$43:$F$43</definedName>
    <definedName name="OR_FINANCIAL" localSheetId="68">'New Jersey Life'!$B$43:$F$43</definedName>
    <definedName name="OR_FINANCIAL" localSheetId="69">NNIC!$B$43:$F$43</definedName>
    <definedName name="OR_FINANCIAL" localSheetId="70">'Old Colony Life'!$B$43:$F$43</definedName>
    <definedName name="OR_FINANCIAL" localSheetId="71">'Old Faithful'!$B$43:$F$43</definedName>
    <definedName name="OR_FINANCIAL" localSheetId="72">'Pacific Standard'!$B$43:$F$43</definedName>
    <definedName name="OR_FINANCIAL" localSheetId="73">'Pen  Treaty'!$B$43:$F$43</definedName>
    <definedName name="OR_FINANCIAL" localSheetId="74">Reliance!$B$43:$F$43</definedName>
    <definedName name="OR_FINANCIAL" localSheetId="75">SeeChange!$B$43:$F$43</definedName>
    <definedName name="OR_FINANCIAL" localSheetId="76">'Senior American'!$B$43:$F$43</definedName>
    <definedName name="OR_FINANCIAL" localSheetId="77">Settlers!$B$43:$F$43</definedName>
    <definedName name="OR_FINANCIAL" localSheetId="78">Shenandoah!$B$43:$F$43</definedName>
    <definedName name="OR_FINANCIAL" localSheetId="79">'Standard Life IN'!$B$43:$F$43</definedName>
    <definedName name="OR_FINANCIAL" localSheetId="80">'States General'!$B$43:$F$43</definedName>
    <definedName name="OR_FINANCIAL" localSheetId="81">Statesman!$B$43:$F$43</definedName>
    <definedName name="OR_FINANCIAL" localSheetId="82">'Summit National'!$B$43:$F$43</definedName>
    <definedName name="OR_FINANCIAL" localSheetId="83">Supreme!$B$43:$F$43</definedName>
    <definedName name="OR_FINANCIAL" localSheetId="97">'Total Summary'!$B$43:$F$43</definedName>
    <definedName name="OR_FINANCIAL" localSheetId="84">Underwriters!$B$43:$F$43</definedName>
    <definedName name="OR_FINANCIAL" localSheetId="85">Unison!$B$43:$F$43</definedName>
    <definedName name="OR_FINANCIAL" localSheetId="86">'United Republic'!$B$43:$F$43</definedName>
    <definedName name="OR_FINANCIAL" localSheetId="87">'Universal Health Care'!$B$43:$F$43</definedName>
    <definedName name="OR_FINANCIAL" localSheetId="88">'Universal Life'!$B$43:$F$43</definedName>
    <definedName name="OR_FINANCIAL" localSheetId="89">Universe!$B$43:$F$43</definedName>
    <definedName name="OR_FINANCIAL" localSheetId="90">Villanova!$B$43:$F$43</definedName>
    <definedName name="OT_FINANCIAL" localSheetId="0">'Alabama Life'!$B$58:$F$58</definedName>
    <definedName name="OT_FINANCIAL" localSheetId="5">'Amer Life Asr'!$B$58:$F$58</definedName>
    <definedName name="OT_FINANCIAL" localSheetId="7">'Amer Std Life Acc'!$B$58:$F$58</definedName>
    <definedName name="OT_FINANCIAL" localSheetId="1">'American Chambers'!$B$58:$F$58</definedName>
    <definedName name="OT_FINANCIAL" localSheetId="2">'American Community'!$B$58:$F$58</definedName>
    <definedName name="OT_FINANCIAL" localSheetId="3">'American Educators'!$B$58:$F$58</definedName>
    <definedName name="OT_FINANCIAL" localSheetId="4">'American Integrity'!$B$58:$F$58</definedName>
    <definedName name="OT_FINANCIAL" localSheetId="6">'American Network'!$B$58:$F$58</definedName>
    <definedName name="OT_FINANCIAL" localSheetId="8">AmerWstrn!$B$58:$F$58</definedName>
    <definedName name="OT_FINANCIAL" localSheetId="9">'AMS Life'!$B$58:$F$58</definedName>
    <definedName name="OT_FINANCIAL" localSheetId="10">'Andrew Jackson'!$B$58:$F$58</definedName>
    <definedName name="OT_FINANCIAL" localSheetId="11">'Bankers Commercial'!$B$58:$F$58</definedName>
    <definedName name="OT_FINANCIAL" localSheetId="12">Benicorp!$B$58:$F$58</definedName>
    <definedName name="OT_FINANCIAL" localSheetId="13">'Booker T Washington'!$B$58:$F$58</definedName>
    <definedName name="OT_FINANCIAL" localSheetId="14">Centennial!$B$58:$F$58</definedName>
    <definedName name="OT_FINANCIAL" localSheetId="15">'Coastal States'!$B$58:$F$58</definedName>
    <definedName name="OT_FINANCIAL" localSheetId="16">'Colorado Health'!$B$58:$F$58</definedName>
    <definedName name="OT_FINANCIAL" localSheetId="17">'Compass (dbs Meritus)'!$B$58:$F$58</definedName>
    <definedName name="OT_FINANCIAL" localSheetId="18">'Confed Life &amp; Annty (CLIAC)'!$B$58:$F$58</definedName>
    <definedName name="OT_FINANCIAL" localSheetId="19">'Confed Life (CLIC)'!$B$58:$F$58</definedName>
    <definedName name="OT_FINANCIAL" localSheetId="20">'Consolidated National'!$B$58:$F$58</definedName>
    <definedName name="OT_FINANCIAL" localSheetId="21">'Consumers Choice'!$B$58:$F$58</definedName>
    <definedName name="OT_FINANCIAL" localSheetId="22">'Consumers Mutual'!$B$58:$F$58</definedName>
    <definedName name="OT_FINANCIAL" localSheetId="23">'Consumers United'!$B$58:$F$58</definedName>
    <definedName name="OT_FINANCIAL" localSheetId="24">CoOportunity!$B$58:$F$58</definedName>
    <definedName name="OT_FINANCIAL" localSheetId="25">'Coordinated Hlth'!$B$58:$F$58</definedName>
    <definedName name="OT_FINANCIAL" localSheetId="26">'Corporate Life'!$B$58:$F$58</definedName>
    <definedName name="OT_FINANCIAL" localSheetId="27">'Diamond Benefits'!$B$58:$F$58</definedName>
    <definedName name="OT_FINANCIAL" localSheetId="28">'EBL Life'!$B$58:$F$58</definedName>
    <definedName name="OT_FINANCIAL" localSheetId="30">ELNY!$B$58:$F$58</definedName>
    <definedName name="OT_FINANCIAL" localSheetId="29">'Executive Life'!$B$58:$F$58</definedName>
    <definedName name="OT_FINANCIAL" localSheetId="31">'Family Guaranty'!$B$58:$F$58</definedName>
    <definedName name="OT_FINANCIAL" localSheetId="32">'Farmers &amp; Ranchers'!$B$58:$F$58</definedName>
    <definedName name="OT_FINANCIAL" localSheetId="33">'Fidelity Bankers'!$B$58:$F$58</definedName>
    <definedName name="OT_FINANCIAL" localSheetId="34">'Fidelity Mutual'!$B$58:$F$58</definedName>
    <definedName name="OT_FINANCIAL" localSheetId="35">'First Capital'!$B$58:$F$58</definedName>
    <definedName name="OT_FINANCIAL" localSheetId="36">'First Natl'!$B$58:$F$58</definedName>
    <definedName name="OT_FINANCIAL" localSheetId="37">'First Natl (Thrnr)'!$B$58:$F$58</definedName>
    <definedName name="OT_FINANCIAL" localSheetId="38">'Franklin American'!$B$58:$F$58</definedName>
    <definedName name="OT_FINANCIAL" localSheetId="39">'Franklin Protective'!$B$58:$F$58</definedName>
    <definedName name="OT_FINANCIAL" localSheetId="40">'Freelancers CO-OP'!$B$58:$F$58</definedName>
    <definedName name="OT_FINANCIAL" localSheetId="41">'George Washington'!$B$58:$F$58</definedName>
    <definedName name="OT_FINANCIAL" localSheetId="42">'Golden State'!$B$58:$F$58</definedName>
    <definedName name="OT_FINANCIAL" localSheetId="43">'Guarantee Security'!$B$58:$F$58</definedName>
    <definedName name="OT_FINANCIAL" localSheetId="44">HealthyCT!$B$58:$F$58</definedName>
    <definedName name="OT_FINANCIAL" localSheetId="45">Imerica!$B$58:$F$58</definedName>
    <definedName name="OT_FINANCIAL" localSheetId="46">'Inter-American'!$B$58:$F$58</definedName>
    <definedName name="OT_FINANCIAL" localSheetId="47">'International Fin'!$B$58:$F$58</definedName>
    <definedName name="OT_FINANCIAL" localSheetId="48">'Investment Life of America'!$B$58:$F$58</definedName>
    <definedName name="OT_FINANCIAL" localSheetId="49">'Investors Equity'!$B$58:$F$58</definedName>
    <definedName name="OT_FINANCIAL" localSheetId="50">'Kentucky Central'!$B$58:$F$58</definedName>
    <definedName name="OT_FINANCIAL" localSheetId="51">'Land of Lincoln'!$B$58:$F$58</definedName>
    <definedName name="OT_FINANCIAL" localSheetId="52">Legion!$B$58:$F$58</definedName>
    <definedName name="OT_FINANCIAL" localSheetId="53">'Life Health America'!$B$58:$F$58</definedName>
    <definedName name="OT_FINANCIAL" localSheetId="54">'Lincoln Memorial'!$B$58:$F$58</definedName>
    <definedName name="OT_FINANCIAL" localSheetId="55">'London Pac'!$B$58:$F$58</definedName>
    <definedName name="OT_FINANCIAL" localSheetId="56">Lumbermens!$B$58:$F$58</definedName>
    <definedName name="OT_FINANCIAL" localSheetId="57">'Medical Savings'!$B$58:$F$58</definedName>
    <definedName name="OT_FINANCIAL" localSheetId="58">'Memorial Service'!$B$58:$F$58</definedName>
    <definedName name="OT_FINANCIAL" localSheetId="59">Midcontinent!$B$58:$F$58</definedName>
    <definedName name="OT_FINANCIAL" localSheetId="60">'Midwest Life'!$B$58:$F$58</definedName>
    <definedName name="OT_FINANCIAL" localSheetId="61">'Monarch Life'!$B$58:$F$58</definedName>
    <definedName name="OT_FINANCIAL" localSheetId="62">'Mutual Benefit'!$B$58:$F$58</definedName>
    <definedName name="OT_FINANCIAL" localSheetId="63">'Mutual Security'!$B$58:$F$58</definedName>
    <definedName name="OT_FINANCIAL" localSheetId="64">'National Affiliated'!$B$58:$F$58</definedName>
    <definedName name="OT_FINANCIAL" localSheetId="66">'National Heritage'!$B$58:$F$58</definedName>
    <definedName name="OT_FINANCIAL" localSheetId="67">'National States'!$B$58:$F$58</definedName>
    <definedName name="OT_FINANCIAL" localSheetId="65">'Natl American'!$B$58:$F$58</definedName>
    <definedName name="OT_FINANCIAL" localSheetId="68">'New Jersey Life'!$B$58:$F$58</definedName>
    <definedName name="OT_FINANCIAL" localSheetId="69">NNIC!$B$58:$F$58</definedName>
    <definedName name="OT_FINANCIAL" localSheetId="70">'Old Colony Life'!$B$58:$F$58</definedName>
    <definedName name="OT_FINANCIAL" localSheetId="71">'Old Faithful'!$B$58:$F$58</definedName>
    <definedName name="OT_FINANCIAL" localSheetId="72">'Pacific Standard'!$B$58:$F$58</definedName>
    <definedName name="OT_FINANCIAL" localSheetId="73">'Pen  Treaty'!$B$58:$F$58</definedName>
    <definedName name="OT_FINANCIAL" localSheetId="74">Reliance!$B$58:$F$58</definedName>
    <definedName name="OT_FINANCIAL" localSheetId="75">SeeChange!$B$58:$F$58</definedName>
    <definedName name="OT_FINANCIAL" localSheetId="76">'Senior American'!$B$58:$F$58</definedName>
    <definedName name="OT_FINANCIAL" localSheetId="77">Settlers!$B$58:$F$58</definedName>
    <definedName name="OT_FINANCIAL" localSheetId="78">Shenandoah!$B$58:$F$58</definedName>
    <definedName name="OT_FINANCIAL" localSheetId="79">'Standard Life IN'!$B$58:$F$58</definedName>
    <definedName name="OT_FINANCIAL" localSheetId="80">'States General'!$B$58:$F$58</definedName>
    <definedName name="OT_FINANCIAL" localSheetId="81">Statesman!$B$58:$F$58</definedName>
    <definedName name="OT_FINANCIAL" localSheetId="82">'Summit National'!$B$58:$F$58</definedName>
    <definedName name="OT_FINANCIAL" localSheetId="83">Supreme!$B$58:$F$58</definedName>
    <definedName name="OT_FINANCIAL" localSheetId="97">'Total Summary'!$B$58:$F$58</definedName>
    <definedName name="OT_FINANCIAL" localSheetId="84">Underwriters!$B$58:$F$58</definedName>
    <definedName name="OT_FINANCIAL" localSheetId="85">Unison!$B$58:$F$58</definedName>
    <definedName name="OT_FINANCIAL" localSheetId="86">'United Republic'!$B$58:$F$58</definedName>
    <definedName name="OT_FINANCIAL" localSheetId="87">'Universal Health Care'!$B$58:$F$58</definedName>
    <definedName name="OT_FINANCIAL" localSheetId="88">'Universal Life'!$B$58:$F$58</definedName>
    <definedName name="OT_FINANCIAL" localSheetId="89">Universe!$B$58:$F$58</definedName>
    <definedName name="OT_FINANCIAL" localSheetId="90">Villanova!$B$58:$F$58</definedName>
    <definedName name="PA_FINANCIAL" localSheetId="0">'Alabama Life'!$B$44:$F$44</definedName>
    <definedName name="PA_FINANCIAL" localSheetId="5">'Amer Life Asr'!$B$44:$F$44</definedName>
    <definedName name="PA_FINANCIAL" localSheetId="7">'Amer Std Life Acc'!$B$44:$F$44</definedName>
    <definedName name="PA_FINANCIAL" localSheetId="1">'American Chambers'!$B$44:$F$44</definedName>
    <definedName name="PA_FINANCIAL" localSheetId="2">'American Community'!$B$44:$F$44</definedName>
    <definedName name="PA_FINANCIAL" localSheetId="3">'American Educators'!$B$44:$F$44</definedName>
    <definedName name="PA_FINANCIAL" localSheetId="4">'American Integrity'!$B$44:$F$44</definedName>
    <definedName name="PA_FINANCIAL" localSheetId="6">'American Network'!$B$44:$F$44</definedName>
    <definedName name="PA_FINANCIAL" localSheetId="8">AmerWstrn!$B$44:$F$44</definedName>
    <definedName name="PA_FINANCIAL" localSheetId="9">'AMS Life'!$B$44:$F$44</definedName>
    <definedName name="PA_FINANCIAL" localSheetId="10">'Andrew Jackson'!$B$44:$F$44</definedName>
    <definedName name="PA_FINANCIAL" localSheetId="11">'Bankers Commercial'!$B$44:$F$44</definedName>
    <definedName name="PA_FINANCIAL" localSheetId="12">Benicorp!$B$44:$F$44</definedName>
    <definedName name="PA_FINANCIAL" localSheetId="13">'Booker T Washington'!$B$44:$F$44</definedName>
    <definedName name="PA_FINANCIAL" localSheetId="14">Centennial!$B$44:$F$44</definedName>
    <definedName name="PA_FINANCIAL" localSheetId="15">'Coastal States'!$B$44:$F$44</definedName>
    <definedName name="PA_FINANCIAL" localSheetId="16">'Colorado Health'!$B$44:$F$44</definedName>
    <definedName name="PA_FINANCIAL" localSheetId="17">'Compass (dbs Meritus)'!$B$44:$F$44</definedName>
    <definedName name="PA_FINANCIAL" localSheetId="18">'Confed Life &amp; Annty (CLIAC)'!$B$44:$F$44</definedName>
    <definedName name="PA_FINANCIAL" localSheetId="19">'Confed Life (CLIC)'!$B$44:$F$44</definedName>
    <definedName name="PA_FINANCIAL" localSheetId="20">'Consolidated National'!$B$44:$F$44</definedName>
    <definedName name="PA_FINANCIAL" localSheetId="21">'Consumers Choice'!$B$44:$F$44</definedName>
    <definedName name="PA_FINANCIAL" localSheetId="22">'Consumers Mutual'!$B$44:$F$44</definedName>
    <definedName name="PA_FINANCIAL" localSheetId="23">'Consumers United'!$B$44:$F$44</definedName>
    <definedName name="PA_FINANCIAL" localSheetId="24">CoOportunity!$B$44:$F$44</definedName>
    <definedName name="PA_FINANCIAL" localSheetId="25">'Coordinated Hlth'!$B$44:$F$44</definedName>
    <definedName name="PA_FINANCIAL" localSheetId="26">'Corporate Life'!$B$44:$F$44</definedName>
    <definedName name="PA_FINANCIAL" localSheetId="27">'Diamond Benefits'!$B$44:$F$44</definedName>
    <definedName name="PA_FINANCIAL" localSheetId="28">'EBL Life'!$B$44:$F$44</definedName>
    <definedName name="PA_FINANCIAL" localSheetId="30">ELNY!$B$44:$F$44</definedName>
    <definedName name="PA_FINANCIAL" localSheetId="29">'Executive Life'!$B$44:$F$44</definedName>
    <definedName name="PA_FINANCIAL" localSheetId="31">'Family Guaranty'!$B$44:$F$44</definedName>
    <definedName name="PA_FINANCIAL" localSheetId="32">'Farmers &amp; Ranchers'!$B$44:$F$44</definedName>
    <definedName name="PA_FINANCIAL" localSheetId="33">'Fidelity Bankers'!$B$44:$F$44</definedName>
    <definedName name="PA_FINANCIAL" localSheetId="34">'Fidelity Mutual'!$B$44:$F$44</definedName>
    <definedName name="PA_FINANCIAL" localSheetId="35">'First Capital'!$B$44:$F$44</definedName>
    <definedName name="PA_FINANCIAL" localSheetId="36">'First Natl'!$B$44:$F$44</definedName>
    <definedName name="PA_FINANCIAL" localSheetId="37">'First Natl (Thrnr)'!$B$44:$F$44</definedName>
    <definedName name="PA_FINANCIAL" localSheetId="38">'Franklin American'!$B$44:$F$44</definedName>
    <definedName name="PA_FINANCIAL" localSheetId="39">'Franklin Protective'!$B$44:$F$44</definedName>
    <definedName name="PA_FINANCIAL" localSheetId="40">'Freelancers CO-OP'!$B$44:$F$44</definedName>
    <definedName name="PA_FINANCIAL" localSheetId="41">'George Washington'!$B$44:$F$44</definedName>
    <definedName name="PA_FINANCIAL" localSheetId="42">'Golden State'!$B$44:$F$44</definedName>
    <definedName name="PA_FINANCIAL" localSheetId="43">'Guarantee Security'!$B$44:$F$44</definedName>
    <definedName name="PA_FINANCIAL" localSheetId="44">HealthyCT!$B$44:$F$44</definedName>
    <definedName name="PA_FINANCIAL" localSheetId="45">Imerica!$B$44:$F$44</definedName>
    <definedName name="PA_FINANCIAL" localSheetId="46">'Inter-American'!$B$44:$F$44</definedName>
    <definedName name="PA_FINANCIAL" localSheetId="47">'International Fin'!$B$44:$F$44</definedName>
    <definedName name="PA_FINANCIAL" localSheetId="48">'Investment Life of America'!$B$44:$F$44</definedName>
    <definedName name="PA_FINANCIAL" localSheetId="49">'Investors Equity'!$B$44:$F$44</definedName>
    <definedName name="PA_FINANCIAL" localSheetId="50">'Kentucky Central'!$B$44:$F$44</definedName>
    <definedName name="PA_FINANCIAL" localSheetId="51">'Land of Lincoln'!$B$44:$F$44</definedName>
    <definedName name="PA_FINANCIAL" localSheetId="52">Legion!$B$44:$F$44</definedName>
    <definedName name="PA_FINANCIAL" localSheetId="53">'Life Health America'!$B$44:$F$44</definedName>
    <definedName name="PA_FINANCIAL" localSheetId="54">'Lincoln Memorial'!$B$44:$F$44</definedName>
    <definedName name="PA_FINANCIAL" localSheetId="55">'London Pac'!$B$44:$F$44</definedName>
    <definedName name="PA_FINANCIAL" localSheetId="56">Lumbermens!$B$44:$F$44</definedName>
    <definedName name="PA_FINANCIAL" localSheetId="57">'Medical Savings'!$B$44:$F$44</definedName>
    <definedName name="PA_FINANCIAL" localSheetId="58">'Memorial Service'!$B$44:$F$44</definedName>
    <definedName name="PA_FINANCIAL" localSheetId="59">Midcontinent!$B$44:$F$44</definedName>
    <definedName name="PA_FINANCIAL" localSheetId="60">'Midwest Life'!$B$44:$F$44</definedName>
    <definedName name="PA_FINANCIAL" localSheetId="61">'Monarch Life'!$B$44:$F$44</definedName>
    <definedName name="PA_FINANCIAL" localSheetId="62">'Mutual Benefit'!$B$44:$F$44</definedName>
    <definedName name="PA_FINANCIAL" localSheetId="63">'Mutual Security'!$B$44:$F$44</definedName>
    <definedName name="PA_FINANCIAL" localSheetId="64">'National Affiliated'!$B$44:$F$44</definedName>
    <definedName name="PA_FINANCIAL" localSheetId="66">'National Heritage'!$B$44:$F$44</definedName>
    <definedName name="PA_FINANCIAL" localSheetId="67">'National States'!$B$44:$F$44</definedName>
    <definedName name="PA_FINANCIAL" localSheetId="65">'Natl American'!$B$44:$F$44</definedName>
    <definedName name="PA_FINANCIAL" localSheetId="68">'New Jersey Life'!$B$44:$F$44</definedName>
    <definedName name="PA_FINANCIAL" localSheetId="69">NNIC!$B$44:$F$44</definedName>
    <definedName name="PA_FINANCIAL" localSheetId="70">'Old Colony Life'!$B$44:$F$44</definedName>
    <definedName name="PA_FINANCIAL" localSheetId="71">'Old Faithful'!$B$44:$F$44</definedName>
    <definedName name="PA_FINANCIAL" localSheetId="72">'Pacific Standard'!$B$44:$F$44</definedName>
    <definedName name="PA_FINANCIAL" localSheetId="73">'Pen  Treaty'!$B$44:$F$44</definedName>
    <definedName name="PA_FINANCIAL" localSheetId="74">Reliance!$B$44:$F$44</definedName>
    <definedName name="PA_FINANCIAL" localSheetId="75">SeeChange!$B$44:$F$44</definedName>
    <definedName name="PA_FINANCIAL" localSheetId="76">'Senior American'!$B$44:$F$44</definedName>
    <definedName name="PA_FINANCIAL" localSheetId="77">Settlers!$B$44:$F$44</definedName>
    <definedName name="PA_FINANCIAL" localSheetId="78">Shenandoah!$B$44:$F$44</definedName>
    <definedName name="PA_FINANCIAL" localSheetId="79">'Standard Life IN'!$B$44:$F$44</definedName>
    <definedName name="PA_FINANCIAL" localSheetId="80">'States General'!$B$44:$F$44</definedName>
    <definedName name="PA_FINANCIAL" localSheetId="81">Statesman!$B$44:$F$44</definedName>
    <definedName name="PA_FINANCIAL" localSheetId="82">'Summit National'!$B$44:$F$44</definedName>
    <definedName name="PA_FINANCIAL" localSheetId="83">Supreme!$B$44:$F$44</definedName>
    <definedName name="PA_FINANCIAL" localSheetId="97">'Total Summary'!$B$44:$F$44</definedName>
    <definedName name="PA_FINANCIAL" localSheetId="84">Underwriters!$B$44:$F$44</definedName>
    <definedName name="PA_FINANCIAL" localSheetId="85">Unison!$B$44:$F$44</definedName>
    <definedName name="PA_FINANCIAL" localSheetId="86">'United Republic'!$B$44:$F$44</definedName>
    <definedName name="PA_FINANCIAL" localSheetId="87">'Universal Health Care'!$B$44:$F$44</definedName>
    <definedName name="PA_FINANCIAL" localSheetId="88">'Universal Life'!$B$44:$F$44</definedName>
    <definedName name="PA_FINANCIAL" localSheetId="89">Universe!$B$44:$F$44</definedName>
    <definedName name="PA_FINANCIAL" localSheetId="90">Villanova!$B$44:$F$44</definedName>
    <definedName name="PL_ALLOC_CALLED" localSheetId="91">Summary!$V$5:$V$8</definedName>
    <definedName name="PL_ALLOC_REFUNDED" localSheetId="91">Summary!$W$5:$W$8</definedName>
    <definedName name="PL_ALLOCATED" localSheetId="91">Summary!$I$5:$I$8</definedName>
    <definedName name="PL_CHANGE" localSheetId="91">Summary!$P$5:$P$8</definedName>
    <definedName name="PL_HEALTH" localSheetId="91">Summary!$J$5:$J$8</definedName>
    <definedName name="PL_HEALTH_CALLED" localSheetId="91">Summary!$Y$5:$Y$8</definedName>
    <definedName name="PL_HEALTH_REFUNDED" localSheetId="91">Summary!$Z$5:$Z$8</definedName>
    <definedName name="PL_LIFE" localSheetId="91">Summary!$H$5:$H$8</definedName>
    <definedName name="PL_LIFE_CALLED" localSheetId="91">Summary!$S$5:$S$8</definedName>
    <definedName name="PL_LIFE_REFUNDED" localSheetId="91">Summary!$T$5:$T$8</definedName>
    <definedName name="PL_LTC" localSheetId="91">Summary!$L$5:$L$8</definedName>
    <definedName name="PL_RECON" localSheetId="91">Summary!$N$5:$N$8</definedName>
    <definedName name="PL_TOTAL" localSheetId="91">Summary!$M$5:$M$8</definedName>
    <definedName name="PL_TOTAL_PREV" localSheetId="91">Summary!$O$5:$O$8</definedName>
    <definedName name="PL_UNALLOC_CALLED" localSheetId="91">Summary!$AB$5:$AB$8</definedName>
    <definedName name="PL_UNALLOC_REFUNDED" localSheetId="91">Summary!$AC$5:$AC$8</definedName>
    <definedName name="PL_UNALLOCATED" localSheetId="91">Summary!$K$5:$K$8</definedName>
    <definedName name="PR_FINANCIAL" localSheetId="0">'Alabama Life'!$B$45:$F$45</definedName>
    <definedName name="PR_FINANCIAL" localSheetId="5">'Amer Life Asr'!$B$45:$F$45</definedName>
    <definedName name="PR_FINANCIAL" localSheetId="7">'Amer Std Life Acc'!$B$45:$F$45</definedName>
    <definedName name="PR_FINANCIAL" localSheetId="1">'American Chambers'!$B$45:$F$45</definedName>
    <definedName name="PR_FINANCIAL" localSheetId="2">'American Community'!$B$45:$F$45</definedName>
    <definedName name="PR_FINANCIAL" localSheetId="3">'American Educators'!$B$45:$F$45</definedName>
    <definedName name="PR_FINANCIAL" localSheetId="4">'American Integrity'!$B$45:$F$45</definedName>
    <definedName name="PR_FINANCIAL" localSheetId="6">'American Network'!$B$45:$F$45</definedName>
    <definedName name="PR_FINANCIAL" localSheetId="8">AmerWstrn!$B$45:$F$45</definedName>
    <definedName name="PR_FINANCIAL" localSheetId="9">'AMS Life'!$B$45:$F$45</definedName>
    <definedName name="PR_FINANCIAL" localSheetId="10">'Andrew Jackson'!$B$45:$F$45</definedName>
    <definedName name="PR_FINANCIAL" localSheetId="11">'Bankers Commercial'!$B$45:$F$45</definedName>
    <definedName name="PR_FINANCIAL" localSheetId="12">Benicorp!$B$45:$F$45</definedName>
    <definedName name="PR_FINANCIAL" localSheetId="13">'Booker T Washington'!$B$45:$F$45</definedName>
    <definedName name="PR_FINANCIAL" localSheetId="14">Centennial!$B$45:$F$45</definedName>
    <definedName name="PR_FINANCIAL" localSheetId="15">'Coastal States'!$B$45:$F$45</definedName>
    <definedName name="PR_FINANCIAL" localSheetId="16">'Colorado Health'!$B$45:$F$45</definedName>
    <definedName name="PR_FINANCIAL" localSheetId="17">'Compass (dbs Meritus)'!$B$45:$F$45</definedName>
    <definedName name="PR_FINANCIAL" localSheetId="18">'Confed Life &amp; Annty (CLIAC)'!$B$45:$F$45</definedName>
    <definedName name="PR_FINANCIAL" localSheetId="19">'Confed Life (CLIC)'!$B$45:$F$45</definedName>
    <definedName name="PR_FINANCIAL" localSheetId="20">'Consolidated National'!$B$45:$F$45</definedName>
    <definedName name="PR_FINANCIAL" localSheetId="21">'Consumers Choice'!$B$45:$F$45</definedName>
    <definedName name="PR_FINANCIAL" localSheetId="22">'Consumers Mutual'!$B$45:$F$45</definedName>
    <definedName name="PR_FINANCIAL" localSheetId="23">'Consumers United'!$B$45:$F$45</definedName>
    <definedName name="PR_FINANCIAL" localSheetId="24">CoOportunity!$B$45:$F$45</definedName>
    <definedName name="PR_FINANCIAL" localSheetId="25">'Coordinated Hlth'!$B$45:$F$45</definedName>
    <definedName name="PR_FINANCIAL" localSheetId="26">'Corporate Life'!$B$45:$F$45</definedName>
    <definedName name="PR_FINANCIAL" localSheetId="27">'Diamond Benefits'!$B$45:$F$45</definedName>
    <definedName name="PR_FINANCIAL" localSheetId="28">'EBL Life'!$B$45:$F$45</definedName>
    <definedName name="PR_FINANCIAL" localSheetId="30">ELNY!$B$45:$F$45</definedName>
    <definedName name="PR_FINANCIAL" localSheetId="29">'Executive Life'!$B$45:$F$45</definedName>
    <definedName name="PR_FINANCIAL" localSheetId="31">'Family Guaranty'!$B$45:$F$45</definedName>
    <definedName name="PR_FINANCIAL" localSheetId="32">'Farmers &amp; Ranchers'!$B$45:$F$45</definedName>
    <definedName name="PR_FINANCIAL" localSheetId="33">'Fidelity Bankers'!$B$45:$F$45</definedName>
    <definedName name="PR_FINANCIAL" localSheetId="34">'Fidelity Mutual'!$B$45:$F$45</definedName>
    <definedName name="PR_FINANCIAL" localSheetId="35">'First Capital'!$B$45:$F$45</definedName>
    <definedName name="PR_FINANCIAL" localSheetId="36">'First Natl'!$B$45:$F$45</definedName>
    <definedName name="PR_FINANCIAL" localSheetId="37">'First Natl (Thrnr)'!$B$45:$F$45</definedName>
    <definedName name="PR_FINANCIAL" localSheetId="38">'Franklin American'!$B$45:$F$45</definedName>
    <definedName name="PR_FINANCIAL" localSheetId="39">'Franklin Protective'!$B$45:$F$45</definedName>
    <definedName name="PR_FINANCIAL" localSheetId="40">'Freelancers CO-OP'!$B$45:$F$45</definedName>
    <definedName name="PR_FINANCIAL" localSheetId="41">'George Washington'!$B$45:$F$45</definedName>
    <definedName name="PR_FINANCIAL" localSheetId="42">'Golden State'!$B$45:$F$45</definedName>
    <definedName name="PR_FINANCIAL" localSheetId="43">'Guarantee Security'!$B$45:$F$45</definedName>
    <definedName name="PR_FINANCIAL" localSheetId="44">HealthyCT!$B$45:$F$45</definedName>
    <definedName name="PR_FINANCIAL" localSheetId="45">Imerica!$B$45:$F$45</definedName>
    <definedName name="PR_FINANCIAL" localSheetId="46">'Inter-American'!$B$45:$F$45</definedName>
    <definedName name="PR_FINANCIAL" localSheetId="47">'International Fin'!$B$45:$F$45</definedName>
    <definedName name="PR_FINANCIAL" localSheetId="48">'Investment Life of America'!$B$45:$F$45</definedName>
    <definedName name="PR_FINANCIAL" localSheetId="49">'Investors Equity'!$B$45:$F$45</definedName>
    <definedName name="PR_FINANCIAL" localSheetId="50">'Kentucky Central'!$B$45:$F$45</definedName>
    <definedName name="PR_FINANCIAL" localSheetId="51">'Land of Lincoln'!$B$45:$F$45</definedName>
    <definedName name="PR_FINANCIAL" localSheetId="52">Legion!$B$45:$F$45</definedName>
    <definedName name="PR_FINANCIAL" localSheetId="53">'Life Health America'!$B$45:$F$45</definedName>
    <definedName name="PR_FINANCIAL" localSheetId="54">'Lincoln Memorial'!$B$45:$F$45</definedName>
    <definedName name="PR_FINANCIAL" localSheetId="55">'London Pac'!$B$45:$F$45</definedName>
    <definedName name="PR_FINANCIAL" localSheetId="56">Lumbermens!$B$45:$F$45</definedName>
    <definedName name="PR_FINANCIAL" localSheetId="57">'Medical Savings'!$B$45:$F$45</definedName>
    <definedName name="PR_FINANCIAL" localSheetId="58">'Memorial Service'!$B$45:$F$45</definedName>
    <definedName name="PR_FINANCIAL" localSheetId="59">Midcontinent!$B$45:$F$45</definedName>
    <definedName name="PR_FINANCIAL" localSheetId="60">'Midwest Life'!$B$45:$F$45</definedName>
    <definedName name="PR_FINANCIAL" localSheetId="61">'Monarch Life'!$B$45:$F$45</definedName>
    <definedName name="PR_FINANCIAL" localSheetId="62">'Mutual Benefit'!$B$45:$F$45</definedName>
    <definedName name="PR_FINANCIAL" localSheetId="63">'Mutual Security'!$B$45:$F$45</definedName>
    <definedName name="PR_FINANCIAL" localSheetId="64">'National Affiliated'!$B$45:$F$45</definedName>
    <definedName name="PR_FINANCIAL" localSheetId="66">'National Heritage'!$B$45:$F$45</definedName>
    <definedName name="PR_FINANCIAL" localSheetId="67">'National States'!$B$45:$F$45</definedName>
    <definedName name="PR_FINANCIAL" localSheetId="65">'Natl American'!$B$45:$F$45</definedName>
    <definedName name="PR_FINANCIAL" localSheetId="68">'New Jersey Life'!$B$45:$F$45</definedName>
    <definedName name="PR_FINANCIAL" localSheetId="69">NNIC!$B$45:$F$45</definedName>
    <definedName name="PR_FINANCIAL" localSheetId="70">'Old Colony Life'!$B$45:$F$45</definedName>
    <definedName name="PR_FINANCIAL" localSheetId="71">'Old Faithful'!$B$45:$F$45</definedName>
    <definedName name="PR_FINANCIAL" localSheetId="72">'Pacific Standard'!$B$45:$F$45</definedName>
    <definedName name="PR_FINANCIAL" localSheetId="73">'Pen  Treaty'!$B$45:$F$45</definedName>
    <definedName name="PR_FINANCIAL" localSheetId="74">Reliance!$B$45:$F$45</definedName>
    <definedName name="PR_FINANCIAL" localSheetId="75">SeeChange!$B$45:$F$45</definedName>
    <definedName name="PR_FINANCIAL" localSheetId="76">'Senior American'!$B$45:$F$45</definedName>
    <definedName name="PR_FINANCIAL" localSheetId="77">Settlers!$B$45:$F$45</definedName>
    <definedName name="PR_FINANCIAL" localSheetId="78">Shenandoah!$B$45:$F$45</definedName>
    <definedName name="PR_FINANCIAL" localSheetId="79">'Standard Life IN'!$B$45:$F$45</definedName>
    <definedName name="PR_FINANCIAL" localSheetId="80">'States General'!$B$45:$F$45</definedName>
    <definedName name="PR_FINANCIAL" localSheetId="81">Statesman!$B$45:$F$45</definedName>
    <definedName name="PR_FINANCIAL" localSheetId="82">'Summit National'!$B$45:$F$45</definedName>
    <definedName name="PR_FINANCIAL" localSheetId="83">Supreme!$B$45:$F$45</definedName>
    <definedName name="PR_FINANCIAL" localSheetId="97">'Total Summary'!$B$45:$F$45</definedName>
    <definedName name="PR_FINANCIAL" localSheetId="84">Underwriters!$B$45:$F$45</definedName>
    <definedName name="PR_FINANCIAL" localSheetId="85">Unison!$B$45:$F$45</definedName>
    <definedName name="PR_FINANCIAL" localSheetId="86">'United Republic'!$B$45:$F$45</definedName>
    <definedName name="PR_FINANCIAL" localSheetId="87">'Universal Health Care'!$B$45:$F$45</definedName>
    <definedName name="PR_FINANCIAL" localSheetId="88">'Universal Life'!$B$45:$F$45</definedName>
    <definedName name="PR_FINANCIAL" localSheetId="89">Universe!$B$45:$F$45</definedName>
    <definedName name="PR_FINANCIAL" localSheetId="90">Villanova!$B$45:$F$45</definedName>
    <definedName name="_xlnm.Print_Area" localSheetId="98">'ELIC Funding'!$B$1:$AV$62</definedName>
    <definedName name="_xlnm.Print_Area" localSheetId="100">Premium!$A$7:$K$1812</definedName>
    <definedName name="_xlnm.Print_Area" localSheetId="91">Summary!$B$5:$AC$121</definedName>
    <definedName name="_xlnm.Print_Titles" localSheetId="98">'ELIC Funding'!$A:$A</definedName>
    <definedName name="_xlnm.Print_Titles" localSheetId="100">Premium!$1:$6</definedName>
    <definedName name="_xlnm.Print_Titles" localSheetId="91">Summary!$1:$4</definedName>
    <definedName name="RE_ALLOC_CALLED" localSheetId="91">Summary!$V$109:$V$118</definedName>
    <definedName name="RE_ALLOC_REFUNDED" localSheetId="91">Summary!$W$109:$W$118</definedName>
    <definedName name="RE_ALLOCATED" localSheetId="91">Summary!$I$109:$I$118</definedName>
    <definedName name="RE_CHANGE" localSheetId="91">Summary!$P$109:$P$118</definedName>
    <definedName name="RE_HEALTH" localSheetId="91">Summary!$J$109:$J$118</definedName>
    <definedName name="RE_HEALTH_CALLED" localSheetId="91">Summary!$Y$109:$Y$118</definedName>
    <definedName name="RE_HEALTH_REFUNDED" localSheetId="91">Summary!$Z$109:$Z$118</definedName>
    <definedName name="RE_LIFE" localSheetId="91">Summary!$H$109:$H$118</definedName>
    <definedName name="RE_LIFE_CALLED" localSheetId="91">Summary!$S$109:$S$118</definedName>
    <definedName name="RE_LIFE_REFUNDED" localSheetId="91">Summary!$T$109:$T$118</definedName>
    <definedName name="RE_LTC" localSheetId="91">Summary!$L$109:$L$118</definedName>
    <definedName name="RE_RECON" localSheetId="91">Summary!$N$109:$N$118</definedName>
    <definedName name="RE_TOTAL" localSheetId="91">Summary!$M$109:$M$118</definedName>
    <definedName name="RE_TOTAL_PREV" localSheetId="91">Summary!$O$109:$O$118</definedName>
    <definedName name="RE_UNALLOC_CALLED" localSheetId="91">Summary!$AB$109:$AB$118</definedName>
    <definedName name="RE_UNALLOC_REFUNDED" localSheetId="91">Summary!$AC$109:$AC$118</definedName>
    <definedName name="RE_UNALLOCATED" localSheetId="91">Summary!$K$109:$K$118</definedName>
    <definedName name="REC_TOTAL" localSheetId="94">'Closed Summary'!$J$6:$J$26</definedName>
    <definedName name="REC_TOTAL" localSheetId="95">'Estate Closed Summary'!$J$6:$J$62</definedName>
    <definedName name="REC_TOTAL" localSheetId="93">'Open Summary'!$J$6:$J$13</definedName>
    <definedName name="REC_TOTAL" localSheetId="92">'Pre-Liquidation Summary'!$J$6:$J$7</definedName>
    <definedName name="REC_TOTAL" localSheetId="96">'Released from Oversight Summary'!$J$6:$J$13</definedName>
    <definedName name="RECON" localSheetId="94">'Closed Summary'!#REF!</definedName>
    <definedName name="RECON" localSheetId="95">'Estate Closed Summary'!#REF!</definedName>
    <definedName name="RECON" localSheetId="93">'Open Summary'!#REF!</definedName>
    <definedName name="RECON" localSheetId="92">'Pre-Liquidation Summary'!#REF!</definedName>
    <definedName name="RECON" localSheetId="96">'Released from Oversight Summary'!#REF!</definedName>
    <definedName name="RI_FINANCIAL" localSheetId="0">'Alabama Life'!$B$46:$F$46</definedName>
    <definedName name="RI_FINANCIAL" localSheetId="5">'Amer Life Asr'!$B$46:$F$46</definedName>
    <definedName name="RI_FINANCIAL" localSheetId="7">'Amer Std Life Acc'!$B$46:$F$46</definedName>
    <definedName name="RI_FINANCIAL" localSheetId="1">'American Chambers'!$B$46:$F$46</definedName>
    <definedName name="RI_FINANCIAL" localSheetId="2">'American Community'!$B$46:$F$46</definedName>
    <definedName name="RI_FINANCIAL" localSheetId="3">'American Educators'!$B$46:$F$46</definedName>
    <definedName name="RI_FINANCIAL" localSheetId="4">'American Integrity'!$B$46:$F$46</definedName>
    <definedName name="RI_FINANCIAL" localSheetId="6">'American Network'!$B$46:$F$46</definedName>
    <definedName name="RI_FINANCIAL" localSheetId="8">AmerWstrn!$B$46:$F$46</definedName>
    <definedName name="RI_FINANCIAL" localSheetId="9">'AMS Life'!$B$46:$F$46</definedName>
    <definedName name="RI_FINANCIAL" localSheetId="10">'Andrew Jackson'!$B$46:$F$46</definedName>
    <definedName name="RI_FINANCIAL" localSheetId="11">'Bankers Commercial'!$B$46:$F$46</definedName>
    <definedName name="RI_FINANCIAL" localSheetId="12">Benicorp!$B$46:$F$46</definedName>
    <definedName name="RI_FINANCIAL" localSheetId="13">'Booker T Washington'!$B$46:$F$46</definedName>
    <definedName name="RI_FINANCIAL" localSheetId="14">Centennial!$B$46:$F$46</definedName>
    <definedName name="RI_FINANCIAL" localSheetId="15">'Coastal States'!$B$46:$F$46</definedName>
    <definedName name="RI_FINANCIAL" localSheetId="16">'Colorado Health'!$B$46:$F$46</definedName>
    <definedName name="RI_FINANCIAL" localSheetId="17">'Compass (dbs Meritus)'!$B$46:$F$46</definedName>
    <definedName name="RI_FINANCIAL" localSheetId="18">'Confed Life &amp; Annty (CLIAC)'!$B$46:$F$46</definedName>
    <definedName name="RI_FINANCIAL" localSheetId="19">'Confed Life (CLIC)'!$B$46:$F$46</definedName>
    <definedName name="RI_FINANCIAL" localSheetId="20">'Consolidated National'!$B$46:$F$46</definedName>
    <definedName name="RI_FINANCIAL" localSheetId="21">'Consumers Choice'!$B$46:$F$46</definedName>
    <definedName name="RI_FINANCIAL" localSheetId="22">'Consumers Mutual'!$B$46:$F$46</definedName>
    <definedName name="RI_FINANCIAL" localSheetId="23">'Consumers United'!$B$46:$F$46</definedName>
    <definedName name="RI_FINANCIAL" localSheetId="24">CoOportunity!$B$46:$F$46</definedName>
    <definedName name="RI_FINANCIAL" localSheetId="25">'Coordinated Hlth'!$B$46:$F$46</definedName>
    <definedName name="RI_FINANCIAL" localSheetId="26">'Corporate Life'!$B$46:$F$46</definedName>
    <definedName name="RI_FINANCIAL" localSheetId="27">'Diamond Benefits'!$B$46:$F$46</definedName>
    <definedName name="RI_FINANCIAL" localSheetId="28">'EBL Life'!$B$46:$F$46</definedName>
    <definedName name="RI_FINANCIAL" localSheetId="30">ELNY!$B$46:$F$46</definedName>
    <definedName name="RI_FINANCIAL" localSheetId="29">'Executive Life'!$B$46:$F$46</definedName>
    <definedName name="RI_FINANCIAL" localSheetId="31">'Family Guaranty'!$B$46:$F$46</definedName>
    <definedName name="RI_FINANCIAL" localSheetId="32">'Farmers &amp; Ranchers'!$B$46:$F$46</definedName>
    <definedName name="RI_FINANCIAL" localSheetId="33">'Fidelity Bankers'!$B$46:$F$46</definedName>
    <definedName name="RI_FINANCIAL" localSheetId="34">'Fidelity Mutual'!$B$46:$F$46</definedName>
    <definedName name="RI_FINANCIAL" localSheetId="35">'First Capital'!$B$46:$F$46</definedName>
    <definedName name="RI_FINANCIAL" localSheetId="36">'First Natl'!$B$46:$F$46</definedName>
    <definedName name="RI_FINANCIAL" localSheetId="37">'First Natl (Thrnr)'!$B$46:$F$46</definedName>
    <definedName name="RI_FINANCIAL" localSheetId="38">'Franklin American'!$B$46:$F$46</definedName>
    <definedName name="RI_FINANCIAL" localSheetId="39">'Franklin Protective'!$B$46:$F$46</definedName>
    <definedName name="RI_FINANCIAL" localSheetId="40">'Freelancers CO-OP'!$B$46:$F$46</definedName>
    <definedName name="RI_FINANCIAL" localSheetId="41">'George Washington'!$B$46:$F$46</definedName>
    <definedName name="RI_FINANCIAL" localSheetId="42">'Golden State'!$B$46:$F$46</definedName>
    <definedName name="RI_FINANCIAL" localSheetId="43">'Guarantee Security'!$B$46:$F$46</definedName>
    <definedName name="RI_FINANCIAL" localSheetId="44">HealthyCT!$B$46:$F$46</definedName>
    <definedName name="RI_FINANCIAL" localSheetId="45">Imerica!$B$46:$F$46</definedName>
    <definedName name="RI_FINANCIAL" localSheetId="46">'Inter-American'!$B$46:$F$46</definedName>
    <definedName name="RI_FINANCIAL" localSheetId="47">'International Fin'!$B$46:$F$46</definedName>
    <definedName name="RI_FINANCIAL" localSheetId="48">'Investment Life of America'!$B$46:$F$46</definedName>
    <definedName name="RI_FINANCIAL" localSheetId="49">'Investors Equity'!$B$46:$F$46</definedName>
    <definedName name="RI_FINANCIAL" localSheetId="50">'Kentucky Central'!$B$46:$F$46</definedName>
    <definedName name="RI_FINANCIAL" localSheetId="51">'Land of Lincoln'!$B$46:$F$46</definedName>
    <definedName name="RI_FINANCIAL" localSheetId="52">Legion!$B$46:$F$46</definedName>
    <definedName name="RI_FINANCIAL" localSheetId="53">'Life Health America'!$B$46:$F$46</definedName>
    <definedName name="RI_FINANCIAL" localSheetId="54">'Lincoln Memorial'!$B$46:$F$46</definedName>
    <definedName name="RI_FINANCIAL" localSheetId="55">'London Pac'!$B$46:$F$46</definedName>
    <definedName name="RI_FINANCIAL" localSheetId="56">Lumbermens!$B$46:$F$46</definedName>
    <definedName name="RI_FINANCIAL" localSheetId="57">'Medical Savings'!$B$46:$F$46</definedName>
    <definedName name="RI_FINANCIAL" localSheetId="58">'Memorial Service'!$B$46:$F$46</definedName>
    <definedName name="RI_FINANCIAL" localSheetId="59">Midcontinent!$B$46:$F$46</definedName>
    <definedName name="RI_FINANCIAL" localSheetId="60">'Midwest Life'!$B$46:$F$46</definedName>
    <definedName name="RI_FINANCIAL" localSheetId="61">'Monarch Life'!$B$46:$F$46</definedName>
    <definedName name="RI_FINANCIAL" localSheetId="62">'Mutual Benefit'!$B$46:$F$46</definedName>
    <definedName name="RI_FINANCIAL" localSheetId="63">'Mutual Security'!$B$46:$F$46</definedName>
    <definedName name="RI_FINANCIAL" localSheetId="64">'National Affiliated'!$B$46:$F$46</definedName>
    <definedName name="RI_FINANCIAL" localSheetId="66">'National Heritage'!$B$46:$F$46</definedName>
    <definedName name="RI_FINANCIAL" localSheetId="67">'National States'!$B$46:$F$46</definedName>
    <definedName name="RI_FINANCIAL" localSheetId="65">'Natl American'!$B$46:$F$46</definedName>
    <definedName name="RI_FINANCIAL" localSheetId="68">'New Jersey Life'!$B$46:$F$46</definedName>
    <definedName name="RI_FINANCIAL" localSheetId="69">NNIC!$B$46:$F$46</definedName>
    <definedName name="RI_FINANCIAL" localSheetId="70">'Old Colony Life'!$B$46:$F$46</definedName>
    <definedName name="RI_FINANCIAL" localSheetId="71">'Old Faithful'!$B$46:$F$46</definedName>
    <definedName name="RI_FINANCIAL" localSheetId="72">'Pacific Standard'!$B$46:$F$46</definedName>
    <definedName name="RI_FINANCIAL" localSheetId="73">'Pen  Treaty'!$B$46:$F$46</definedName>
    <definedName name="RI_FINANCIAL" localSheetId="74">Reliance!$B$46:$F$46</definedName>
    <definedName name="RI_FINANCIAL" localSheetId="75">SeeChange!$B$46:$F$46</definedName>
    <definedName name="RI_FINANCIAL" localSheetId="76">'Senior American'!$B$46:$F$46</definedName>
    <definedName name="RI_FINANCIAL" localSheetId="77">Settlers!$B$46:$F$46</definedName>
    <definedName name="RI_FINANCIAL" localSheetId="78">Shenandoah!$B$46:$F$46</definedName>
    <definedName name="RI_FINANCIAL" localSheetId="79">'Standard Life IN'!$B$46:$F$46</definedName>
    <definedName name="RI_FINANCIAL" localSheetId="80">'States General'!$B$46:$F$46</definedName>
    <definedName name="RI_FINANCIAL" localSheetId="81">Statesman!$B$46:$F$46</definedName>
    <definedName name="RI_FINANCIAL" localSheetId="82">'Summit National'!$B$46:$F$46</definedName>
    <definedName name="RI_FINANCIAL" localSheetId="83">Supreme!$B$46:$F$46</definedName>
    <definedName name="RI_FINANCIAL" localSheetId="97">'Total Summary'!$B$46:$F$46</definedName>
    <definedName name="RI_FINANCIAL" localSheetId="84">Underwriters!$B$46:$F$46</definedName>
    <definedName name="RI_FINANCIAL" localSheetId="85">Unison!$B$46:$F$46</definedName>
    <definedName name="RI_FINANCIAL" localSheetId="86">'United Republic'!$B$46:$F$46</definedName>
    <definedName name="RI_FINANCIAL" localSheetId="87">'Universal Health Care'!$B$46:$F$46</definedName>
    <definedName name="RI_FINANCIAL" localSheetId="88">'Universal Life'!$B$46:$F$46</definedName>
    <definedName name="RI_FINANCIAL" localSheetId="89">Universe!$B$46:$F$46</definedName>
    <definedName name="RI_FINANCIAL" localSheetId="90">Villanova!$B$46:$F$46</definedName>
    <definedName name="SC_FINANCIAL" localSheetId="0">'Alabama Life'!$B$47:$F$47</definedName>
    <definedName name="SC_FINANCIAL" localSheetId="5">'Amer Life Asr'!$B$47:$F$47</definedName>
    <definedName name="SC_FINANCIAL" localSheetId="7">'Amer Std Life Acc'!$B$47:$F$47</definedName>
    <definedName name="SC_FINANCIAL" localSheetId="1">'American Chambers'!$B$47:$F$47</definedName>
    <definedName name="SC_FINANCIAL" localSheetId="2">'American Community'!$B$47:$F$47</definedName>
    <definedName name="SC_FINANCIAL" localSheetId="3">'American Educators'!$B$47:$F$47</definedName>
    <definedName name="SC_FINANCIAL" localSheetId="4">'American Integrity'!$B$47:$F$47</definedName>
    <definedName name="SC_FINANCIAL" localSheetId="6">'American Network'!$B$47:$F$47</definedName>
    <definedName name="SC_FINANCIAL" localSheetId="8">AmerWstrn!$B$47:$F$47</definedName>
    <definedName name="SC_FINANCIAL" localSheetId="9">'AMS Life'!$B$47:$F$47</definedName>
    <definedName name="SC_FINANCIAL" localSheetId="10">'Andrew Jackson'!$B$47:$F$47</definedName>
    <definedName name="SC_FINANCIAL" localSheetId="11">'Bankers Commercial'!$B$47:$F$47</definedName>
    <definedName name="SC_FINANCIAL" localSheetId="12">Benicorp!$B$47:$F$47</definedName>
    <definedName name="SC_FINANCIAL" localSheetId="13">'Booker T Washington'!$B$47:$F$47</definedName>
    <definedName name="SC_FINANCIAL" localSheetId="14">Centennial!$B$47:$F$47</definedName>
    <definedName name="SC_FINANCIAL" localSheetId="15">'Coastal States'!$B$47:$F$47</definedName>
    <definedName name="SC_FINANCIAL" localSheetId="16">'Colorado Health'!$B$47:$F$47</definedName>
    <definedName name="SC_FINANCIAL" localSheetId="17">'Compass (dbs Meritus)'!$B$47:$F$47</definedName>
    <definedName name="SC_FINANCIAL" localSheetId="18">'Confed Life &amp; Annty (CLIAC)'!$B$47:$F$47</definedName>
    <definedName name="SC_FINANCIAL" localSheetId="19">'Confed Life (CLIC)'!$B$47:$F$47</definedName>
    <definedName name="SC_FINANCIAL" localSheetId="20">'Consolidated National'!$B$47:$F$47</definedName>
    <definedName name="SC_FINANCIAL" localSheetId="21">'Consumers Choice'!$B$47:$F$47</definedName>
    <definedName name="SC_FINANCIAL" localSheetId="22">'Consumers Mutual'!$B$47:$F$47</definedName>
    <definedName name="SC_FINANCIAL" localSheetId="23">'Consumers United'!$B$47:$F$47</definedName>
    <definedName name="SC_FINANCIAL" localSheetId="24">CoOportunity!$B$47:$F$47</definedName>
    <definedName name="SC_FINANCIAL" localSheetId="25">'Coordinated Hlth'!$B$47:$F$47</definedName>
    <definedName name="SC_FINANCIAL" localSheetId="26">'Corporate Life'!$B$47:$F$47</definedName>
    <definedName name="SC_FINANCIAL" localSheetId="27">'Diamond Benefits'!$B$47:$F$47</definedName>
    <definedName name="SC_FINANCIAL" localSheetId="28">'EBL Life'!$B$47:$F$47</definedName>
    <definedName name="SC_FINANCIAL" localSheetId="30">ELNY!$B$47:$F$47</definedName>
    <definedName name="SC_FINANCIAL" localSheetId="29">'Executive Life'!$B$47:$F$47</definedName>
    <definedName name="SC_FINANCIAL" localSheetId="31">'Family Guaranty'!$B$47:$F$47</definedName>
    <definedName name="SC_FINANCIAL" localSheetId="32">'Farmers &amp; Ranchers'!$B$47:$F$47</definedName>
    <definedName name="SC_FINANCIAL" localSheetId="33">'Fidelity Bankers'!$B$47:$F$47</definedName>
    <definedName name="SC_FINANCIAL" localSheetId="34">'Fidelity Mutual'!$B$47:$F$47</definedName>
    <definedName name="SC_FINANCIAL" localSheetId="35">'First Capital'!$B$47:$F$47</definedName>
    <definedName name="SC_FINANCIAL" localSheetId="36">'First Natl'!$B$47:$F$47</definedName>
    <definedName name="SC_FINANCIAL" localSheetId="37">'First Natl (Thrnr)'!$B$47:$F$47</definedName>
    <definedName name="SC_FINANCIAL" localSheetId="38">'Franklin American'!$B$47:$F$47</definedName>
    <definedName name="SC_FINANCIAL" localSheetId="39">'Franklin Protective'!$B$47:$F$47</definedName>
    <definedName name="SC_FINANCIAL" localSheetId="40">'Freelancers CO-OP'!$B$47:$F$47</definedName>
    <definedName name="SC_FINANCIAL" localSheetId="41">'George Washington'!$B$47:$F$47</definedName>
    <definedName name="SC_FINANCIAL" localSheetId="42">'Golden State'!$B$47:$F$47</definedName>
    <definedName name="SC_FINANCIAL" localSheetId="43">'Guarantee Security'!$B$47:$F$47</definedName>
    <definedName name="SC_FINANCIAL" localSheetId="44">HealthyCT!$B$47:$F$47</definedName>
    <definedName name="SC_FINANCIAL" localSheetId="45">Imerica!$B$47:$F$47</definedName>
    <definedName name="SC_FINANCIAL" localSheetId="46">'Inter-American'!$B$47:$F$47</definedName>
    <definedName name="SC_FINANCIAL" localSheetId="47">'International Fin'!$B$47:$F$47</definedName>
    <definedName name="SC_FINANCIAL" localSheetId="48">'Investment Life of America'!$B$47:$F$47</definedName>
    <definedName name="SC_FINANCIAL" localSheetId="49">'Investors Equity'!$B$47:$F$47</definedName>
    <definedName name="SC_FINANCIAL" localSheetId="50">'Kentucky Central'!$B$47:$F$47</definedName>
    <definedName name="SC_FINANCIAL" localSheetId="51">'Land of Lincoln'!$B$47:$F$47</definedName>
    <definedName name="SC_FINANCIAL" localSheetId="52">Legion!$B$47:$F$47</definedName>
    <definedName name="SC_FINANCIAL" localSheetId="53">'Life Health America'!$B$47:$F$47</definedName>
    <definedName name="SC_FINANCIAL" localSheetId="54">'Lincoln Memorial'!$B$47:$F$47</definedName>
    <definedName name="SC_FINANCIAL" localSheetId="55">'London Pac'!$B$47:$F$47</definedName>
    <definedName name="SC_FINANCIAL" localSheetId="56">Lumbermens!$B$47:$F$47</definedName>
    <definedName name="SC_FINANCIAL" localSheetId="57">'Medical Savings'!$B$47:$F$47</definedName>
    <definedName name="SC_FINANCIAL" localSheetId="58">'Memorial Service'!$B$47:$F$47</definedName>
    <definedName name="SC_FINANCIAL" localSheetId="59">Midcontinent!$B$47:$F$47</definedName>
    <definedName name="SC_FINANCIAL" localSheetId="60">'Midwest Life'!$B$47:$F$47</definedName>
    <definedName name="SC_FINANCIAL" localSheetId="61">'Monarch Life'!$B$47:$F$47</definedName>
    <definedName name="SC_FINANCIAL" localSheetId="62">'Mutual Benefit'!$B$47:$F$47</definedName>
    <definedName name="SC_FINANCIAL" localSheetId="63">'Mutual Security'!$B$47:$F$47</definedName>
    <definedName name="SC_FINANCIAL" localSheetId="64">'National Affiliated'!$B$47:$F$47</definedName>
    <definedName name="SC_FINANCIAL" localSheetId="66">'National Heritage'!$B$47:$F$47</definedName>
    <definedName name="SC_FINANCIAL" localSheetId="67">'National States'!$B$47:$F$47</definedName>
    <definedName name="SC_FINANCIAL" localSheetId="65">'Natl American'!$B$47:$F$47</definedName>
    <definedName name="SC_FINANCIAL" localSheetId="68">'New Jersey Life'!$B$47:$F$47</definedName>
    <definedName name="SC_FINANCIAL" localSheetId="69">NNIC!$B$47:$F$47</definedName>
    <definedName name="SC_FINANCIAL" localSheetId="70">'Old Colony Life'!$B$47:$F$47</definedName>
    <definedName name="SC_FINANCIAL" localSheetId="71">'Old Faithful'!$B$47:$F$47</definedName>
    <definedName name="SC_FINANCIAL" localSheetId="72">'Pacific Standard'!$B$47:$F$47</definedName>
    <definedName name="SC_FINANCIAL" localSheetId="73">'Pen  Treaty'!$B$47:$F$47</definedName>
    <definedName name="SC_FINANCIAL" localSheetId="74">Reliance!$B$47:$F$47</definedName>
    <definedName name="SC_FINANCIAL" localSheetId="75">SeeChange!$B$47:$F$47</definedName>
    <definedName name="SC_FINANCIAL" localSheetId="76">'Senior American'!$B$47:$F$47</definedName>
    <definedName name="SC_FINANCIAL" localSheetId="77">Settlers!$B$47:$F$47</definedName>
    <definedName name="SC_FINANCIAL" localSheetId="78">Shenandoah!$B$47:$F$47</definedName>
    <definedName name="SC_FINANCIAL" localSheetId="79">'Standard Life IN'!$B$47:$F$47</definedName>
    <definedName name="SC_FINANCIAL" localSheetId="80">'States General'!$B$47:$F$47</definedName>
    <definedName name="SC_FINANCIAL" localSheetId="81">Statesman!$B$47:$F$47</definedName>
    <definedName name="SC_FINANCIAL" localSheetId="82">'Summit National'!$B$47:$F$47</definedName>
    <definedName name="SC_FINANCIAL" localSheetId="83">Supreme!$B$47:$F$47</definedName>
    <definedName name="SC_FINANCIAL" localSheetId="97">'Total Summary'!$B$47:$F$47</definedName>
    <definedName name="SC_FINANCIAL" localSheetId="84">Underwriters!$B$47:$F$47</definedName>
    <definedName name="SC_FINANCIAL" localSheetId="85">Unison!$B$47:$F$47</definedName>
    <definedName name="SC_FINANCIAL" localSheetId="86">'United Republic'!$B$47:$F$47</definedName>
    <definedName name="SC_FINANCIAL" localSheetId="87">'Universal Health Care'!$B$47:$F$47</definedName>
    <definedName name="SC_FINANCIAL" localSheetId="88">'Universal Life'!$B$47:$F$47</definedName>
    <definedName name="SC_FINANCIAL" localSheetId="89">Universe!$B$47:$F$47</definedName>
    <definedName name="SC_FINANCIAL" localSheetId="90">Villanova!$B$47:$F$47</definedName>
    <definedName name="SD_FINANCIAL" localSheetId="0">'Alabama Life'!$B$48:$F$48</definedName>
    <definedName name="SD_FINANCIAL" localSheetId="5">'Amer Life Asr'!$B$48:$F$48</definedName>
    <definedName name="SD_FINANCIAL" localSheetId="7">'Amer Std Life Acc'!$B$48:$F$48</definedName>
    <definedName name="SD_FINANCIAL" localSheetId="1">'American Chambers'!$B$48:$F$48</definedName>
    <definedName name="SD_FINANCIAL" localSheetId="2">'American Community'!$B$48:$F$48</definedName>
    <definedName name="SD_FINANCIAL" localSheetId="3">'American Educators'!$B$48:$F$48</definedName>
    <definedName name="SD_FINANCIAL" localSheetId="4">'American Integrity'!$B$48:$F$48</definedName>
    <definedName name="SD_FINANCIAL" localSheetId="6">'American Network'!$B$48:$F$48</definedName>
    <definedName name="SD_FINANCIAL" localSheetId="8">AmerWstrn!$B$48:$F$48</definedName>
    <definedName name="SD_FINANCIAL" localSheetId="9">'AMS Life'!$B$48:$F$48</definedName>
    <definedName name="SD_FINANCIAL" localSheetId="10">'Andrew Jackson'!$B$48:$F$48</definedName>
    <definedName name="SD_FINANCIAL" localSheetId="11">'Bankers Commercial'!$B$48:$F$48</definedName>
    <definedName name="SD_FINANCIAL" localSheetId="12">Benicorp!$B$48:$F$48</definedName>
    <definedName name="SD_FINANCIAL" localSheetId="13">'Booker T Washington'!$B$48:$F$48</definedName>
    <definedName name="SD_FINANCIAL" localSheetId="14">Centennial!$B$48:$F$48</definedName>
    <definedName name="SD_FINANCIAL" localSheetId="15">'Coastal States'!$B$48:$F$48</definedName>
    <definedName name="SD_FINANCIAL" localSheetId="16">'Colorado Health'!$B$48:$F$48</definedName>
    <definedName name="SD_FINANCIAL" localSheetId="17">'Compass (dbs Meritus)'!$B$48:$F$48</definedName>
    <definedName name="SD_FINANCIAL" localSheetId="18">'Confed Life &amp; Annty (CLIAC)'!$B$48:$F$48</definedName>
    <definedName name="SD_FINANCIAL" localSheetId="19">'Confed Life (CLIC)'!$B$48:$F$48</definedName>
    <definedName name="SD_FINANCIAL" localSheetId="20">'Consolidated National'!$B$48:$F$48</definedName>
    <definedName name="SD_FINANCIAL" localSheetId="21">'Consumers Choice'!$B$48:$F$48</definedName>
    <definedName name="SD_FINANCIAL" localSheetId="22">'Consumers Mutual'!$B$48:$F$48</definedName>
    <definedName name="SD_FINANCIAL" localSheetId="23">'Consumers United'!$B$48:$F$48</definedName>
    <definedName name="SD_FINANCIAL" localSheetId="24">CoOportunity!$B$48:$F$48</definedName>
    <definedName name="SD_FINANCIAL" localSheetId="25">'Coordinated Hlth'!$B$48:$F$48</definedName>
    <definedName name="SD_FINANCIAL" localSheetId="26">'Corporate Life'!$B$48:$F$48</definedName>
    <definedName name="SD_FINANCIAL" localSheetId="27">'Diamond Benefits'!$B$48:$F$48</definedName>
    <definedName name="SD_FINANCIAL" localSheetId="28">'EBL Life'!$B$48:$F$48</definedName>
    <definedName name="SD_FINANCIAL" localSheetId="30">ELNY!$B$48:$F$48</definedName>
    <definedName name="SD_FINANCIAL" localSheetId="29">'Executive Life'!$B$48:$F$48</definedName>
    <definedName name="SD_FINANCIAL" localSheetId="31">'Family Guaranty'!$B$48:$F$48</definedName>
    <definedName name="SD_FINANCIAL" localSheetId="32">'Farmers &amp; Ranchers'!$B$48:$F$48</definedName>
    <definedName name="SD_FINANCIAL" localSheetId="33">'Fidelity Bankers'!$B$48:$F$48</definedName>
    <definedName name="SD_FINANCIAL" localSheetId="34">'Fidelity Mutual'!$B$48:$F$48</definedName>
    <definedName name="SD_FINANCIAL" localSheetId="35">'First Capital'!$B$48:$F$48</definedName>
    <definedName name="SD_FINANCIAL" localSheetId="36">'First Natl'!$B$48:$F$48</definedName>
    <definedName name="SD_FINANCIAL" localSheetId="37">'First Natl (Thrnr)'!$B$48:$F$48</definedName>
    <definedName name="SD_FINANCIAL" localSheetId="38">'Franklin American'!$B$48:$F$48</definedName>
    <definedName name="SD_FINANCIAL" localSheetId="39">'Franklin Protective'!$B$48:$F$48</definedName>
    <definedName name="SD_FINANCIAL" localSheetId="40">'Freelancers CO-OP'!$B$48:$F$48</definedName>
    <definedName name="SD_FINANCIAL" localSheetId="41">'George Washington'!$B$48:$F$48</definedName>
    <definedName name="SD_FINANCIAL" localSheetId="42">'Golden State'!$B$48:$F$48</definedName>
    <definedName name="SD_FINANCIAL" localSheetId="43">'Guarantee Security'!$B$48:$F$48</definedName>
    <definedName name="SD_FINANCIAL" localSheetId="44">HealthyCT!$B$48:$F$48</definedName>
    <definedName name="SD_FINANCIAL" localSheetId="45">Imerica!$B$48:$F$48</definedName>
    <definedName name="SD_FINANCIAL" localSheetId="46">'Inter-American'!$B$48:$F$48</definedName>
    <definedName name="SD_FINANCIAL" localSheetId="47">'International Fin'!$B$48:$F$48</definedName>
    <definedName name="SD_FINANCIAL" localSheetId="48">'Investment Life of America'!$B$48:$F$48</definedName>
    <definedName name="SD_FINANCIAL" localSheetId="49">'Investors Equity'!$B$48:$F$48</definedName>
    <definedName name="SD_FINANCIAL" localSheetId="50">'Kentucky Central'!$B$48:$F$48</definedName>
    <definedName name="SD_FINANCIAL" localSheetId="51">'Land of Lincoln'!$B$48:$F$48</definedName>
    <definedName name="SD_FINANCIAL" localSheetId="52">Legion!$B$48:$F$48</definedName>
    <definedName name="SD_FINANCIAL" localSheetId="53">'Life Health America'!$B$48:$F$48</definedName>
    <definedName name="SD_FINANCIAL" localSheetId="54">'Lincoln Memorial'!$B$48:$F$48</definedName>
    <definedName name="SD_FINANCIAL" localSheetId="55">'London Pac'!$B$48:$F$48</definedName>
    <definedName name="SD_FINANCIAL" localSheetId="56">Lumbermens!$B$48:$F$48</definedName>
    <definedName name="SD_FINANCIAL" localSheetId="57">'Medical Savings'!$B$48:$F$48</definedName>
    <definedName name="SD_FINANCIAL" localSheetId="58">'Memorial Service'!$B$48:$F$48</definedName>
    <definedName name="SD_FINANCIAL" localSheetId="59">Midcontinent!$B$48:$F$48</definedName>
    <definedName name="SD_FINANCIAL" localSheetId="60">'Midwest Life'!$B$48:$F$48</definedName>
    <definedName name="SD_FINANCIAL" localSheetId="61">'Monarch Life'!$B$48:$F$48</definedName>
    <definedName name="SD_FINANCIAL" localSheetId="62">'Mutual Benefit'!$B$48:$F$48</definedName>
    <definedName name="SD_FINANCIAL" localSheetId="63">'Mutual Security'!$B$48:$F$48</definedName>
    <definedName name="SD_FINANCIAL" localSheetId="64">'National Affiliated'!$B$48:$F$48</definedName>
    <definedName name="SD_FINANCIAL" localSheetId="66">'National Heritage'!$B$48:$F$48</definedName>
    <definedName name="SD_FINANCIAL" localSheetId="67">'National States'!$B$48:$F$48</definedName>
    <definedName name="SD_FINANCIAL" localSheetId="65">'Natl American'!$B$48:$F$48</definedName>
    <definedName name="SD_FINANCIAL" localSheetId="68">'New Jersey Life'!$B$48:$F$48</definedName>
    <definedName name="SD_FINANCIAL" localSheetId="69">NNIC!$B$48:$F$48</definedName>
    <definedName name="SD_FINANCIAL" localSheetId="70">'Old Colony Life'!$B$48:$F$48</definedName>
    <definedName name="SD_FINANCIAL" localSheetId="71">'Old Faithful'!$B$48:$F$48</definedName>
    <definedName name="SD_FINANCIAL" localSheetId="72">'Pacific Standard'!$B$48:$F$48</definedName>
    <definedName name="SD_FINANCIAL" localSheetId="73">'Pen  Treaty'!$B$48:$F$48</definedName>
    <definedName name="SD_FINANCIAL" localSheetId="74">Reliance!$B$48:$F$48</definedName>
    <definedName name="SD_FINANCIAL" localSheetId="75">SeeChange!$B$48:$F$48</definedName>
    <definedName name="SD_FINANCIAL" localSheetId="76">'Senior American'!$B$48:$F$48</definedName>
    <definedName name="SD_FINANCIAL" localSheetId="77">Settlers!$B$48:$F$48</definedName>
    <definedName name="SD_FINANCIAL" localSheetId="78">Shenandoah!$B$48:$F$48</definedName>
    <definedName name="SD_FINANCIAL" localSheetId="79">'Standard Life IN'!$B$48:$F$48</definedName>
    <definedName name="SD_FINANCIAL" localSheetId="80">'States General'!$B$48:$F$48</definedName>
    <definedName name="SD_FINANCIAL" localSheetId="81">Statesman!$B$48:$F$48</definedName>
    <definedName name="SD_FINANCIAL" localSheetId="82">'Summit National'!$B$48:$F$48</definedName>
    <definedName name="SD_FINANCIAL" localSheetId="83">Supreme!$B$48:$F$48</definedName>
    <definedName name="SD_FINANCIAL" localSheetId="97">'Total Summary'!$B$48:$F$48</definedName>
    <definedName name="SD_FINANCIAL" localSheetId="84">Underwriters!$B$48:$F$48</definedName>
    <definedName name="SD_FINANCIAL" localSheetId="85">Unison!$B$48:$F$48</definedName>
    <definedName name="SD_FINANCIAL" localSheetId="86">'United Republic'!$B$48:$F$48</definedName>
    <definedName name="SD_FINANCIAL" localSheetId="87">'Universal Health Care'!$B$48:$F$48</definedName>
    <definedName name="SD_FINANCIAL" localSheetId="88">'Universal Life'!$B$48:$F$48</definedName>
    <definedName name="SD_FINANCIAL" localSheetId="89">Universe!$B$48:$F$48</definedName>
    <definedName name="SD_FINANCIAL" localSheetId="90">Villanova!$B$48:$F$48</definedName>
    <definedName name="TN_FINANCIAL" localSheetId="0">'Alabama Life'!$B$49:$F$49</definedName>
    <definedName name="TN_FINANCIAL" localSheetId="5">'Amer Life Asr'!$B$49:$F$49</definedName>
    <definedName name="TN_FINANCIAL" localSheetId="7">'Amer Std Life Acc'!$B$49:$F$49</definedName>
    <definedName name="TN_FINANCIAL" localSheetId="1">'American Chambers'!$B$49:$F$49</definedName>
    <definedName name="TN_FINANCIAL" localSheetId="2">'American Community'!$B$49:$F$49</definedName>
    <definedName name="TN_FINANCIAL" localSheetId="3">'American Educators'!$B$49:$F$49</definedName>
    <definedName name="TN_FINANCIAL" localSheetId="4">'American Integrity'!$B$49:$F$49</definedName>
    <definedName name="TN_FINANCIAL" localSheetId="6">'American Network'!$B$49:$F$49</definedName>
    <definedName name="TN_FINANCIAL" localSheetId="8">AmerWstrn!$B$49:$F$49</definedName>
    <definedName name="TN_FINANCIAL" localSheetId="9">'AMS Life'!$B$49:$F$49</definedName>
    <definedName name="TN_FINANCIAL" localSheetId="10">'Andrew Jackson'!$B$49:$F$49</definedName>
    <definedName name="TN_FINANCIAL" localSheetId="11">'Bankers Commercial'!$B$49:$F$49</definedName>
    <definedName name="TN_FINANCIAL" localSheetId="12">Benicorp!$B$49:$F$49</definedName>
    <definedName name="TN_FINANCIAL" localSheetId="13">'Booker T Washington'!$B$49:$F$49</definedName>
    <definedName name="TN_FINANCIAL" localSheetId="14">Centennial!$B$49:$F$49</definedName>
    <definedName name="TN_FINANCIAL" localSheetId="15">'Coastal States'!$B$49:$F$49</definedName>
    <definedName name="TN_FINANCIAL" localSheetId="16">'Colorado Health'!$B$49:$F$49</definedName>
    <definedName name="TN_FINANCIAL" localSheetId="17">'Compass (dbs Meritus)'!$B$49:$F$49</definedName>
    <definedName name="TN_FINANCIAL" localSheetId="18">'Confed Life &amp; Annty (CLIAC)'!$B$49:$F$49</definedName>
    <definedName name="TN_FINANCIAL" localSheetId="19">'Confed Life (CLIC)'!$B$49:$F$49</definedName>
    <definedName name="TN_FINANCIAL" localSheetId="20">'Consolidated National'!$B$49:$F$49</definedName>
    <definedName name="TN_FINANCIAL" localSheetId="21">'Consumers Choice'!$B$49:$F$49</definedName>
    <definedName name="TN_FINANCIAL" localSheetId="22">'Consumers Mutual'!$B$49:$F$49</definedName>
    <definedName name="TN_FINANCIAL" localSheetId="23">'Consumers United'!$B$49:$F$49</definedName>
    <definedName name="TN_FINANCIAL" localSheetId="24">CoOportunity!$B$49:$F$49</definedName>
    <definedName name="TN_FINANCIAL" localSheetId="25">'Coordinated Hlth'!$B$49:$F$49</definedName>
    <definedName name="TN_FINANCIAL" localSheetId="26">'Corporate Life'!$B$49:$F$49</definedName>
    <definedName name="TN_FINANCIAL" localSheetId="27">'Diamond Benefits'!$B$49:$F$49</definedName>
    <definedName name="TN_FINANCIAL" localSheetId="28">'EBL Life'!$B$49:$F$49</definedName>
    <definedName name="TN_FINANCIAL" localSheetId="30">ELNY!$B$49:$F$49</definedName>
    <definedName name="TN_FINANCIAL" localSheetId="29">'Executive Life'!$B$49:$F$49</definedName>
    <definedName name="TN_FINANCIAL" localSheetId="31">'Family Guaranty'!$B$49:$F$49</definedName>
    <definedName name="TN_FINANCIAL" localSheetId="32">'Farmers &amp; Ranchers'!$B$49:$F$49</definedName>
    <definedName name="TN_FINANCIAL" localSheetId="33">'Fidelity Bankers'!$B$49:$F$49</definedName>
    <definedName name="TN_FINANCIAL" localSheetId="34">'Fidelity Mutual'!$B$49:$F$49</definedName>
    <definedName name="TN_FINANCIAL" localSheetId="35">'First Capital'!$B$49:$F$49</definedName>
    <definedName name="TN_FINANCIAL" localSheetId="36">'First Natl'!$B$49:$F$49</definedName>
    <definedName name="TN_FINANCIAL" localSheetId="37">'First Natl (Thrnr)'!$B$49:$F$49</definedName>
    <definedName name="TN_FINANCIAL" localSheetId="38">'Franklin American'!$B$49:$F$49</definedName>
    <definedName name="TN_FINANCIAL" localSheetId="39">'Franklin Protective'!$B$49:$F$49</definedName>
    <definedName name="TN_FINANCIAL" localSheetId="40">'Freelancers CO-OP'!$B$49:$F$49</definedName>
    <definedName name="TN_FINANCIAL" localSheetId="41">'George Washington'!$B$49:$F$49</definedName>
    <definedName name="TN_FINANCIAL" localSheetId="42">'Golden State'!$B$49:$F$49</definedName>
    <definedName name="TN_FINANCIAL" localSheetId="43">'Guarantee Security'!$B$49:$F$49</definedName>
    <definedName name="TN_FINANCIAL" localSheetId="44">HealthyCT!$B$49:$F$49</definedName>
    <definedName name="TN_FINANCIAL" localSheetId="45">Imerica!$B$49:$F$49</definedName>
    <definedName name="TN_FINANCIAL" localSheetId="46">'Inter-American'!$B$49:$F$49</definedName>
    <definedName name="TN_FINANCIAL" localSheetId="47">'International Fin'!$B$49:$F$49</definedName>
    <definedName name="TN_FINANCIAL" localSheetId="48">'Investment Life of America'!$B$49:$F$49</definedName>
    <definedName name="TN_FINANCIAL" localSheetId="49">'Investors Equity'!$B$49:$F$49</definedName>
    <definedName name="TN_FINANCIAL" localSheetId="50">'Kentucky Central'!$B$49:$F$49</definedName>
    <definedName name="TN_FINANCIAL" localSheetId="51">'Land of Lincoln'!$B$49:$F$49</definedName>
    <definedName name="TN_FINANCIAL" localSheetId="52">Legion!$B$49:$F$49</definedName>
    <definedName name="TN_FINANCIAL" localSheetId="53">'Life Health America'!$B$49:$F$49</definedName>
    <definedName name="TN_FINANCIAL" localSheetId="54">'Lincoln Memorial'!$B$49:$F$49</definedName>
    <definedName name="TN_FINANCIAL" localSheetId="55">'London Pac'!$B$49:$F$49</definedName>
    <definedName name="TN_FINANCIAL" localSheetId="56">Lumbermens!$B$49:$F$49</definedName>
    <definedName name="TN_FINANCIAL" localSheetId="57">'Medical Savings'!$B$49:$F$49</definedName>
    <definedName name="TN_FINANCIAL" localSheetId="58">'Memorial Service'!$B$49:$F$49</definedName>
    <definedName name="TN_FINANCIAL" localSheetId="59">Midcontinent!$B$49:$F$49</definedName>
    <definedName name="TN_FINANCIAL" localSheetId="60">'Midwest Life'!$B$49:$F$49</definedName>
    <definedName name="TN_FINANCIAL" localSheetId="61">'Monarch Life'!$B$49:$F$49</definedName>
    <definedName name="TN_FINANCIAL" localSheetId="62">'Mutual Benefit'!$B$49:$F$49</definedName>
    <definedName name="TN_FINANCIAL" localSheetId="63">'Mutual Security'!$B$49:$F$49</definedName>
    <definedName name="TN_FINANCIAL" localSheetId="64">'National Affiliated'!$B$49:$F$49</definedName>
    <definedName name="TN_FINANCIAL" localSheetId="66">'National Heritage'!$B$49:$F$49</definedName>
    <definedName name="TN_FINANCIAL" localSheetId="67">'National States'!$B$49:$F$49</definedName>
    <definedName name="TN_FINANCIAL" localSheetId="65">'Natl American'!$B$49:$F$49</definedName>
    <definedName name="TN_FINANCIAL" localSheetId="68">'New Jersey Life'!$B$49:$F$49</definedName>
    <definedName name="TN_FINANCIAL" localSheetId="69">NNIC!$B$49:$F$49</definedName>
    <definedName name="TN_FINANCIAL" localSheetId="70">'Old Colony Life'!$B$49:$F$49</definedName>
    <definedName name="TN_FINANCIAL" localSheetId="71">'Old Faithful'!$B$49:$F$49</definedName>
    <definedName name="TN_FINANCIAL" localSheetId="72">'Pacific Standard'!$B$49:$F$49</definedName>
    <definedName name="TN_FINANCIAL" localSheetId="73">'Pen  Treaty'!$B$49:$F$49</definedName>
    <definedName name="TN_FINANCIAL" localSheetId="74">Reliance!$B$49:$F$49</definedName>
    <definedName name="TN_FINANCIAL" localSheetId="75">SeeChange!$B$49:$F$49</definedName>
    <definedName name="TN_FINANCIAL" localSheetId="76">'Senior American'!$B$49:$F$49</definedName>
    <definedName name="TN_FINANCIAL" localSheetId="77">Settlers!$B$49:$F$49</definedName>
    <definedName name="TN_FINANCIAL" localSheetId="78">Shenandoah!$B$49:$F$49</definedName>
    <definedName name="TN_FINANCIAL" localSheetId="79">'Standard Life IN'!$B$49:$F$49</definedName>
    <definedName name="TN_FINANCIAL" localSheetId="80">'States General'!$B$49:$F$49</definedName>
    <definedName name="TN_FINANCIAL" localSheetId="81">Statesman!$B$49:$F$49</definedName>
    <definedName name="TN_FINANCIAL" localSheetId="82">'Summit National'!$B$49:$F$49</definedName>
    <definedName name="TN_FINANCIAL" localSheetId="83">Supreme!$B$49:$F$49</definedName>
    <definedName name="TN_FINANCIAL" localSheetId="97">'Total Summary'!$B$49:$F$49</definedName>
    <definedName name="TN_FINANCIAL" localSheetId="84">Underwriters!$B$49:$F$49</definedName>
    <definedName name="TN_FINANCIAL" localSheetId="85">Unison!$B$49:$F$49</definedName>
    <definedName name="TN_FINANCIAL" localSheetId="86">'United Republic'!$B$49:$F$49</definedName>
    <definedName name="TN_FINANCIAL" localSheetId="87">'Universal Health Care'!$B$49:$F$49</definedName>
    <definedName name="TN_FINANCIAL" localSheetId="88">'Universal Life'!$B$49:$F$49</definedName>
    <definedName name="TN_FINANCIAL" localSheetId="89">Universe!$B$49:$F$49</definedName>
    <definedName name="TN_FINANCIAL" localSheetId="90">Villanova!$B$49:$F$49</definedName>
    <definedName name="TOTAL" localSheetId="94">'Closed Summary'!$G$6:$G$58</definedName>
    <definedName name="TOTAL" localSheetId="95">'Estate Closed Summary'!$G$6:$G$58</definedName>
    <definedName name="TOTAL" localSheetId="93">'Open Summary'!$G$6:$G$58</definedName>
    <definedName name="TOTAL" localSheetId="92">'Pre-Liquidation Summary'!$G$6:$G$58</definedName>
    <definedName name="TOTAL" localSheetId="96">'Released from Oversight Summary'!$G$6:$G$58</definedName>
    <definedName name="TOTAL_10197" localSheetId="91">Summary!$M$53</definedName>
    <definedName name="TOTAL_12577" localSheetId="91">Summary!$M$44</definedName>
    <definedName name="TOTAL_15046" localSheetId="91">Summary!$M$36</definedName>
    <definedName name="TOTAL_15092" localSheetId="91">Summary!$M$27</definedName>
    <definedName name="TOTAL_15093" localSheetId="91">Summary!$M$30</definedName>
    <definedName name="TOTAL_15102" localSheetId="91">Summary!$M$37</definedName>
    <definedName name="TOTAL_15126" localSheetId="91">Summary!$M$26</definedName>
    <definedName name="TOTAL_15128" localSheetId="91">Summary!$M$29</definedName>
    <definedName name="TOTAL_15145" localSheetId="91">Summary!$M$28</definedName>
    <definedName name="TOTAL_15197" localSheetId="91">Summary!$M$35</definedName>
    <definedName name="TOTAL_15314" localSheetId="91">Summary!$M$31</definedName>
    <definedName name="TOTAL_19577" localSheetId="91">Summary!$M$105</definedName>
    <definedName name="TOTAL_22977" localSheetId="91">Summary!$M$38</definedName>
    <definedName name="TOTAL_23914" localSheetId="91">Summary!$M$41</definedName>
    <definedName name="TOTAL_24422" localSheetId="91">Summary!$M$83</definedName>
    <definedName name="TOTAL_24457" localSheetId="91">Summary!$M$42</definedName>
    <definedName name="TOTAL_60305" localSheetId="91">Summary!$M$111</definedName>
    <definedName name="TOTAL_60356" localSheetId="91">Summary!$M$52</definedName>
    <definedName name="TOTAL_60593" localSheetId="91">Summary!$M$17</definedName>
    <definedName name="TOTAL_60917" localSheetId="91">Summary!$M$56</definedName>
    <definedName name="TOTAL_60968" localSheetId="91">Summary!$M$25</definedName>
    <definedName name="TOTAL_61220" localSheetId="91">Summary!$M$58</definedName>
    <definedName name="TOTAL_61468" localSheetId="91">Summary!$M$60</definedName>
    <definedName name="TOTAL_61654" localSheetId="91">Summary!$M$61</definedName>
    <definedName name="TOTAL_61913" localSheetId="91">Summary!$M$32</definedName>
    <definedName name="TOTAL_61980" localSheetId="91">Summary!$M$62</definedName>
    <definedName name="TOTAL_62278" localSheetId="91">Summary!$M$65</definedName>
    <definedName name="TOTAL_63010" localSheetId="91">Summary!$M$14</definedName>
    <definedName name="TOTAL_63185" localSheetId="91">Summary!$M$33</definedName>
    <definedName name="TOTAL_63266" localSheetId="91">Summary!$M$70</definedName>
    <definedName name="TOTAL_63282" localSheetId="91">Summary!$M$18</definedName>
    <definedName name="TOTAL_63304" localSheetId="91">Summary!$M$113</definedName>
    <definedName name="TOTAL_63452" localSheetId="91">Summary!$M$55</definedName>
    <definedName name="TOTAL_63517" localSheetId="91">Summary!$M$71</definedName>
    <definedName name="TOTAL_63525" localSheetId="91">Summary!$M$34</definedName>
    <definedName name="TOTAL_63533" localSheetId="91">Summary!$M$77</definedName>
    <definedName name="TOTAL_63541" localSheetId="91">Summary!$M$95</definedName>
    <definedName name="TOTAL_63770" localSheetId="91">Summary!$M$74</definedName>
    <definedName name="TOTAL_63924" localSheetId="91">Summary!$M$75</definedName>
    <definedName name="TOTAL_64084" localSheetId="91">Summary!$M$79</definedName>
    <definedName name="TOTAL_64220" localSheetId="91">Summary!$M$116</definedName>
    <definedName name="TOTAL_64874" localSheetId="91">Summary!$M$81</definedName>
    <definedName name="TOTAL_65161" localSheetId="91">Summary!$M$92</definedName>
    <definedName name="TOTAL_65188" localSheetId="91">Summary!$M$82</definedName>
    <definedName name="TOTAL_65447" localSheetId="91">Summary!$M$114</definedName>
    <definedName name="TOTAL_66001" localSheetId="91">Summary!$M$115</definedName>
    <definedName name="TOTAL_66060" localSheetId="91">Summary!$M$86</definedName>
    <definedName name="TOTAL_66265" localSheetId="91">Summary!$M$7</definedName>
    <definedName name="TOTAL_66362" localSheetId="91">Summary!$M$87</definedName>
    <definedName name="TOTAL_66400" localSheetId="91">Summary!$M$88</definedName>
    <definedName name="TOTAL_66907" localSheetId="91">Summary!$M$91</definedName>
    <definedName name="TOTAL_67210" localSheetId="91">Summary!$M$78</definedName>
    <definedName name="TOTAL_67229" localSheetId="91">Summary!$M$93</definedName>
    <definedName name="TOTAL_68055" localSheetId="91">Summary!$M$101</definedName>
    <definedName name="TOTAL_68489" localSheetId="91">Summary!$M$72</definedName>
    <definedName name="TOTAL_68845" localSheetId="91">Summary!$M$117</definedName>
    <definedName name="TOTAL_68934" localSheetId="91">Summary!$M$84</definedName>
    <definedName name="TOTAL_69051" localSheetId="91">Summary!$M$43</definedName>
    <definedName name="TOTAL_69175" localSheetId="91">Summary!$M$96</definedName>
    <definedName name="TOTAL_69183" localSheetId="91">Summary!$M$97</definedName>
    <definedName name="TOTAL_69221" localSheetId="91">Summary!$M$90</definedName>
    <definedName name="TOTAL_69302" localSheetId="91">Summary!$M$99</definedName>
    <definedName name="TOTAL_69370" localSheetId="91">Summary!$M$89</definedName>
    <definedName name="TOTAL_69752" localSheetId="91">Summary!$M$59</definedName>
    <definedName name="TOTAL_69833" localSheetId="91">Summary!$M$16</definedName>
    <definedName name="TOTAL_70157" localSheetId="91">Summary!$M$103</definedName>
    <definedName name="TOTAL_70181" localSheetId="91">Summary!$M$104</definedName>
    <definedName name="TOTAL_71080" localSheetId="91">Summary!$M$98</definedName>
    <definedName name="TOTAL_71382" localSheetId="91">Summary!$M$64</definedName>
    <definedName name="TOTAL_72842" localSheetId="91">Summary!$M$94</definedName>
    <definedName name="TOTAL_74217A" localSheetId="91">Summary!$M$85</definedName>
    <definedName name="TOTAL_74705" localSheetId="91">Summary!$M$66</definedName>
    <definedName name="TOTAL_74926" localSheetId="91">Summary!$M$39</definedName>
    <definedName name="TOTAL_74969" localSheetId="91">Summary!$M$67</definedName>
    <definedName name="TOTAL_75302" localSheetId="91">Summary!$M$69</definedName>
    <definedName name="TOTAL_75914" localSheetId="91">Summary!$M$51</definedName>
    <definedName name="TOTAL_76015" localSheetId="91">Summary!$M$80</definedName>
    <definedName name="TOTAL_76759" localSheetId="91">Summary!$M$19</definedName>
    <definedName name="TOTAL_77887" localSheetId="91">Summary!$M$15</definedName>
    <definedName name="TOTAL_80667" localSheetId="91">Summary!$M$63</definedName>
    <definedName name="TOTAL_81078" localSheetId="91">Summary!$M$13</definedName>
    <definedName name="TOTAL_84271" localSheetId="91">Summary!$M$76</definedName>
    <definedName name="TOTAL_86142" localSheetId="91">Summary!$M$57</definedName>
    <definedName name="TOTAL_87033" localSheetId="91">Summary!$M$68</definedName>
    <definedName name="TOTAL_88161" localSheetId="91">Summary!$M$54</definedName>
    <definedName name="TOTAL_88188" localSheetId="91">Summary!$M$100</definedName>
    <definedName name="TOTAL_93238" localSheetId="91">Summary!$M$102</definedName>
    <definedName name="TOTAL_97284" localSheetId="91">Summary!$M$40</definedName>
    <definedName name="TOTAL_98655" localSheetId="91">Summary!$M$73</definedName>
    <definedName name="TOTAL_98825" localSheetId="91">Summary!$M$50</definedName>
    <definedName name="TOTAL_99384" localSheetId="91">Summary!$M$112</definedName>
    <definedName name="TOTAL_CROSSCHECK" localSheetId="94">'Closed Summary'!#REF!</definedName>
    <definedName name="TOTAL_CROSSCHECK" localSheetId="95">'Estate Closed Summary'!#REF!</definedName>
    <definedName name="TOTAL_CROSSCHECK" localSheetId="93">'Open Summary'!#REF!</definedName>
    <definedName name="TOTAL_CROSSCHECK" localSheetId="92">'Pre-Liquidation Summary'!#REF!</definedName>
    <definedName name="TOTAL_CROSSCHECK" localSheetId="96">'Released from Oversight Summary'!#REF!</definedName>
    <definedName name="TX_FINANCIAL" localSheetId="0">'Alabama Life'!$B$50:$F$50</definedName>
    <definedName name="TX_FINANCIAL" localSheetId="5">'Amer Life Asr'!$B$50:$F$50</definedName>
    <definedName name="TX_FINANCIAL" localSheetId="7">'Amer Std Life Acc'!$B$50:$F$50</definedName>
    <definedName name="TX_FINANCIAL" localSheetId="1">'American Chambers'!$B$50:$F$50</definedName>
    <definedName name="TX_FINANCIAL" localSheetId="2">'American Community'!$B$50:$F$50</definedName>
    <definedName name="TX_FINANCIAL" localSheetId="3">'American Educators'!$B$50:$F$50</definedName>
    <definedName name="TX_FINANCIAL" localSheetId="4">'American Integrity'!$B$50:$F$50</definedName>
    <definedName name="TX_FINANCIAL" localSheetId="6">'American Network'!$B$50:$F$50</definedName>
    <definedName name="TX_FINANCIAL" localSheetId="8">AmerWstrn!$B$50:$F$50</definedName>
    <definedName name="TX_FINANCIAL" localSheetId="9">'AMS Life'!$B$50:$F$50</definedName>
    <definedName name="TX_FINANCIAL" localSheetId="10">'Andrew Jackson'!$B$50:$F$50</definedName>
    <definedName name="TX_FINANCIAL" localSheetId="11">'Bankers Commercial'!$B$50:$F$50</definedName>
    <definedName name="TX_FINANCIAL" localSheetId="12">Benicorp!$B$50:$F$50</definedName>
    <definedName name="TX_FINANCIAL" localSheetId="13">'Booker T Washington'!$B$50:$F$50</definedName>
    <definedName name="TX_FINANCIAL" localSheetId="14">Centennial!$B$50:$F$50</definedName>
    <definedName name="TX_FINANCIAL" localSheetId="15">'Coastal States'!$B$50:$F$50</definedName>
    <definedName name="TX_FINANCIAL" localSheetId="16">'Colorado Health'!$B$50:$F$50</definedName>
    <definedName name="TX_FINANCIAL" localSheetId="17">'Compass (dbs Meritus)'!$B$50:$F$50</definedName>
    <definedName name="TX_FINANCIAL" localSheetId="18">'Confed Life &amp; Annty (CLIAC)'!$B$50:$F$50</definedName>
    <definedName name="TX_FINANCIAL" localSheetId="19">'Confed Life (CLIC)'!$B$50:$F$50</definedName>
    <definedName name="TX_FINANCIAL" localSheetId="20">'Consolidated National'!$B$50:$F$50</definedName>
    <definedName name="TX_FINANCIAL" localSheetId="21">'Consumers Choice'!$B$50:$F$50</definedName>
    <definedName name="TX_FINANCIAL" localSheetId="22">'Consumers Mutual'!$B$50:$F$50</definedName>
    <definedName name="TX_FINANCIAL" localSheetId="23">'Consumers United'!$B$50:$F$50</definedName>
    <definedName name="TX_FINANCIAL" localSheetId="24">CoOportunity!$B$50:$F$50</definedName>
    <definedName name="TX_FINANCIAL" localSheetId="25">'Coordinated Hlth'!$B$50:$F$50</definedName>
    <definedName name="TX_FINANCIAL" localSheetId="26">'Corporate Life'!$B$50:$F$50</definedName>
    <definedName name="TX_FINANCIAL" localSheetId="27">'Diamond Benefits'!$B$50:$F$50</definedName>
    <definedName name="TX_FINANCIAL" localSheetId="28">'EBL Life'!$B$50:$F$50</definedName>
    <definedName name="TX_FINANCIAL" localSheetId="30">ELNY!$B$50:$F$50</definedName>
    <definedName name="TX_FINANCIAL" localSheetId="29">'Executive Life'!$B$50:$F$50</definedName>
    <definedName name="TX_FINANCIAL" localSheetId="31">'Family Guaranty'!$B$50:$F$50</definedName>
    <definedName name="TX_FINANCIAL" localSheetId="32">'Farmers &amp; Ranchers'!$B$50:$F$50</definedName>
    <definedName name="TX_FINANCIAL" localSheetId="33">'Fidelity Bankers'!$B$50:$F$50</definedName>
    <definedName name="TX_FINANCIAL" localSheetId="34">'Fidelity Mutual'!$B$50:$F$50</definedName>
    <definedName name="TX_FINANCIAL" localSheetId="35">'First Capital'!$B$50:$F$50</definedName>
    <definedName name="TX_FINANCIAL" localSheetId="36">'First Natl'!$B$50:$F$50</definedName>
    <definedName name="TX_FINANCIAL" localSheetId="37">'First Natl (Thrnr)'!$B$50:$F$50</definedName>
    <definedName name="TX_FINANCIAL" localSheetId="38">'Franklin American'!$B$50:$F$50</definedName>
    <definedName name="TX_FINANCIAL" localSheetId="39">'Franklin Protective'!$B$50:$F$50</definedName>
    <definedName name="TX_FINANCIAL" localSheetId="40">'Freelancers CO-OP'!$B$50:$F$50</definedName>
    <definedName name="TX_FINANCIAL" localSheetId="41">'George Washington'!$B$50:$F$50</definedName>
    <definedName name="TX_FINANCIAL" localSheetId="42">'Golden State'!$B$50:$F$50</definedName>
    <definedName name="TX_FINANCIAL" localSheetId="43">'Guarantee Security'!$B$50:$F$50</definedName>
    <definedName name="TX_FINANCIAL" localSheetId="44">HealthyCT!$B$50:$F$50</definedName>
    <definedName name="TX_FINANCIAL" localSheetId="45">Imerica!$B$50:$F$50</definedName>
    <definedName name="TX_FINANCIAL" localSheetId="46">'Inter-American'!$B$50:$F$50</definedName>
    <definedName name="TX_FINANCIAL" localSheetId="47">'International Fin'!$B$50:$F$50</definedName>
    <definedName name="TX_FINANCIAL" localSheetId="48">'Investment Life of America'!$B$50:$F$50</definedName>
    <definedName name="TX_FINANCIAL" localSheetId="49">'Investors Equity'!$B$50:$F$50</definedName>
    <definedName name="TX_FINANCIAL" localSheetId="50">'Kentucky Central'!$B$50:$F$50</definedName>
    <definedName name="TX_FINANCIAL" localSheetId="51">'Land of Lincoln'!$B$50:$F$50</definedName>
    <definedName name="TX_FINANCIAL" localSheetId="52">Legion!$B$50:$F$50</definedName>
    <definedName name="TX_FINANCIAL" localSheetId="53">'Life Health America'!$B$50:$F$50</definedName>
    <definedName name="TX_FINANCIAL" localSheetId="54">'Lincoln Memorial'!$B$50:$F$50</definedName>
    <definedName name="TX_FINANCIAL" localSheetId="55">'London Pac'!$B$50:$F$50</definedName>
    <definedName name="TX_FINANCIAL" localSheetId="56">Lumbermens!$B$50:$F$50</definedName>
    <definedName name="TX_FINANCIAL" localSheetId="57">'Medical Savings'!$B$50:$F$50</definedName>
    <definedName name="TX_FINANCIAL" localSheetId="58">'Memorial Service'!$B$50:$F$50</definedName>
    <definedName name="TX_FINANCIAL" localSheetId="59">Midcontinent!$B$50:$F$50</definedName>
    <definedName name="TX_FINANCIAL" localSheetId="60">'Midwest Life'!$B$50:$F$50</definedName>
    <definedName name="TX_FINANCIAL" localSheetId="61">'Monarch Life'!$B$50:$F$50</definedName>
    <definedName name="TX_FINANCIAL" localSheetId="62">'Mutual Benefit'!$B$50:$F$50</definedName>
    <definedName name="TX_FINANCIAL" localSheetId="63">'Mutual Security'!$B$50:$F$50</definedName>
    <definedName name="TX_FINANCIAL" localSheetId="64">'National Affiliated'!$B$50:$F$50</definedName>
    <definedName name="TX_FINANCIAL" localSheetId="66">'National Heritage'!$B$50:$F$50</definedName>
    <definedName name="TX_FINANCIAL" localSheetId="67">'National States'!$B$50:$F$50</definedName>
    <definedName name="TX_FINANCIAL" localSheetId="65">'Natl American'!$B$50:$F$50</definedName>
    <definedName name="TX_FINANCIAL" localSheetId="68">'New Jersey Life'!$B$50:$F$50</definedName>
    <definedName name="TX_FINANCIAL" localSheetId="69">NNIC!$B$50:$F$50</definedName>
    <definedName name="TX_FINANCIAL" localSheetId="70">'Old Colony Life'!$B$50:$F$50</definedName>
    <definedName name="TX_FINANCIAL" localSheetId="71">'Old Faithful'!$B$50:$F$50</definedName>
    <definedName name="TX_FINANCIAL" localSheetId="72">'Pacific Standard'!$B$50:$F$50</definedName>
    <definedName name="TX_FINANCIAL" localSheetId="73">'Pen  Treaty'!$B$50:$F$50</definedName>
    <definedName name="TX_FINANCIAL" localSheetId="74">Reliance!$B$50:$F$50</definedName>
    <definedName name="TX_FINANCIAL" localSheetId="75">SeeChange!$B$50:$F$50</definedName>
    <definedName name="TX_FINANCIAL" localSheetId="76">'Senior American'!$B$50:$F$50</definedName>
    <definedName name="TX_FINANCIAL" localSheetId="77">Settlers!$B$50:$F$50</definedName>
    <definedName name="TX_FINANCIAL" localSheetId="78">Shenandoah!$B$50:$F$50</definedName>
    <definedName name="TX_FINANCIAL" localSheetId="79">'Standard Life IN'!$B$50:$F$50</definedName>
    <definedName name="TX_FINANCIAL" localSheetId="80">'States General'!$B$50:$F$50</definedName>
    <definedName name="TX_FINANCIAL" localSheetId="81">Statesman!$B$50:$F$50</definedName>
    <definedName name="TX_FINANCIAL" localSheetId="82">'Summit National'!$B$50:$F$50</definedName>
    <definedName name="TX_FINANCIAL" localSheetId="83">Supreme!$B$50:$F$50</definedName>
    <definedName name="TX_FINANCIAL" localSheetId="97">'Total Summary'!$B$50:$F$50</definedName>
    <definedName name="TX_FINANCIAL" localSheetId="84">Underwriters!$B$50:$F$50</definedName>
    <definedName name="TX_FINANCIAL" localSheetId="85">Unison!$B$50:$F$50</definedName>
    <definedName name="TX_FINANCIAL" localSheetId="86">'United Republic'!$B$50:$F$50</definedName>
    <definedName name="TX_FINANCIAL" localSheetId="87">'Universal Health Care'!$B$50:$F$50</definedName>
    <definedName name="TX_FINANCIAL" localSheetId="88">'Universal Life'!$B$50:$F$50</definedName>
    <definedName name="TX_FINANCIAL" localSheetId="89">Universe!$B$50:$F$50</definedName>
    <definedName name="TX_FINANCIAL" localSheetId="90">Villanova!$B$50:$F$50</definedName>
    <definedName name="UNALLOC_CALLED" localSheetId="0">'Alabama Life'!$U$6:$U$58</definedName>
    <definedName name="UNALLOC_CALLED" localSheetId="5">'Amer Life Asr'!$U$6:$U$58</definedName>
    <definedName name="UNALLOC_CALLED" localSheetId="7">'Amer Std Life Acc'!$U$6:$U$58</definedName>
    <definedName name="UNALLOC_CALLED" localSheetId="1">'American Chambers'!$U$6:$U$58</definedName>
    <definedName name="UNALLOC_CALLED" localSheetId="2">'American Community'!$U$6:$U$58</definedName>
    <definedName name="UNALLOC_CALLED" localSheetId="3">'American Educators'!$U$6:$U$58</definedName>
    <definedName name="UNALLOC_CALLED" localSheetId="4">'American Integrity'!$U$6:$U$58</definedName>
    <definedName name="UNALLOC_CALLED" localSheetId="6">'American Network'!$U$6:$U$58</definedName>
    <definedName name="UNALLOC_CALLED" localSheetId="8">AmerWstrn!$U$6:$U$58</definedName>
    <definedName name="UNALLOC_CALLED" localSheetId="9">'AMS Life'!$U$6:$U$58</definedName>
    <definedName name="UNALLOC_CALLED" localSheetId="10">'Andrew Jackson'!$U$6:$U$58</definedName>
    <definedName name="UNALLOC_CALLED" localSheetId="11">'Bankers Commercial'!$U$6:$U$58</definedName>
    <definedName name="UNALLOC_CALLED" localSheetId="12">Benicorp!$U$6:$U$58</definedName>
    <definedName name="UNALLOC_CALLED" localSheetId="13">'Booker T Washington'!$U$6:$U$58</definedName>
    <definedName name="UNALLOC_CALLED" localSheetId="14">Centennial!$U$6:$U$58</definedName>
    <definedName name="UNALLOC_CALLED" localSheetId="15">'Coastal States'!$U$6:$U$58</definedName>
    <definedName name="UNALLOC_CALLED" localSheetId="16">'Colorado Health'!$U$6:$U$58</definedName>
    <definedName name="UNALLOC_CALLED" localSheetId="17">'Compass (dbs Meritus)'!$U$6:$U$58</definedName>
    <definedName name="UNALLOC_CALLED" localSheetId="18">'Confed Life &amp; Annty (CLIAC)'!$U$6:$U$58</definedName>
    <definedName name="UNALLOC_CALLED" localSheetId="19">'Confed Life (CLIC)'!$U$6:$U$58</definedName>
    <definedName name="UNALLOC_CALLED" localSheetId="20">'Consolidated National'!$U$6:$U$58</definedName>
    <definedName name="UNALLOC_CALLED" localSheetId="21">'Consumers Choice'!$U$6:$U$58</definedName>
    <definedName name="UNALLOC_CALLED" localSheetId="22">'Consumers Mutual'!$U$6:$U$58</definedName>
    <definedName name="UNALLOC_CALLED" localSheetId="23">'Consumers United'!$U$6:$U$58</definedName>
    <definedName name="UNALLOC_CALLED" localSheetId="24">CoOportunity!$U$6:$U$58</definedName>
    <definedName name="UNALLOC_CALLED" localSheetId="25">'Coordinated Hlth'!$U$6:$U$58</definedName>
    <definedName name="UNALLOC_CALLED" localSheetId="26">'Corporate Life'!$U$6:$U$58</definedName>
    <definedName name="UNALLOC_CALLED" localSheetId="27">'Diamond Benefits'!$U$6:$U$58</definedName>
    <definedName name="UNALLOC_CALLED" localSheetId="28">'EBL Life'!$U$6:$U$58</definedName>
    <definedName name="UNALLOC_CALLED" localSheetId="30">ELNY!$U$6:$U$58</definedName>
    <definedName name="UNALLOC_CALLED" localSheetId="29">'Executive Life'!$U$6:$U$58</definedName>
    <definedName name="UNALLOC_CALLED" localSheetId="31">'Family Guaranty'!$U$6:$U$58</definedName>
    <definedName name="UNALLOC_CALLED" localSheetId="32">'Farmers &amp; Ranchers'!$U$6:$U$58</definedName>
    <definedName name="UNALLOC_CALLED" localSheetId="33">'Fidelity Bankers'!$U$6:$U$58</definedName>
    <definedName name="UNALLOC_CALLED" localSheetId="34">'Fidelity Mutual'!$U$6:$U$58</definedName>
    <definedName name="UNALLOC_CALLED" localSheetId="35">'First Capital'!$U$6:$U$58</definedName>
    <definedName name="UNALLOC_CALLED" localSheetId="36">'First Natl'!$U$6:$U$58</definedName>
    <definedName name="UNALLOC_CALLED" localSheetId="37">'First Natl (Thrnr)'!$U$6:$U$58</definedName>
    <definedName name="UNALLOC_CALLED" localSheetId="38">'Franklin American'!$U$6:$U$58</definedName>
    <definedName name="UNALLOC_CALLED" localSheetId="39">'Franklin Protective'!$U$6:$U$58</definedName>
    <definedName name="UNALLOC_CALLED" localSheetId="40">'Freelancers CO-OP'!$U$6:$U$58</definedName>
    <definedName name="UNALLOC_CALLED" localSheetId="41">'George Washington'!$U$6:$U$58</definedName>
    <definedName name="UNALLOC_CALLED" localSheetId="42">'Golden State'!$U$6:$U$58</definedName>
    <definedName name="UNALLOC_CALLED" localSheetId="43">'Guarantee Security'!$U$6:$U$58</definedName>
    <definedName name="UNALLOC_CALLED" localSheetId="44">HealthyCT!$U$6:$U$58</definedName>
    <definedName name="UNALLOC_CALLED" localSheetId="45">Imerica!$U$6:$U$58</definedName>
    <definedName name="UNALLOC_CALLED" localSheetId="46">'Inter-American'!$U$6:$U$58</definedName>
    <definedName name="UNALLOC_CALLED" localSheetId="47">'International Fin'!$U$6:$U$58</definedName>
    <definedName name="UNALLOC_CALLED" localSheetId="48">'Investment Life of America'!$U$6:$U$58</definedName>
    <definedName name="UNALLOC_CALLED" localSheetId="49">'Investors Equity'!$U$6:$U$58</definedName>
    <definedName name="UNALLOC_CALLED" localSheetId="50">'Kentucky Central'!$U$6:$U$58</definedName>
    <definedName name="UNALLOC_CALLED" localSheetId="51">'Land of Lincoln'!$U$6:$U$58</definedName>
    <definedName name="UNALLOC_CALLED" localSheetId="52">Legion!$U$6:$U$58</definedName>
    <definedName name="UNALLOC_CALLED" localSheetId="53">'Life Health America'!$U$6:$U$58</definedName>
    <definedName name="UNALLOC_CALLED" localSheetId="54">'Lincoln Memorial'!$U$6:$U$58</definedName>
    <definedName name="UNALLOC_CALLED" localSheetId="55">'London Pac'!$U$6:$U$58</definedName>
    <definedName name="UNALLOC_CALLED" localSheetId="56">Lumbermens!$U$6:$U$58</definedName>
    <definedName name="UNALLOC_CALLED" localSheetId="57">'Medical Savings'!$U$6:$U$58</definedName>
    <definedName name="UNALLOC_CALLED" localSheetId="58">'Memorial Service'!$U$6:$U$58</definedName>
    <definedName name="UNALLOC_CALLED" localSheetId="59">Midcontinent!$U$6:$U$58</definedName>
    <definedName name="UNALLOC_CALLED" localSheetId="60">'Midwest Life'!$U$6:$U$58</definedName>
    <definedName name="UNALLOC_CALLED" localSheetId="61">'Monarch Life'!$U$6:$U$58</definedName>
    <definedName name="UNALLOC_CALLED" localSheetId="62">'Mutual Benefit'!$U$6:$U$58</definedName>
    <definedName name="UNALLOC_CALLED" localSheetId="63">'Mutual Security'!$U$6:$U$58</definedName>
    <definedName name="UNALLOC_CALLED" localSheetId="64">'National Affiliated'!$U$6:$U$58</definedName>
    <definedName name="UNALLOC_CALLED" localSheetId="66">'National Heritage'!$U$6:$U$58</definedName>
    <definedName name="UNALLOC_CALLED" localSheetId="67">'National States'!$U$6:$U$58</definedName>
    <definedName name="UNALLOC_CALLED" localSheetId="65">'Natl American'!$U$6:$U$58</definedName>
    <definedName name="UNALLOC_CALLED" localSheetId="68">'New Jersey Life'!$U$6:$U$58</definedName>
    <definedName name="UNALLOC_CALLED" localSheetId="69">NNIC!$U$6:$U$58</definedName>
    <definedName name="UNALLOC_CALLED" localSheetId="70">'Old Colony Life'!$U$6:$U$58</definedName>
    <definedName name="UNALLOC_CALLED" localSheetId="71">'Old Faithful'!$U$6:$U$58</definedName>
    <definedName name="UNALLOC_CALLED" localSheetId="72">'Pacific Standard'!$U$6:$U$58</definedName>
    <definedName name="UNALLOC_CALLED" localSheetId="73">'Pen  Treaty'!$U$6:$U$58</definedName>
    <definedName name="UNALLOC_CALLED" localSheetId="74">Reliance!$U$6:$U$58</definedName>
    <definedName name="UNALLOC_CALLED" localSheetId="75">SeeChange!$U$6:$U$58</definedName>
    <definedName name="UNALLOC_CALLED" localSheetId="76">'Senior American'!$U$6:$U$58</definedName>
    <definedName name="UNALLOC_CALLED" localSheetId="77">Settlers!$U$6:$U$58</definedName>
    <definedName name="UNALLOC_CALLED" localSheetId="78">Shenandoah!$U$6:$U$58</definedName>
    <definedName name="UNALLOC_CALLED" localSheetId="79">'Standard Life IN'!$U$6:$U$58</definedName>
    <definedName name="UNALLOC_CALLED" localSheetId="80">'States General'!$U$6:$U$58</definedName>
    <definedName name="UNALLOC_CALLED" localSheetId="81">Statesman!$U$6:$U$58</definedName>
    <definedName name="UNALLOC_CALLED" localSheetId="82">'Summit National'!$U$6:$U$58</definedName>
    <definedName name="UNALLOC_CALLED" localSheetId="83">Supreme!$U$6:$U$58</definedName>
    <definedName name="UNALLOC_CALLED" localSheetId="97">'Total Summary'!$R$6:$R$59</definedName>
    <definedName name="UNALLOC_CALLED" localSheetId="84">Underwriters!$U$6:$U$58</definedName>
    <definedName name="UNALLOC_CALLED" localSheetId="85">Unison!$U$6:$U$58</definedName>
    <definedName name="UNALLOC_CALLED" localSheetId="86">'United Republic'!$U$6:$U$58</definedName>
    <definedName name="UNALLOC_CALLED" localSheetId="87">'Universal Health Care'!$U$6:$U$58</definedName>
    <definedName name="UNALLOC_CALLED" localSheetId="88">'Universal Life'!$U$6:$U$58</definedName>
    <definedName name="UNALLOC_CALLED" localSheetId="89">Universe!$U$6:$U$58</definedName>
    <definedName name="UNALLOC_CALLED" localSheetId="90">Villanova!$U$6:$U$58</definedName>
    <definedName name="UNALLOC_REFUNDED" localSheetId="0">'Alabama Life'!$V$6:$V$58</definedName>
    <definedName name="UNALLOC_REFUNDED" localSheetId="5">'Amer Life Asr'!$V$6:$V$58</definedName>
    <definedName name="UNALLOC_REFUNDED" localSheetId="7">'Amer Std Life Acc'!$V$6:$V$58</definedName>
    <definedName name="UNALLOC_REFUNDED" localSheetId="1">'American Chambers'!$V$6:$V$58</definedName>
    <definedName name="UNALLOC_REFUNDED" localSheetId="2">'American Community'!$V$6:$V$58</definedName>
    <definedName name="UNALLOC_REFUNDED" localSheetId="3">'American Educators'!$V$6:$V$58</definedName>
    <definedName name="UNALLOC_REFUNDED" localSheetId="4">'American Integrity'!$V$6:$V$58</definedName>
    <definedName name="UNALLOC_REFUNDED" localSheetId="6">'American Network'!$V$6:$V$58</definedName>
    <definedName name="UNALLOC_REFUNDED" localSheetId="8">AmerWstrn!$V$6:$V$58</definedName>
    <definedName name="UNALLOC_REFUNDED" localSheetId="9">'AMS Life'!$V$6:$V$58</definedName>
    <definedName name="UNALLOC_REFUNDED" localSheetId="10">'Andrew Jackson'!$V$6:$V$58</definedName>
    <definedName name="UNALLOC_REFUNDED" localSheetId="11">'Bankers Commercial'!$V$6:$V$58</definedName>
    <definedName name="UNALLOC_REFUNDED" localSheetId="12">Benicorp!$V$6:$V$58</definedName>
    <definedName name="UNALLOC_REFUNDED" localSheetId="13">'Booker T Washington'!$V$6:$V$58</definedName>
    <definedName name="UNALLOC_REFUNDED" localSheetId="14">Centennial!$V$6:$V$58</definedName>
    <definedName name="UNALLOC_REFUNDED" localSheetId="15">'Coastal States'!$V$6:$V$58</definedName>
    <definedName name="UNALLOC_REFUNDED" localSheetId="16">'Colorado Health'!$V$6:$V$58</definedName>
    <definedName name="UNALLOC_REFUNDED" localSheetId="17">'Compass (dbs Meritus)'!$V$6:$V$58</definedName>
    <definedName name="UNALLOC_REFUNDED" localSheetId="18">'Confed Life &amp; Annty (CLIAC)'!$V$6:$V$58</definedName>
    <definedName name="UNALLOC_REFUNDED" localSheetId="19">'Confed Life (CLIC)'!$V$6:$V$58</definedName>
    <definedName name="UNALLOC_REFUNDED" localSheetId="20">'Consolidated National'!$V$6:$V$58</definedName>
    <definedName name="UNALLOC_REFUNDED" localSheetId="21">'Consumers Choice'!$V$6:$V$58</definedName>
    <definedName name="UNALLOC_REFUNDED" localSheetId="22">'Consumers Mutual'!$V$6:$V$58</definedName>
    <definedName name="UNALLOC_REFUNDED" localSheetId="23">'Consumers United'!$V$6:$V$58</definedName>
    <definedName name="UNALLOC_REFUNDED" localSheetId="24">CoOportunity!$V$6:$V$58</definedName>
    <definedName name="UNALLOC_REFUNDED" localSheetId="25">'Coordinated Hlth'!$V$6:$V$58</definedName>
    <definedName name="UNALLOC_REFUNDED" localSheetId="26">'Corporate Life'!$V$6:$V$58</definedName>
    <definedName name="UNALLOC_REFUNDED" localSheetId="27">'Diamond Benefits'!$V$6:$V$58</definedName>
    <definedName name="UNALLOC_REFUNDED" localSheetId="28">'EBL Life'!$V$6:$V$58</definedName>
    <definedName name="UNALLOC_REFUNDED" localSheetId="30">ELNY!$V$6:$V$58</definedName>
    <definedName name="UNALLOC_REFUNDED" localSheetId="29">'Executive Life'!$V$6:$V$58</definedName>
    <definedName name="UNALLOC_REFUNDED" localSheetId="31">'Family Guaranty'!$V$6:$V$58</definedName>
    <definedName name="UNALLOC_REFUNDED" localSheetId="32">'Farmers &amp; Ranchers'!$V$6:$V$58</definedName>
    <definedName name="UNALLOC_REFUNDED" localSheetId="33">'Fidelity Bankers'!$V$6:$V$58</definedName>
    <definedName name="UNALLOC_REFUNDED" localSheetId="34">'Fidelity Mutual'!$V$6:$V$58</definedName>
    <definedName name="UNALLOC_REFUNDED" localSheetId="35">'First Capital'!$V$6:$V$58</definedName>
    <definedName name="UNALLOC_REFUNDED" localSheetId="36">'First Natl'!$V$6:$V$58</definedName>
    <definedName name="UNALLOC_REFUNDED" localSheetId="37">'First Natl (Thrnr)'!$V$6:$V$58</definedName>
    <definedName name="UNALLOC_REFUNDED" localSheetId="38">'Franklin American'!$V$6:$V$58</definedName>
    <definedName name="UNALLOC_REFUNDED" localSheetId="39">'Franklin Protective'!$V$6:$V$58</definedName>
    <definedName name="UNALLOC_REFUNDED" localSheetId="40">'Freelancers CO-OP'!$V$6:$V$58</definedName>
    <definedName name="UNALLOC_REFUNDED" localSheetId="41">'George Washington'!$V$6:$V$58</definedName>
    <definedName name="UNALLOC_REFUNDED" localSheetId="42">'Golden State'!$V$6:$V$58</definedName>
    <definedName name="UNALLOC_REFUNDED" localSheetId="43">'Guarantee Security'!$V$6:$V$58</definedName>
    <definedName name="UNALLOC_REFUNDED" localSheetId="44">HealthyCT!$V$6:$V$58</definedName>
    <definedName name="UNALLOC_REFUNDED" localSheetId="45">Imerica!$V$6:$V$58</definedName>
    <definedName name="UNALLOC_REFUNDED" localSheetId="46">'Inter-American'!$V$6:$V$58</definedName>
    <definedName name="UNALLOC_REFUNDED" localSheetId="47">'International Fin'!$V$6:$V$58</definedName>
    <definedName name="UNALLOC_REFUNDED" localSheetId="48">'Investment Life of America'!$V$6:$V$58</definedName>
    <definedName name="UNALLOC_REFUNDED" localSheetId="49">'Investors Equity'!$V$6:$V$58</definedName>
    <definedName name="UNALLOC_REFUNDED" localSheetId="50">'Kentucky Central'!$V$6:$V$58</definedName>
    <definedName name="UNALLOC_REFUNDED" localSheetId="51">'Land of Lincoln'!$V$6:$V$58</definedName>
    <definedName name="UNALLOC_REFUNDED" localSheetId="52">Legion!$V$6:$V$58</definedName>
    <definedName name="UNALLOC_REFUNDED" localSheetId="53">'Life Health America'!$V$6:$V$58</definedName>
    <definedName name="UNALLOC_REFUNDED" localSheetId="54">'Lincoln Memorial'!$V$6:$V$58</definedName>
    <definedName name="UNALLOC_REFUNDED" localSheetId="55">'London Pac'!$V$6:$V$58</definedName>
    <definedName name="UNALLOC_REFUNDED" localSheetId="56">Lumbermens!$V$6:$V$58</definedName>
    <definedName name="UNALLOC_REFUNDED" localSheetId="57">'Medical Savings'!$V$6:$V$58</definedName>
    <definedName name="UNALLOC_REFUNDED" localSheetId="58">'Memorial Service'!$V$6:$V$58</definedName>
    <definedName name="UNALLOC_REFUNDED" localSheetId="59">Midcontinent!$V$6:$V$58</definedName>
    <definedName name="UNALLOC_REFUNDED" localSheetId="60">'Midwest Life'!$V$6:$V$58</definedName>
    <definedName name="UNALLOC_REFUNDED" localSheetId="61">'Monarch Life'!$V$6:$V$58</definedName>
    <definedName name="UNALLOC_REFUNDED" localSheetId="62">'Mutual Benefit'!$V$6:$V$58</definedName>
    <definedName name="UNALLOC_REFUNDED" localSheetId="63">'Mutual Security'!$V$6:$V$58</definedName>
    <definedName name="UNALLOC_REFUNDED" localSheetId="64">'National Affiliated'!$V$6:$V$58</definedName>
    <definedName name="UNALLOC_REFUNDED" localSheetId="66">'National Heritage'!$V$6:$V$58</definedName>
    <definedName name="UNALLOC_REFUNDED" localSheetId="67">'National States'!$V$6:$V$58</definedName>
    <definedName name="UNALLOC_REFUNDED" localSheetId="65">'Natl American'!$V$6:$V$58</definedName>
    <definedName name="UNALLOC_REFUNDED" localSheetId="68">'New Jersey Life'!$V$6:$V$58</definedName>
    <definedName name="UNALLOC_REFUNDED" localSheetId="69">NNIC!$V$6:$V$58</definedName>
    <definedName name="UNALLOC_REFUNDED" localSheetId="70">'Old Colony Life'!$V$6:$V$58</definedName>
    <definedName name="UNALLOC_REFUNDED" localSheetId="71">'Old Faithful'!$V$6:$V$58</definedName>
    <definedName name="UNALLOC_REFUNDED" localSheetId="72">'Pacific Standard'!$V$6:$V$58</definedName>
    <definedName name="UNALLOC_REFUNDED" localSheetId="73">'Pen  Treaty'!$V$6:$V$58</definedName>
    <definedName name="UNALLOC_REFUNDED" localSheetId="74">Reliance!$V$6:$V$58</definedName>
    <definedName name="UNALLOC_REFUNDED" localSheetId="75">SeeChange!$V$6:$V$58</definedName>
    <definedName name="UNALLOC_REFUNDED" localSheetId="76">'Senior American'!$V$6:$V$58</definedName>
    <definedName name="UNALLOC_REFUNDED" localSheetId="77">Settlers!$V$6:$V$58</definedName>
    <definedName name="UNALLOC_REFUNDED" localSheetId="78">Shenandoah!$V$6:$V$58</definedName>
    <definedName name="UNALLOC_REFUNDED" localSheetId="79">'Standard Life IN'!$V$6:$V$58</definedName>
    <definedName name="UNALLOC_REFUNDED" localSheetId="80">'States General'!$V$6:$V$58</definedName>
    <definedName name="UNALLOC_REFUNDED" localSheetId="81">Statesman!$V$6:$V$58</definedName>
    <definedName name="UNALLOC_REFUNDED" localSheetId="82">'Summit National'!$V$6:$V$58</definedName>
    <definedName name="UNALLOC_REFUNDED" localSheetId="83">Supreme!$V$6:$V$58</definedName>
    <definedName name="UNALLOC_REFUNDED" localSheetId="97">'Total Summary'!$S$6:$S$59</definedName>
    <definedName name="UNALLOC_REFUNDED" localSheetId="84">Underwriters!$V$6:$V$58</definedName>
    <definedName name="UNALLOC_REFUNDED" localSheetId="85">Unison!$V$6:$V$58</definedName>
    <definedName name="UNALLOC_REFUNDED" localSheetId="86">'United Republic'!$V$6:$V$58</definedName>
    <definedName name="UNALLOC_REFUNDED" localSheetId="87">'Universal Health Care'!$V$6:$V$58</definedName>
    <definedName name="UNALLOC_REFUNDED" localSheetId="88">'Universal Life'!$V$6:$V$58</definedName>
    <definedName name="UNALLOC_REFUNDED" localSheetId="89">Universe!$V$6:$V$58</definedName>
    <definedName name="UNALLOC_REFUNDED" localSheetId="90">Villanova!$V$6:$V$58</definedName>
    <definedName name="UNALLOCATED" localSheetId="0">'Alabama Life'!$E$6:$E$59</definedName>
    <definedName name="UNALLOCATED" localSheetId="5">'Amer Life Asr'!$E$6:$E$59</definedName>
    <definedName name="UNALLOCATED" localSheetId="7">'Amer Std Life Acc'!$E$6:$E$59</definedName>
    <definedName name="UNALLOCATED" localSheetId="1">'American Chambers'!$E$6:$E$59</definedName>
    <definedName name="UNALLOCATED" localSheetId="2">'American Community'!$E$6:$E$59</definedName>
    <definedName name="UNALLOCATED" localSheetId="3">'American Educators'!$E$6:$E$59</definedName>
    <definedName name="UNALLOCATED" localSheetId="4">'American Integrity'!$E$6:$E$59</definedName>
    <definedName name="UNALLOCATED" localSheetId="6">'American Network'!$E$6:$E$59</definedName>
    <definedName name="UNALLOCATED" localSheetId="8">AmerWstrn!$E$6:$E$59</definedName>
    <definedName name="UNALLOCATED" localSheetId="9">'AMS Life'!$E$6:$E$59</definedName>
    <definedName name="UNALLOCATED" localSheetId="10">'Andrew Jackson'!$E$6:$E$59</definedName>
    <definedName name="UNALLOCATED" localSheetId="11">'Bankers Commercial'!$E$6:$E$59</definedName>
    <definedName name="UNALLOCATED" localSheetId="12">Benicorp!$E$6:$E$59</definedName>
    <definedName name="UNALLOCATED" localSheetId="13">'Booker T Washington'!$E$6:$E$59</definedName>
    <definedName name="UNALLOCATED" localSheetId="14">Centennial!$E$6:$E$59</definedName>
    <definedName name="UNALLOCATED" localSheetId="94">'Closed Summary'!$E$6:$E$58</definedName>
    <definedName name="UNALLOCATED" localSheetId="15">'Coastal States'!$E$6:$E$59</definedName>
    <definedName name="UNALLOCATED" localSheetId="16">'Colorado Health'!$E$6:$E$59</definedName>
    <definedName name="UNALLOCATED" localSheetId="17">'Compass (dbs Meritus)'!$E$6:$E$59</definedName>
    <definedName name="UNALLOCATED" localSheetId="18">'Confed Life &amp; Annty (CLIAC)'!$E$6:$E$59</definedName>
    <definedName name="UNALLOCATED" localSheetId="19">'Confed Life (CLIC)'!$E$6:$E$59</definedName>
    <definedName name="UNALLOCATED" localSheetId="20">'Consolidated National'!$E$6:$E$59</definedName>
    <definedName name="UNALLOCATED" localSheetId="21">'Consumers Choice'!$E$6:$E$59</definedName>
    <definedName name="UNALLOCATED" localSheetId="22">'Consumers Mutual'!$E$6:$E$59</definedName>
    <definedName name="UNALLOCATED" localSheetId="23">'Consumers United'!$E$6:$E$59</definedName>
    <definedName name="UNALLOCATED" localSheetId="24">CoOportunity!$E$6:$E$59</definedName>
    <definedName name="UNALLOCATED" localSheetId="25">'Coordinated Hlth'!$E$6:$E$59</definedName>
    <definedName name="UNALLOCATED" localSheetId="26">'Corporate Life'!$E$6:$E$59</definedName>
    <definedName name="UNALLOCATED" localSheetId="27">'Diamond Benefits'!$E$6:$E$59</definedName>
    <definedName name="UNALLOCATED" localSheetId="28">'EBL Life'!$E$6:$E$59</definedName>
    <definedName name="UNALLOCATED" localSheetId="30">ELNY!$E$6:$E$59</definedName>
    <definedName name="UNALLOCATED" localSheetId="95">'Estate Closed Summary'!$E$6:$E$58</definedName>
    <definedName name="UNALLOCATED" localSheetId="29">'Executive Life'!$E$6:$E$59</definedName>
    <definedName name="UNALLOCATED" localSheetId="31">'Family Guaranty'!$E$6:$E$59</definedName>
    <definedName name="UNALLOCATED" localSheetId="32">'Farmers &amp; Ranchers'!$E$6:$E$59</definedName>
    <definedName name="UNALLOCATED" localSheetId="33">'Fidelity Bankers'!$E$6:$E$59</definedName>
    <definedName name="UNALLOCATED" localSheetId="34">'Fidelity Mutual'!$E$6:$E$59</definedName>
    <definedName name="UNALLOCATED" localSheetId="35">'First Capital'!$E$6:$E$59</definedName>
    <definedName name="UNALLOCATED" localSheetId="36">'First Natl'!$E$6:$E$59</definedName>
    <definedName name="UNALLOCATED" localSheetId="37">'First Natl (Thrnr)'!$E$6:$E$59</definedName>
    <definedName name="UNALLOCATED" localSheetId="38">'Franklin American'!$E$6:$E$59</definedName>
    <definedName name="UNALLOCATED" localSheetId="39">'Franklin Protective'!$E$6:$E$59</definedName>
    <definedName name="UNALLOCATED" localSheetId="40">'Freelancers CO-OP'!$E$6:$E$59</definedName>
    <definedName name="UNALLOCATED" localSheetId="41">'George Washington'!$E$6:$E$59</definedName>
    <definedName name="UNALLOCATED" localSheetId="42">'Golden State'!$E$6:$E$59</definedName>
    <definedName name="UNALLOCATED" localSheetId="43">'Guarantee Security'!$E$6:$E$59</definedName>
    <definedName name="UNALLOCATED" localSheetId="44">HealthyCT!$E$6:$E$59</definedName>
    <definedName name="UNALLOCATED" localSheetId="45">Imerica!$E$6:$E$59</definedName>
    <definedName name="UNALLOCATED" localSheetId="46">'Inter-American'!$E$6:$E$59</definedName>
    <definedName name="UNALLOCATED" localSheetId="47">'International Fin'!$E$6:$E$59</definedName>
    <definedName name="UNALLOCATED" localSheetId="48">'Investment Life of America'!$E$6:$E$59</definedName>
    <definedName name="UNALLOCATED" localSheetId="49">'Investors Equity'!$E$6:$E$59</definedName>
    <definedName name="UNALLOCATED" localSheetId="50">'Kentucky Central'!$E$6:$E$59</definedName>
    <definedName name="UNALLOCATED" localSheetId="51">'Land of Lincoln'!$E$6:$E$59</definedName>
    <definedName name="UNALLOCATED" localSheetId="52">Legion!$E$6:$E$59</definedName>
    <definedName name="UNALLOCATED" localSheetId="53">'Life Health America'!$E$6:$E$59</definedName>
    <definedName name="UNALLOCATED" localSheetId="54">'Lincoln Memorial'!$E$6:$E$59</definedName>
    <definedName name="UNALLOCATED" localSheetId="55">'London Pac'!$E$6:$E$59</definedName>
    <definedName name="UNALLOCATED" localSheetId="56">Lumbermens!$E$6:$E$59</definedName>
    <definedName name="UNALLOCATED" localSheetId="57">'Medical Savings'!$E$6:$E$59</definedName>
    <definedName name="UNALLOCATED" localSheetId="58">'Memorial Service'!$E$6:$E$59</definedName>
    <definedName name="UNALLOCATED" localSheetId="59">Midcontinent!$E$6:$E$59</definedName>
    <definedName name="UNALLOCATED" localSheetId="60">'Midwest Life'!$E$6:$E$59</definedName>
    <definedName name="UNALLOCATED" localSheetId="61">'Monarch Life'!$E$6:$E$59</definedName>
    <definedName name="UNALLOCATED" localSheetId="62">'Mutual Benefit'!$E$6:$E$59</definedName>
    <definedName name="UNALLOCATED" localSheetId="63">'Mutual Security'!$E$6:$E$59</definedName>
    <definedName name="UNALLOCATED" localSheetId="64">'National Affiliated'!$E$6:$E$59</definedName>
    <definedName name="UNALLOCATED" localSheetId="66">'National Heritage'!$E$6:$E$59</definedName>
    <definedName name="UNALLOCATED" localSheetId="67">'National States'!$E$6:$E$59</definedName>
    <definedName name="UNALLOCATED" localSheetId="65">'Natl American'!$E$6:$E$59</definedName>
    <definedName name="UNALLOCATED" localSheetId="68">'New Jersey Life'!$E$6:$E$59</definedName>
    <definedName name="UNALLOCATED" localSheetId="69">NNIC!$E$6:$E$59</definedName>
    <definedName name="UNALLOCATED" localSheetId="70">'Old Colony Life'!$E$6:$E$59</definedName>
    <definedName name="UNALLOCATED" localSheetId="71">'Old Faithful'!$E$6:$E$59</definedName>
    <definedName name="UNALLOCATED" localSheetId="93">'Open Summary'!$E$6:$E$58</definedName>
    <definedName name="UNALLOCATED" localSheetId="72">'Pacific Standard'!$E$6:$E$59</definedName>
    <definedName name="UNALLOCATED" localSheetId="73">'Pen  Treaty'!$E$6:$E$59</definedName>
    <definedName name="UNALLOCATED" localSheetId="92">'Pre-Liquidation Summary'!$E$6:$E$58</definedName>
    <definedName name="UNALLOCATED" localSheetId="96">'Released from Oversight Summary'!$E$6:$E$58</definedName>
    <definedName name="UNALLOCATED" localSheetId="74">Reliance!$E$6:$E$59</definedName>
    <definedName name="UNALLOCATED" localSheetId="75">SeeChange!$E$6:$E$59</definedName>
    <definedName name="UNALLOCATED" localSheetId="76">'Senior American'!$E$6:$E$59</definedName>
    <definedName name="UNALLOCATED" localSheetId="77">Settlers!$E$6:$E$59</definedName>
    <definedName name="UNALLOCATED" localSheetId="78">Shenandoah!$E$6:$E$59</definedName>
    <definedName name="UNALLOCATED" localSheetId="79">'Standard Life IN'!$E$6:$E$59</definedName>
    <definedName name="UNALLOCATED" localSheetId="80">'States General'!$E$6:$E$59</definedName>
    <definedName name="UNALLOCATED" localSheetId="81">Statesman!$E$6:$E$59</definedName>
    <definedName name="UNALLOCATED" localSheetId="82">'Summit National'!$E$6:$E$59</definedName>
    <definedName name="UNALLOCATED" localSheetId="83">Supreme!$E$6:$E$59</definedName>
    <definedName name="UNALLOCATED" localSheetId="97">'Total Summary'!$E$6:$E$59</definedName>
    <definedName name="UNALLOCATED" localSheetId="84">Underwriters!$E$6:$E$59</definedName>
    <definedName name="UNALLOCATED" localSheetId="85">Unison!$E$6:$E$59</definedName>
    <definedName name="UNALLOCATED" localSheetId="86">'United Republic'!$E$6:$E$59</definedName>
    <definedName name="UNALLOCATED" localSheetId="87">'Universal Health Care'!$E$6:$E$59</definedName>
    <definedName name="UNALLOCATED" localSheetId="88">'Universal Life'!$E$6:$E$59</definedName>
    <definedName name="UNALLOCATED" localSheetId="89">Universe!$E$6:$E$59</definedName>
    <definedName name="UNALLOCATED" localSheetId="90">Villanova!$E$6:$E$59</definedName>
    <definedName name="UT_FINANCIAL" localSheetId="0">'Alabama Life'!$B$51:$F$51</definedName>
    <definedName name="UT_FINANCIAL" localSheetId="5">'Amer Life Asr'!$B$51:$F$51</definedName>
    <definedName name="UT_FINANCIAL" localSheetId="7">'Amer Std Life Acc'!$B$51:$F$51</definedName>
    <definedName name="UT_FINANCIAL" localSheetId="1">'American Chambers'!$B$51:$F$51</definedName>
    <definedName name="UT_FINANCIAL" localSheetId="2">'American Community'!$B$51:$F$51</definedName>
    <definedName name="UT_FINANCIAL" localSheetId="3">'American Educators'!$B$51:$F$51</definedName>
    <definedName name="UT_FINANCIAL" localSheetId="4">'American Integrity'!$B$51:$F$51</definedName>
    <definedName name="UT_FINANCIAL" localSheetId="6">'American Network'!$B$51:$F$51</definedName>
    <definedName name="UT_FINANCIAL" localSheetId="8">AmerWstrn!$B$51:$F$51</definedName>
    <definedName name="UT_FINANCIAL" localSheetId="9">'AMS Life'!$B$51:$F$51</definedName>
    <definedName name="UT_FINANCIAL" localSheetId="10">'Andrew Jackson'!$B$51:$F$51</definedName>
    <definedName name="UT_FINANCIAL" localSheetId="11">'Bankers Commercial'!$B$51:$F$51</definedName>
    <definedName name="UT_FINANCIAL" localSheetId="12">Benicorp!$B$51:$F$51</definedName>
    <definedName name="UT_FINANCIAL" localSheetId="13">'Booker T Washington'!$B$51:$F$51</definedName>
    <definedName name="UT_FINANCIAL" localSheetId="14">Centennial!$B$51:$F$51</definedName>
    <definedName name="UT_FINANCIAL" localSheetId="15">'Coastal States'!$B$51:$F$51</definedName>
    <definedName name="UT_FINANCIAL" localSheetId="16">'Colorado Health'!$B$51:$F$51</definedName>
    <definedName name="UT_FINANCIAL" localSheetId="17">'Compass (dbs Meritus)'!$B$51:$F$51</definedName>
    <definedName name="UT_FINANCIAL" localSheetId="18">'Confed Life &amp; Annty (CLIAC)'!$B$51:$F$51</definedName>
    <definedName name="UT_FINANCIAL" localSheetId="19">'Confed Life (CLIC)'!$B$51:$F$51</definedName>
    <definedName name="UT_FINANCIAL" localSheetId="20">'Consolidated National'!$B$51:$F$51</definedName>
    <definedName name="UT_FINANCIAL" localSheetId="21">'Consumers Choice'!$B$51:$F$51</definedName>
    <definedName name="UT_FINANCIAL" localSheetId="22">'Consumers Mutual'!$B$51:$F$51</definedName>
    <definedName name="UT_FINANCIAL" localSheetId="23">'Consumers United'!$B$51:$F$51</definedName>
    <definedName name="UT_FINANCIAL" localSheetId="24">CoOportunity!$B$51:$F$51</definedName>
    <definedName name="UT_FINANCIAL" localSheetId="25">'Coordinated Hlth'!$B$51:$F$51</definedName>
    <definedName name="UT_FINANCIAL" localSheetId="26">'Corporate Life'!$B$51:$F$51</definedName>
    <definedName name="UT_FINANCIAL" localSheetId="27">'Diamond Benefits'!$B$51:$F$51</definedName>
    <definedName name="UT_FINANCIAL" localSheetId="28">'EBL Life'!$B$51:$F$51</definedName>
    <definedName name="UT_FINANCIAL" localSheetId="30">ELNY!$B$51:$F$51</definedName>
    <definedName name="UT_FINANCIAL" localSheetId="29">'Executive Life'!$B$51:$F$51</definedName>
    <definedName name="UT_FINANCIAL" localSheetId="31">'Family Guaranty'!$B$51:$F$51</definedName>
    <definedName name="UT_FINANCIAL" localSheetId="32">'Farmers &amp; Ranchers'!$B$51:$F$51</definedName>
    <definedName name="UT_FINANCIAL" localSheetId="33">'Fidelity Bankers'!$B$51:$F$51</definedName>
    <definedName name="UT_FINANCIAL" localSheetId="34">'Fidelity Mutual'!$B$51:$F$51</definedName>
    <definedName name="UT_FINANCIAL" localSheetId="35">'First Capital'!$B$51:$F$51</definedName>
    <definedName name="UT_FINANCIAL" localSheetId="36">'First Natl'!$B$51:$F$51</definedName>
    <definedName name="UT_FINANCIAL" localSheetId="37">'First Natl (Thrnr)'!$B$51:$F$51</definedName>
    <definedName name="UT_FINANCIAL" localSheetId="38">'Franklin American'!$B$51:$F$51</definedName>
    <definedName name="UT_FINANCIAL" localSheetId="39">'Franklin Protective'!$B$51:$F$51</definedName>
    <definedName name="UT_FINANCIAL" localSheetId="40">'Freelancers CO-OP'!$B$51:$F$51</definedName>
    <definedName name="UT_FINANCIAL" localSheetId="41">'George Washington'!$B$51:$F$51</definedName>
    <definedName name="UT_FINANCIAL" localSheetId="42">'Golden State'!$B$51:$F$51</definedName>
    <definedName name="UT_FINANCIAL" localSheetId="43">'Guarantee Security'!$B$51:$F$51</definedName>
    <definedName name="UT_FINANCIAL" localSheetId="44">HealthyCT!$B$51:$F$51</definedName>
    <definedName name="UT_FINANCIAL" localSheetId="45">Imerica!$B$51:$F$51</definedName>
    <definedName name="UT_FINANCIAL" localSheetId="46">'Inter-American'!$B$51:$F$51</definedName>
    <definedName name="UT_FINANCIAL" localSheetId="47">'International Fin'!$B$51:$F$51</definedName>
    <definedName name="UT_FINANCIAL" localSheetId="48">'Investment Life of America'!$B$51:$F$51</definedName>
    <definedName name="UT_FINANCIAL" localSheetId="49">'Investors Equity'!$B$51:$F$51</definedName>
    <definedName name="UT_FINANCIAL" localSheetId="50">'Kentucky Central'!$B$51:$F$51</definedName>
    <definedName name="UT_FINANCIAL" localSheetId="51">'Land of Lincoln'!$B$51:$F$51</definedName>
    <definedName name="UT_FINANCIAL" localSheetId="52">Legion!$B$51:$F$51</definedName>
    <definedName name="UT_FINANCIAL" localSheetId="53">'Life Health America'!$B$51:$F$51</definedName>
    <definedName name="UT_FINANCIAL" localSheetId="54">'Lincoln Memorial'!$B$51:$F$51</definedName>
    <definedName name="UT_FINANCIAL" localSheetId="55">'London Pac'!$B$51:$F$51</definedName>
    <definedName name="UT_FINANCIAL" localSheetId="56">Lumbermens!$B$51:$F$51</definedName>
    <definedName name="UT_FINANCIAL" localSheetId="57">'Medical Savings'!$B$51:$F$51</definedName>
    <definedName name="UT_FINANCIAL" localSheetId="58">'Memorial Service'!$B$51:$F$51</definedName>
    <definedName name="UT_FINANCIAL" localSheetId="59">Midcontinent!$B$51:$F$51</definedName>
    <definedName name="UT_FINANCIAL" localSheetId="60">'Midwest Life'!$B$51:$F$51</definedName>
    <definedName name="UT_FINANCIAL" localSheetId="61">'Monarch Life'!$B$51:$F$51</definedName>
    <definedName name="UT_FINANCIAL" localSheetId="62">'Mutual Benefit'!$B$51:$F$51</definedName>
    <definedName name="UT_FINANCIAL" localSheetId="63">'Mutual Security'!$B$51:$F$51</definedName>
    <definedName name="UT_FINANCIAL" localSheetId="64">'National Affiliated'!$B$51:$F$51</definedName>
    <definedName name="UT_FINANCIAL" localSheetId="66">'National Heritage'!$B$51:$F$51</definedName>
    <definedName name="UT_FINANCIAL" localSheetId="67">'National States'!$B$51:$F$51</definedName>
    <definedName name="UT_FINANCIAL" localSheetId="65">'Natl American'!$B$51:$F$51</definedName>
    <definedName name="UT_FINANCIAL" localSheetId="68">'New Jersey Life'!$B$51:$F$51</definedName>
    <definedName name="UT_FINANCIAL" localSheetId="69">NNIC!$B$51:$F$51</definedName>
    <definedName name="UT_FINANCIAL" localSheetId="70">'Old Colony Life'!$B$51:$F$51</definedName>
    <definedName name="UT_FINANCIAL" localSheetId="71">'Old Faithful'!$B$51:$F$51</definedName>
    <definedName name="UT_FINANCIAL" localSheetId="72">'Pacific Standard'!$B$51:$F$51</definedName>
    <definedName name="UT_FINANCIAL" localSheetId="73">'Pen  Treaty'!$B$51:$F$51</definedName>
    <definedName name="UT_FINANCIAL" localSheetId="74">Reliance!$B$51:$F$51</definedName>
    <definedName name="UT_FINANCIAL" localSheetId="75">SeeChange!$B$51:$F$51</definedName>
    <definedName name="UT_FINANCIAL" localSheetId="76">'Senior American'!$B$51:$F$51</definedName>
    <definedName name="UT_FINANCIAL" localSheetId="77">Settlers!$B$51:$F$51</definedName>
    <definedName name="UT_FINANCIAL" localSheetId="78">Shenandoah!$B$51:$F$51</definedName>
    <definedName name="UT_FINANCIAL" localSheetId="79">'Standard Life IN'!$B$51:$F$51</definedName>
    <definedName name="UT_FINANCIAL" localSheetId="80">'States General'!$B$51:$F$51</definedName>
    <definedName name="UT_FINANCIAL" localSheetId="81">Statesman!$B$51:$F$51</definedName>
    <definedName name="UT_FINANCIAL" localSheetId="82">'Summit National'!$B$51:$F$51</definedName>
    <definedName name="UT_FINANCIAL" localSheetId="83">Supreme!$B$51:$F$51</definedName>
    <definedName name="UT_FINANCIAL" localSheetId="97">'Total Summary'!$B$51:$F$51</definedName>
    <definedName name="UT_FINANCIAL" localSheetId="84">Underwriters!$B$51:$F$51</definedName>
    <definedName name="UT_FINANCIAL" localSheetId="85">Unison!$B$51:$F$51</definedName>
    <definedName name="UT_FINANCIAL" localSheetId="86">'United Republic'!$B$51:$F$51</definedName>
    <definedName name="UT_FINANCIAL" localSheetId="87">'Universal Health Care'!$B$51:$F$51</definedName>
    <definedName name="UT_FINANCIAL" localSheetId="88">'Universal Life'!$B$51:$F$51</definedName>
    <definedName name="UT_FINANCIAL" localSheetId="89">Universe!$B$51:$F$51</definedName>
    <definedName name="UT_FINANCIAL" localSheetId="90">Villanova!$B$51:$F$51</definedName>
    <definedName name="VA_FINANCIAL" localSheetId="0">'Alabama Life'!$B$53:$F$53</definedName>
    <definedName name="VA_FINANCIAL" localSheetId="5">'Amer Life Asr'!$B$53:$F$53</definedName>
    <definedName name="VA_FINANCIAL" localSheetId="7">'Amer Std Life Acc'!$B$53:$F$53</definedName>
    <definedName name="VA_FINANCIAL" localSheetId="1">'American Chambers'!$B$53:$F$53</definedName>
    <definedName name="VA_FINANCIAL" localSheetId="2">'American Community'!$B$53:$F$53</definedName>
    <definedName name="VA_FINANCIAL" localSheetId="3">'American Educators'!$B$53:$F$53</definedName>
    <definedName name="VA_FINANCIAL" localSheetId="4">'American Integrity'!$B$53:$F$53</definedName>
    <definedName name="VA_FINANCIAL" localSheetId="6">'American Network'!$B$53:$F$53</definedName>
    <definedName name="VA_FINANCIAL" localSheetId="8">AmerWstrn!$B$53:$F$53</definedName>
    <definedName name="VA_FINANCIAL" localSheetId="9">'AMS Life'!$B$53:$F$53</definedName>
    <definedName name="VA_FINANCIAL" localSheetId="10">'Andrew Jackson'!$B$53:$F$53</definedName>
    <definedName name="VA_FINANCIAL" localSheetId="11">'Bankers Commercial'!$B$53:$F$53</definedName>
    <definedName name="VA_FINANCIAL" localSheetId="12">Benicorp!$B$53:$F$53</definedName>
    <definedName name="VA_FINANCIAL" localSheetId="13">'Booker T Washington'!$B$53:$F$53</definedName>
    <definedName name="VA_FINANCIAL" localSheetId="14">Centennial!$B$53:$F$53</definedName>
    <definedName name="VA_FINANCIAL" localSheetId="15">'Coastal States'!$B$53:$F$53</definedName>
    <definedName name="VA_FINANCIAL" localSheetId="16">'Colorado Health'!$B$53:$F$53</definedName>
    <definedName name="VA_FINANCIAL" localSheetId="17">'Compass (dbs Meritus)'!$B$53:$F$53</definedName>
    <definedName name="VA_FINANCIAL" localSheetId="18">'Confed Life &amp; Annty (CLIAC)'!$B$53:$F$53</definedName>
    <definedName name="VA_FINANCIAL" localSheetId="19">'Confed Life (CLIC)'!$B$53:$F$53</definedName>
    <definedName name="VA_FINANCIAL" localSheetId="20">'Consolidated National'!$B$53:$F$53</definedName>
    <definedName name="VA_FINANCIAL" localSheetId="21">'Consumers Choice'!$B$53:$F$53</definedName>
    <definedName name="VA_FINANCIAL" localSheetId="22">'Consumers Mutual'!$B$53:$F$53</definedName>
    <definedName name="VA_FINANCIAL" localSheetId="23">'Consumers United'!$B$53:$F$53</definedName>
    <definedName name="VA_FINANCIAL" localSheetId="24">CoOportunity!$B$53:$F$53</definedName>
    <definedName name="VA_FINANCIAL" localSheetId="25">'Coordinated Hlth'!$B$53:$F$53</definedName>
    <definedName name="VA_FINANCIAL" localSheetId="26">'Corporate Life'!$B$53:$F$53</definedName>
    <definedName name="VA_FINANCIAL" localSheetId="27">'Diamond Benefits'!$B$53:$F$53</definedName>
    <definedName name="VA_FINANCIAL" localSheetId="28">'EBL Life'!$B$53:$F$53</definedName>
    <definedName name="VA_FINANCIAL" localSheetId="30">ELNY!$B$53:$F$53</definedName>
    <definedName name="VA_FINANCIAL" localSheetId="29">'Executive Life'!$B$53:$F$53</definedName>
    <definedName name="VA_FINANCIAL" localSheetId="31">'Family Guaranty'!$B$53:$F$53</definedName>
    <definedName name="VA_FINANCIAL" localSheetId="32">'Farmers &amp; Ranchers'!$B$53:$F$53</definedName>
    <definedName name="VA_FINANCIAL" localSheetId="33">'Fidelity Bankers'!$B$53:$F$53</definedName>
    <definedName name="VA_FINANCIAL" localSheetId="34">'Fidelity Mutual'!$B$53:$F$53</definedName>
    <definedName name="VA_FINANCIAL" localSheetId="35">'First Capital'!$B$53:$F$53</definedName>
    <definedName name="VA_FINANCIAL" localSheetId="36">'First Natl'!$B$53:$F$53</definedName>
    <definedName name="VA_FINANCIAL" localSheetId="37">'First Natl (Thrnr)'!$B$53:$F$53</definedName>
    <definedName name="VA_FINANCIAL" localSheetId="38">'Franklin American'!$B$53:$F$53</definedName>
    <definedName name="VA_FINANCIAL" localSheetId="39">'Franklin Protective'!$B$53:$F$53</definedName>
    <definedName name="VA_FINANCIAL" localSheetId="40">'Freelancers CO-OP'!$B$53:$F$53</definedName>
    <definedName name="VA_FINANCIAL" localSheetId="41">'George Washington'!$B$53:$F$53</definedName>
    <definedName name="VA_FINANCIAL" localSheetId="42">'Golden State'!$B$53:$F$53</definedName>
    <definedName name="VA_FINANCIAL" localSheetId="43">'Guarantee Security'!$B$53:$F$53</definedName>
    <definedName name="VA_FINANCIAL" localSheetId="44">HealthyCT!$B$53:$F$53</definedName>
    <definedName name="VA_FINANCIAL" localSheetId="45">Imerica!$B$53:$F$53</definedName>
    <definedName name="VA_FINANCIAL" localSheetId="46">'Inter-American'!$B$53:$F$53</definedName>
    <definedName name="VA_FINANCIAL" localSheetId="47">'International Fin'!$B$53:$F$53</definedName>
    <definedName name="VA_FINANCIAL" localSheetId="48">'Investment Life of America'!$B$53:$F$53</definedName>
    <definedName name="VA_FINANCIAL" localSheetId="49">'Investors Equity'!$B$53:$F$53</definedName>
    <definedName name="VA_FINANCIAL" localSheetId="50">'Kentucky Central'!$B$53:$F$53</definedName>
    <definedName name="VA_FINANCIAL" localSheetId="51">'Land of Lincoln'!$B$53:$F$53</definedName>
    <definedName name="VA_FINANCIAL" localSheetId="52">Legion!$B$53:$F$53</definedName>
    <definedName name="VA_FINANCIAL" localSheetId="53">'Life Health America'!$B$53:$F$53</definedName>
    <definedName name="VA_FINANCIAL" localSheetId="54">'Lincoln Memorial'!$B$53:$F$53</definedName>
    <definedName name="VA_FINANCIAL" localSheetId="55">'London Pac'!$B$53:$F$53</definedName>
    <definedName name="VA_FINANCIAL" localSheetId="56">Lumbermens!$B$53:$F$53</definedName>
    <definedName name="VA_FINANCIAL" localSheetId="57">'Medical Savings'!$B$53:$F$53</definedName>
    <definedName name="VA_FINANCIAL" localSheetId="58">'Memorial Service'!$B$53:$F$53</definedName>
    <definedName name="VA_FINANCIAL" localSheetId="59">Midcontinent!$B$53:$F$53</definedName>
    <definedName name="VA_FINANCIAL" localSheetId="60">'Midwest Life'!$B$53:$F$53</definedName>
    <definedName name="VA_FINANCIAL" localSheetId="61">'Monarch Life'!$B$53:$F$53</definedName>
    <definedName name="VA_FINANCIAL" localSheetId="62">'Mutual Benefit'!$B$53:$F$53</definedName>
    <definedName name="VA_FINANCIAL" localSheetId="63">'Mutual Security'!$B$53:$F$53</definedName>
    <definedName name="VA_FINANCIAL" localSheetId="64">'National Affiliated'!$B$53:$F$53</definedName>
    <definedName name="VA_FINANCIAL" localSheetId="66">'National Heritage'!$B$53:$F$53</definedName>
    <definedName name="VA_FINANCIAL" localSheetId="67">'National States'!$B$53:$F$53</definedName>
    <definedName name="VA_FINANCIAL" localSheetId="65">'Natl American'!$B$53:$F$53</definedName>
    <definedName name="VA_FINANCIAL" localSheetId="68">'New Jersey Life'!$B$53:$F$53</definedName>
    <definedName name="VA_FINANCIAL" localSheetId="69">NNIC!$B$53:$F$53</definedName>
    <definedName name="VA_FINANCIAL" localSheetId="70">'Old Colony Life'!$B$53:$F$53</definedName>
    <definedName name="VA_FINANCIAL" localSheetId="71">'Old Faithful'!$B$53:$F$53</definedName>
    <definedName name="VA_FINANCIAL" localSheetId="72">'Pacific Standard'!$B$53:$F$53</definedName>
    <definedName name="VA_FINANCIAL" localSheetId="73">'Pen  Treaty'!$B$53:$F$53</definedName>
    <definedName name="VA_FINANCIAL" localSheetId="74">Reliance!$B$53:$F$53</definedName>
    <definedName name="VA_FINANCIAL" localSheetId="75">SeeChange!$B$53:$F$53</definedName>
    <definedName name="VA_FINANCIAL" localSheetId="76">'Senior American'!$B$53:$F$53</definedName>
    <definedName name="VA_FINANCIAL" localSheetId="77">Settlers!$B$53:$F$53</definedName>
    <definedName name="VA_FINANCIAL" localSheetId="78">Shenandoah!$B$53:$F$53</definedName>
    <definedName name="VA_FINANCIAL" localSheetId="79">'Standard Life IN'!$B$53:$F$53</definedName>
    <definedName name="VA_FINANCIAL" localSheetId="80">'States General'!$B$53:$F$53</definedName>
    <definedName name="VA_FINANCIAL" localSheetId="81">Statesman!$B$53:$F$53</definedName>
    <definedName name="VA_FINANCIAL" localSheetId="82">'Summit National'!$B$53:$F$53</definedName>
    <definedName name="VA_FINANCIAL" localSheetId="83">Supreme!$B$53:$F$53</definedName>
    <definedName name="VA_FINANCIAL" localSheetId="97">'Total Summary'!$B$53:$F$53</definedName>
    <definedName name="VA_FINANCIAL" localSheetId="84">Underwriters!$B$53:$F$53</definedName>
    <definedName name="VA_FINANCIAL" localSheetId="85">Unison!$B$53:$F$53</definedName>
    <definedName name="VA_FINANCIAL" localSheetId="86">'United Republic'!$B$53:$F$53</definedName>
    <definedName name="VA_FINANCIAL" localSheetId="87">'Universal Health Care'!$B$53:$F$53</definedName>
    <definedName name="VA_FINANCIAL" localSheetId="88">'Universal Life'!$B$53:$F$53</definedName>
    <definedName name="VA_FINANCIAL" localSheetId="89">Universe!$B$53:$F$53</definedName>
    <definedName name="VA_FINANCIAL" localSheetId="90">Villanova!$B$53:$F$53</definedName>
    <definedName name="VT_FINANCIAL" localSheetId="0">'Alabama Life'!$B$52:$F$52</definedName>
    <definedName name="VT_FINANCIAL" localSheetId="5">'Amer Life Asr'!$B$52:$F$52</definedName>
    <definedName name="VT_FINANCIAL" localSheetId="7">'Amer Std Life Acc'!$B$52:$F$52</definedName>
    <definedName name="VT_FINANCIAL" localSheetId="1">'American Chambers'!$B$52:$F$52</definedName>
    <definedName name="VT_FINANCIAL" localSheetId="2">'American Community'!$B$52:$F$52</definedName>
    <definedName name="VT_FINANCIAL" localSheetId="3">'American Educators'!$B$52:$F$52</definedName>
    <definedName name="VT_FINANCIAL" localSheetId="4">'American Integrity'!$B$52:$F$52</definedName>
    <definedName name="VT_FINANCIAL" localSheetId="6">'American Network'!$B$52:$F$52</definedName>
    <definedName name="VT_FINANCIAL" localSheetId="8">AmerWstrn!$B$52:$F$52</definedName>
    <definedName name="VT_FINANCIAL" localSheetId="9">'AMS Life'!$B$52:$F$52</definedName>
    <definedName name="VT_FINANCIAL" localSheetId="10">'Andrew Jackson'!$B$52:$F$52</definedName>
    <definedName name="VT_FINANCIAL" localSheetId="11">'Bankers Commercial'!$B$52:$F$52</definedName>
    <definedName name="VT_FINANCIAL" localSheetId="12">Benicorp!$B$52:$F$52</definedName>
    <definedName name="VT_FINANCIAL" localSheetId="13">'Booker T Washington'!$B$52:$F$52</definedName>
    <definedName name="VT_FINANCIAL" localSheetId="14">Centennial!$B$52:$F$52</definedName>
    <definedName name="VT_FINANCIAL" localSheetId="15">'Coastal States'!$B$52:$F$52</definedName>
    <definedName name="VT_FINANCIAL" localSheetId="16">'Colorado Health'!$B$52:$F$52</definedName>
    <definedName name="VT_FINANCIAL" localSheetId="17">'Compass (dbs Meritus)'!$B$52:$F$52</definedName>
    <definedName name="VT_FINANCIAL" localSheetId="18">'Confed Life &amp; Annty (CLIAC)'!$B$52:$F$52</definedName>
    <definedName name="VT_FINANCIAL" localSheetId="19">'Confed Life (CLIC)'!$B$52:$F$52</definedName>
    <definedName name="VT_FINANCIAL" localSheetId="20">'Consolidated National'!$B$52:$F$52</definedName>
    <definedName name="VT_FINANCIAL" localSheetId="21">'Consumers Choice'!$B$52:$F$52</definedName>
    <definedName name="VT_FINANCIAL" localSheetId="22">'Consumers Mutual'!$B$52:$F$52</definedName>
    <definedName name="VT_FINANCIAL" localSheetId="23">'Consumers United'!$B$52:$F$52</definedName>
    <definedName name="VT_FINANCIAL" localSheetId="24">CoOportunity!$B$52:$F$52</definedName>
    <definedName name="VT_FINANCIAL" localSheetId="25">'Coordinated Hlth'!$B$52:$F$52</definedName>
    <definedName name="VT_FINANCIAL" localSheetId="26">'Corporate Life'!$B$52:$F$52</definedName>
    <definedName name="VT_FINANCIAL" localSheetId="27">'Diamond Benefits'!$B$52:$F$52</definedName>
    <definedName name="VT_FINANCIAL" localSheetId="28">'EBL Life'!$B$52:$F$52</definedName>
    <definedName name="VT_FINANCIAL" localSheetId="30">ELNY!$B$52:$F$52</definedName>
    <definedName name="VT_FINANCIAL" localSheetId="29">'Executive Life'!$B$52:$F$52</definedName>
    <definedName name="VT_FINANCIAL" localSheetId="31">'Family Guaranty'!$B$52:$F$52</definedName>
    <definedName name="VT_FINANCIAL" localSheetId="32">'Farmers &amp; Ranchers'!$B$52:$F$52</definedName>
    <definedName name="VT_FINANCIAL" localSheetId="33">'Fidelity Bankers'!$B$52:$F$52</definedName>
    <definedName name="VT_FINANCIAL" localSheetId="34">'Fidelity Mutual'!$B$52:$F$52</definedName>
    <definedName name="VT_FINANCIAL" localSheetId="35">'First Capital'!$B$52:$F$52</definedName>
    <definedName name="VT_FINANCIAL" localSheetId="36">'First Natl'!$B$52:$F$52</definedName>
    <definedName name="VT_FINANCIAL" localSheetId="37">'First Natl (Thrnr)'!$B$52:$F$52</definedName>
    <definedName name="VT_FINANCIAL" localSheetId="38">'Franklin American'!$B$52:$F$52</definedName>
    <definedName name="VT_FINANCIAL" localSheetId="39">'Franklin Protective'!$B$52:$F$52</definedName>
    <definedName name="VT_FINANCIAL" localSheetId="40">'Freelancers CO-OP'!$B$52:$F$52</definedName>
    <definedName name="VT_FINANCIAL" localSheetId="41">'George Washington'!$B$52:$F$52</definedName>
    <definedName name="VT_FINANCIAL" localSheetId="42">'Golden State'!$B$52:$F$52</definedName>
    <definedName name="VT_FINANCIAL" localSheetId="43">'Guarantee Security'!$B$52:$F$52</definedName>
    <definedName name="VT_FINANCIAL" localSheetId="44">HealthyCT!$B$52:$F$52</definedName>
    <definedName name="VT_FINANCIAL" localSheetId="45">Imerica!$B$52:$F$52</definedName>
    <definedName name="VT_FINANCIAL" localSheetId="46">'Inter-American'!$B$52:$F$52</definedName>
    <definedName name="VT_FINANCIAL" localSheetId="47">'International Fin'!$B$52:$F$52</definedName>
    <definedName name="VT_FINANCIAL" localSheetId="48">'Investment Life of America'!$B$52:$F$52</definedName>
    <definedName name="VT_FINANCIAL" localSheetId="49">'Investors Equity'!$B$52:$F$52</definedName>
    <definedName name="VT_FINANCIAL" localSheetId="50">'Kentucky Central'!$B$52:$F$52</definedName>
    <definedName name="VT_FINANCIAL" localSheetId="51">'Land of Lincoln'!$B$52:$F$52</definedName>
    <definedName name="VT_FINANCIAL" localSheetId="52">Legion!$B$52:$F$52</definedName>
    <definedName name="VT_FINANCIAL" localSheetId="53">'Life Health America'!$B$52:$F$52</definedName>
    <definedName name="VT_FINANCIAL" localSheetId="54">'Lincoln Memorial'!$B$52:$F$52</definedName>
    <definedName name="VT_FINANCIAL" localSheetId="55">'London Pac'!$B$52:$F$52</definedName>
    <definedName name="VT_FINANCIAL" localSheetId="56">Lumbermens!$B$52:$F$52</definedName>
    <definedName name="VT_FINANCIAL" localSheetId="57">'Medical Savings'!$B$52:$F$52</definedName>
    <definedName name="VT_FINANCIAL" localSheetId="58">'Memorial Service'!$B$52:$F$52</definedName>
    <definedName name="VT_FINANCIAL" localSheetId="59">Midcontinent!$B$52:$F$52</definedName>
    <definedName name="VT_FINANCIAL" localSheetId="60">'Midwest Life'!$B$52:$F$52</definedName>
    <definedName name="VT_FINANCIAL" localSheetId="61">'Monarch Life'!$B$52:$F$52</definedName>
    <definedName name="VT_FINANCIAL" localSheetId="62">'Mutual Benefit'!$B$52:$F$52</definedName>
    <definedName name="VT_FINANCIAL" localSheetId="63">'Mutual Security'!$B$52:$F$52</definedName>
    <definedName name="VT_FINANCIAL" localSheetId="64">'National Affiliated'!$B$52:$F$52</definedName>
    <definedName name="VT_FINANCIAL" localSheetId="66">'National Heritage'!$B$52:$F$52</definedName>
    <definedName name="VT_FINANCIAL" localSheetId="67">'National States'!$B$52:$F$52</definedName>
    <definedName name="VT_FINANCIAL" localSheetId="65">'Natl American'!$B$52:$F$52</definedName>
    <definedName name="VT_FINANCIAL" localSheetId="68">'New Jersey Life'!$B$52:$F$52</definedName>
    <definedName name="VT_FINANCIAL" localSheetId="69">NNIC!$B$52:$F$52</definedName>
    <definedName name="VT_FINANCIAL" localSheetId="70">'Old Colony Life'!$B$52:$F$52</definedName>
    <definedName name="VT_FINANCIAL" localSheetId="71">'Old Faithful'!$B$52:$F$52</definedName>
    <definedName name="VT_FINANCIAL" localSheetId="72">'Pacific Standard'!$B$52:$F$52</definedName>
    <definedName name="VT_FINANCIAL" localSheetId="73">'Pen  Treaty'!$B$52:$F$52</definedName>
    <definedName name="VT_FINANCIAL" localSheetId="74">Reliance!$B$52:$F$52</definedName>
    <definedName name="VT_FINANCIAL" localSheetId="75">SeeChange!$B$52:$F$52</definedName>
    <definedName name="VT_FINANCIAL" localSheetId="76">'Senior American'!$B$52:$F$52</definedName>
    <definedName name="VT_FINANCIAL" localSheetId="77">Settlers!$B$52:$F$52</definedName>
    <definedName name="VT_FINANCIAL" localSheetId="78">Shenandoah!$B$52:$F$52</definedName>
    <definedName name="VT_FINANCIAL" localSheetId="79">'Standard Life IN'!$B$52:$F$52</definedName>
    <definedName name="VT_FINANCIAL" localSheetId="80">'States General'!$B$52:$F$52</definedName>
    <definedName name="VT_FINANCIAL" localSheetId="81">Statesman!$B$52:$F$52</definedName>
    <definedName name="VT_FINANCIAL" localSheetId="82">'Summit National'!$B$52:$F$52</definedName>
    <definedName name="VT_FINANCIAL" localSheetId="83">Supreme!$B$52:$F$52</definedName>
    <definedName name="VT_FINANCIAL" localSheetId="97">'Total Summary'!$B$52:$F$52</definedName>
    <definedName name="VT_FINANCIAL" localSheetId="84">Underwriters!$B$52:$F$52</definedName>
    <definedName name="VT_FINANCIAL" localSheetId="85">Unison!$B$52:$F$52</definedName>
    <definedName name="VT_FINANCIAL" localSheetId="86">'United Republic'!$B$52:$F$52</definedName>
    <definedName name="VT_FINANCIAL" localSheetId="87">'Universal Health Care'!$B$52:$F$52</definedName>
    <definedName name="VT_FINANCIAL" localSheetId="88">'Universal Life'!$B$52:$F$52</definedName>
    <definedName name="VT_FINANCIAL" localSheetId="89">Universe!$B$52:$F$52</definedName>
    <definedName name="VT_FINANCIAL" localSheetId="90">Villanova!$B$52:$F$52</definedName>
    <definedName name="WA_FINANCIAL" localSheetId="0">'Alabama Life'!$B$54:$F$54</definedName>
    <definedName name="WA_FINANCIAL" localSheetId="5">'Amer Life Asr'!$B$54:$F$54</definedName>
    <definedName name="WA_FINANCIAL" localSheetId="7">'Amer Std Life Acc'!$B$54:$F$54</definedName>
    <definedName name="WA_FINANCIAL" localSheetId="1">'American Chambers'!$B$54:$F$54</definedName>
    <definedName name="WA_FINANCIAL" localSheetId="2">'American Community'!$B$54:$F$54</definedName>
    <definedName name="WA_FINANCIAL" localSheetId="3">'American Educators'!$B$54:$F$54</definedName>
    <definedName name="WA_FINANCIAL" localSheetId="4">'American Integrity'!$B$54:$F$54</definedName>
    <definedName name="WA_FINANCIAL" localSheetId="6">'American Network'!$B$54:$F$54</definedName>
    <definedName name="WA_FINANCIAL" localSheetId="8">AmerWstrn!$B$54:$F$54</definedName>
    <definedName name="WA_FINANCIAL" localSheetId="9">'AMS Life'!$B$54:$F$54</definedName>
    <definedName name="WA_FINANCIAL" localSheetId="10">'Andrew Jackson'!$B$54:$F$54</definedName>
    <definedName name="WA_FINANCIAL" localSheetId="11">'Bankers Commercial'!$B$54:$F$54</definedName>
    <definedName name="WA_FINANCIAL" localSheetId="12">Benicorp!$B$54:$F$54</definedName>
    <definedName name="WA_FINANCIAL" localSheetId="13">'Booker T Washington'!$B$54:$F$54</definedName>
    <definedName name="WA_FINANCIAL" localSheetId="14">Centennial!$B$54:$F$54</definedName>
    <definedName name="WA_FINANCIAL" localSheetId="15">'Coastal States'!$B$54:$F$54</definedName>
    <definedName name="WA_FINANCIAL" localSheetId="16">'Colorado Health'!$B$54:$F$54</definedName>
    <definedName name="WA_FINANCIAL" localSheetId="17">'Compass (dbs Meritus)'!$B$54:$F$54</definedName>
    <definedName name="WA_FINANCIAL" localSheetId="18">'Confed Life &amp; Annty (CLIAC)'!$B$54:$F$54</definedName>
    <definedName name="WA_FINANCIAL" localSheetId="19">'Confed Life (CLIC)'!$B$54:$F$54</definedName>
    <definedName name="WA_FINANCIAL" localSheetId="20">'Consolidated National'!$B$54:$F$54</definedName>
    <definedName name="WA_FINANCIAL" localSheetId="21">'Consumers Choice'!$B$54:$F$54</definedName>
    <definedName name="WA_FINANCIAL" localSheetId="22">'Consumers Mutual'!$B$54:$F$54</definedName>
    <definedName name="WA_FINANCIAL" localSheetId="23">'Consumers United'!$B$54:$F$54</definedName>
    <definedName name="WA_FINANCIAL" localSheetId="24">CoOportunity!$B$54:$F$54</definedName>
    <definedName name="WA_FINANCIAL" localSheetId="25">'Coordinated Hlth'!$B$54:$F$54</definedName>
    <definedName name="WA_FINANCIAL" localSheetId="26">'Corporate Life'!$B$54:$F$54</definedName>
    <definedName name="WA_FINANCIAL" localSheetId="27">'Diamond Benefits'!$B$54:$F$54</definedName>
    <definedName name="WA_FINANCIAL" localSheetId="28">'EBL Life'!$B$54:$F$54</definedName>
    <definedName name="WA_FINANCIAL" localSheetId="30">ELNY!$B$54:$F$54</definedName>
    <definedName name="WA_FINANCIAL" localSheetId="29">'Executive Life'!$B$54:$F$54</definedName>
    <definedName name="WA_FINANCIAL" localSheetId="31">'Family Guaranty'!$B$54:$F$54</definedName>
    <definedName name="WA_FINANCIAL" localSheetId="32">'Farmers &amp; Ranchers'!$B$54:$F$54</definedName>
    <definedName name="WA_FINANCIAL" localSheetId="33">'Fidelity Bankers'!$B$54:$F$54</definedName>
    <definedName name="WA_FINANCIAL" localSheetId="34">'Fidelity Mutual'!$B$54:$F$54</definedName>
    <definedName name="WA_FINANCIAL" localSheetId="35">'First Capital'!$B$54:$F$54</definedName>
    <definedName name="WA_FINANCIAL" localSheetId="36">'First Natl'!$B$54:$F$54</definedName>
    <definedName name="WA_FINANCIAL" localSheetId="37">'First Natl (Thrnr)'!$B$54:$F$54</definedName>
    <definedName name="WA_FINANCIAL" localSheetId="38">'Franklin American'!$B$54:$F$54</definedName>
    <definedName name="WA_FINANCIAL" localSheetId="39">'Franklin Protective'!$B$54:$F$54</definedName>
    <definedName name="WA_FINANCIAL" localSheetId="40">'Freelancers CO-OP'!$B$54:$F$54</definedName>
    <definedName name="WA_FINANCIAL" localSheetId="41">'George Washington'!$B$54:$F$54</definedName>
    <definedName name="WA_FINANCIAL" localSheetId="42">'Golden State'!$B$54:$F$54</definedName>
    <definedName name="WA_FINANCIAL" localSheetId="43">'Guarantee Security'!$B$54:$F$54</definedName>
    <definedName name="WA_FINANCIAL" localSheetId="44">HealthyCT!$B$54:$F$54</definedName>
    <definedName name="WA_FINANCIAL" localSheetId="45">Imerica!$B$54:$F$54</definedName>
    <definedName name="WA_FINANCIAL" localSheetId="46">'Inter-American'!$B$54:$F$54</definedName>
    <definedName name="WA_FINANCIAL" localSheetId="47">'International Fin'!$B$54:$F$54</definedName>
    <definedName name="WA_FINANCIAL" localSheetId="48">'Investment Life of America'!$B$54:$F$54</definedName>
    <definedName name="WA_FINANCIAL" localSheetId="49">'Investors Equity'!$B$54:$F$54</definedName>
    <definedName name="WA_FINANCIAL" localSheetId="50">'Kentucky Central'!$B$54:$F$54</definedName>
    <definedName name="WA_FINANCIAL" localSheetId="51">'Land of Lincoln'!$B$54:$F$54</definedName>
    <definedName name="WA_FINANCIAL" localSheetId="52">Legion!$B$54:$F$54</definedName>
    <definedName name="WA_FINANCIAL" localSheetId="53">'Life Health America'!$B$54:$F$54</definedName>
    <definedName name="WA_FINANCIAL" localSheetId="54">'Lincoln Memorial'!$B$54:$F$54</definedName>
    <definedName name="WA_FINANCIAL" localSheetId="55">'London Pac'!$B$54:$F$54</definedName>
    <definedName name="WA_FINANCIAL" localSheetId="56">Lumbermens!$B$54:$F$54</definedName>
    <definedName name="WA_FINANCIAL" localSheetId="57">'Medical Savings'!$B$54:$F$54</definedName>
    <definedName name="WA_FINANCIAL" localSheetId="58">'Memorial Service'!$B$54:$F$54</definedName>
    <definedName name="WA_FINANCIAL" localSheetId="59">Midcontinent!$B$54:$F$54</definedName>
    <definedName name="WA_FINANCIAL" localSheetId="60">'Midwest Life'!$B$54:$F$54</definedName>
    <definedName name="WA_FINANCIAL" localSheetId="61">'Monarch Life'!$B$54:$F$54</definedName>
    <definedName name="WA_FINANCIAL" localSheetId="62">'Mutual Benefit'!$B$54:$F$54</definedName>
    <definedName name="WA_FINANCIAL" localSheetId="63">'Mutual Security'!$B$54:$F$54</definedName>
    <definedName name="WA_FINANCIAL" localSheetId="64">'National Affiliated'!$B$54:$F$54</definedName>
    <definedName name="WA_FINANCIAL" localSheetId="66">'National Heritage'!$B$54:$F$54</definedName>
    <definedName name="WA_FINANCIAL" localSheetId="67">'National States'!$B$54:$F$54</definedName>
    <definedName name="WA_FINANCIAL" localSheetId="65">'Natl American'!$B$54:$F$54</definedName>
    <definedName name="WA_FINANCIAL" localSheetId="68">'New Jersey Life'!$B$54:$F$54</definedName>
    <definedName name="WA_FINANCIAL" localSheetId="69">NNIC!$B$54:$F$54</definedName>
    <definedName name="WA_FINANCIAL" localSheetId="70">'Old Colony Life'!$B$54:$F$54</definedName>
    <definedName name="WA_FINANCIAL" localSheetId="71">'Old Faithful'!$B$54:$F$54</definedName>
    <definedName name="WA_FINANCIAL" localSheetId="72">'Pacific Standard'!$B$54:$F$54</definedName>
    <definedName name="WA_FINANCIAL" localSheetId="73">'Pen  Treaty'!$B$54:$F$54</definedName>
    <definedName name="WA_FINANCIAL" localSheetId="74">Reliance!$B$54:$F$54</definedName>
    <definedName name="WA_FINANCIAL" localSheetId="75">SeeChange!$B$54:$F$54</definedName>
    <definedName name="WA_FINANCIAL" localSheetId="76">'Senior American'!$B$54:$F$54</definedName>
    <definedName name="WA_FINANCIAL" localSheetId="77">Settlers!$B$54:$F$54</definedName>
    <definedName name="WA_FINANCIAL" localSheetId="78">Shenandoah!$B$54:$F$54</definedName>
    <definedName name="WA_FINANCIAL" localSheetId="79">'Standard Life IN'!$B$54:$F$54</definedName>
    <definedName name="WA_FINANCIAL" localSheetId="80">'States General'!$B$54:$F$54</definedName>
    <definedName name="WA_FINANCIAL" localSheetId="81">Statesman!$B$54:$F$54</definedName>
    <definedName name="WA_FINANCIAL" localSheetId="82">'Summit National'!$B$54:$F$54</definedName>
    <definedName name="WA_FINANCIAL" localSheetId="83">Supreme!$B$54:$F$54</definedName>
    <definedName name="WA_FINANCIAL" localSheetId="97">'Total Summary'!$B$54:$F$54</definedName>
    <definedName name="WA_FINANCIAL" localSheetId="84">Underwriters!$B$54:$F$54</definedName>
    <definedName name="WA_FINANCIAL" localSheetId="85">Unison!$B$54:$F$54</definedName>
    <definedName name="WA_FINANCIAL" localSheetId="86">'United Republic'!$B$54:$F$54</definedName>
    <definedName name="WA_FINANCIAL" localSheetId="87">'Universal Health Care'!$B$54:$F$54</definedName>
    <definedName name="WA_FINANCIAL" localSheetId="88">'Universal Life'!$B$54:$F$54</definedName>
    <definedName name="WA_FINANCIAL" localSheetId="89">Universe!$B$54:$F$54</definedName>
    <definedName name="WA_FINANCIAL" localSheetId="90">Villanova!$B$54:$F$54</definedName>
    <definedName name="WI_FINANCIAL" localSheetId="0">'Alabama Life'!$B$56:$F$56</definedName>
    <definedName name="WI_FINANCIAL" localSheetId="5">'Amer Life Asr'!$B$56:$F$56</definedName>
    <definedName name="WI_FINANCIAL" localSheetId="7">'Amer Std Life Acc'!$B$56:$F$56</definedName>
    <definedName name="WI_FINANCIAL" localSheetId="1">'American Chambers'!$B$56:$F$56</definedName>
    <definedName name="WI_FINANCIAL" localSheetId="2">'American Community'!$B$56:$F$56</definedName>
    <definedName name="WI_FINANCIAL" localSheetId="3">'American Educators'!$B$56:$F$56</definedName>
    <definedName name="WI_FINANCIAL" localSheetId="4">'American Integrity'!$B$56:$F$56</definedName>
    <definedName name="WI_FINANCIAL" localSheetId="6">'American Network'!$B$56:$F$56</definedName>
    <definedName name="WI_FINANCIAL" localSheetId="8">AmerWstrn!$B$56:$F$56</definedName>
    <definedName name="WI_FINANCIAL" localSheetId="9">'AMS Life'!$B$56:$F$56</definedName>
    <definedName name="WI_FINANCIAL" localSheetId="10">'Andrew Jackson'!$B$56:$F$56</definedName>
    <definedName name="WI_FINANCIAL" localSheetId="11">'Bankers Commercial'!$B$56:$F$56</definedName>
    <definedName name="WI_FINANCIAL" localSheetId="12">Benicorp!$B$56:$F$56</definedName>
    <definedName name="WI_FINANCIAL" localSheetId="13">'Booker T Washington'!$B$56:$F$56</definedName>
    <definedName name="WI_FINANCIAL" localSheetId="14">Centennial!$B$56:$F$56</definedName>
    <definedName name="WI_FINANCIAL" localSheetId="15">'Coastal States'!$B$56:$F$56</definedName>
    <definedName name="WI_FINANCIAL" localSheetId="16">'Colorado Health'!$B$56:$F$56</definedName>
    <definedName name="WI_FINANCIAL" localSheetId="17">'Compass (dbs Meritus)'!$B$56:$F$56</definedName>
    <definedName name="WI_FINANCIAL" localSheetId="18">'Confed Life &amp; Annty (CLIAC)'!$B$56:$F$56</definedName>
    <definedName name="WI_FINANCIAL" localSheetId="19">'Confed Life (CLIC)'!$B$56:$F$56</definedName>
    <definedName name="WI_FINANCIAL" localSheetId="20">'Consolidated National'!$B$56:$F$56</definedName>
    <definedName name="WI_FINANCIAL" localSheetId="21">'Consumers Choice'!$B$56:$F$56</definedName>
    <definedName name="WI_FINANCIAL" localSheetId="22">'Consumers Mutual'!$B$56:$F$56</definedName>
    <definedName name="WI_FINANCIAL" localSheetId="23">'Consumers United'!$B$56:$F$56</definedName>
    <definedName name="WI_FINANCIAL" localSheetId="24">CoOportunity!$B$56:$F$56</definedName>
    <definedName name="WI_FINANCIAL" localSheetId="25">'Coordinated Hlth'!$B$56:$F$56</definedName>
    <definedName name="WI_FINANCIAL" localSheetId="26">'Corporate Life'!$B$56:$F$56</definedName>
    <definedName name="WI_FINANCIAL" localSheetId="27">'Diamond Benefits'!$B$56:$F$56</definedName>
    <definedName name="WI_FINANCIAL" localSheetId="28">'EBL Life'!$B$56:$F$56</definedName>
    <definedName name="WI_FINANCIAL" localSheetId="30">ELNY!$B$56:$F$56</definedName>
    <definedName name="WI_FINANCIAL" localSheetId="29">'Executive Life'!$B$56:$F$56</definedName>
    <definedName name="WI_FINANCIAL" localSheetId="31">'Family Guaranty'!$B$56:$F$56</definedName>
    <definedName name="WI_FINANCIAL" localSheetId="32">'Farmers &amp; Ranchers'!$B$56:$F$56</definedName>
    <definedName name="WI_FINANCIAL" localSheetId="33">'Fidelity Bankers'!$B$56:$F$56</definedName>
    <definedName name="WI_FINANCIAL" localSheetId="34">'Fidelity Mutual'!$B$56:$F$56</definedName>
    <definedName name="WI_FINANCIAL" localSheetId="35">'First Capital'!$B$56:$F$56</definedName>
    <definedName name="WI_FINANCIAL" localSheetId="36">'First Natl'!$B$56:$F$56</definedName>
    <definedName name="WI_FINANCIAL" localSheetId="37">'First Natl (Thrnr)'!$B$56:$F$56</definedName>
    <definedName name="WI_FINANCIAL" localSheetId="38">'Franklin American'!$B$56:$F$56</definedName>
    <definedName name="WI_FINANCIAL" localSheetId="39">'Franklin Protective'!$B$56:$F$56</definedName>
    <definedName name="WI_FINANCIAL" localSheetId="40">'Freelancers CO-OP'!$B$56:$F$56</definedName>
    <definedName name="WI_FINANCIAL" localSheetId="41">'George Washington'!$B$56:$F$56</definedName>
    <definedName name="WI_FINANCIAL" localSheetId="42">'Golden State'!$B$56:$F$56</definedName>
    <definedName name="WI_FINANCIAL" localSheetId="43">'Guarantee Security'!$B$56:$F$56</definedName>
    <definedName name="WI_FINANCIAL" localSheetId="44">HealthyCT!$B$56:$F$56</definedName>
    <definedName name="WI_FINANCIAL" localSheetId="45">Imerica!$B$56:$F$56</definedName>
    <definedName name="WI_FINANCIAL" localSheetId="46">'Inter-American'!$B$56:$F$56</definedName>
    <definedName name="WI_FINANCIAL" localSheetId="47">'International Fin'!$B$56:$F$56</definedName>
    <definedName name="WI_FINANCIAL" localSheetId="48">'Investment Life of America'!$B$56:$F$56</definedName>
    <definedName name="WI_FINANCIAL" localSheetId="49">'Investors Equity'!$B$56:$F$56</definedName>
    <definedName name="WI_FINANCIAL" localSheetId="50">'Kentucky Central'!$B$56:$F$56</definedName>
    <definedName name="WI_FINANCIAL" localSheetId="51">'Land of Lincoln'!$B$56:$F$56</definedName>
    <definedName name="WI_FINANCIAL" localSheetId="52">Legion!$B$56:$F$56</definedName>
    <definedName name="WI_FINANCIAL" localSheetId="53">'Life Health America'!$B$56:$F$56</definedName>
    <definedName name="WI_FINANCIAL" localSheetId="54">'Lincoln Memorial'!$B$56:$F$56</definedName>
    <definedName name="WI_FINANCIAL" localSheetId="55">'London Pac'!$B$56:$F$56</definedName>
    <definedName name="WI_FINANCIAL" localSheetId="56">Lumbermens!$B$56:$F$56</definedName>
    <definedName name="WI_FINANCIAL" localSheetId="57">'Medical Savings'!$B$56:$F$56</definedName>
    <definedName name="WI_FINANCIAL" localSheetId="58">'Memorial Service'!$B$56:$F$56</definedName>
    <definedName name="WI_FINANCIAL" localSheetId="59">Midcontinent!$B$56:$F$56</definedName>
    <definedName name="WI_FINANCIAL" localSheetId="60">'Midwest Life'!$B$56:$F$56</definedName>
    <definedName name="WI_FINANCIAL" localSheetId="61">'Monarch Life'!$B$56:$F$56</definedName>
    <definedName name="WI_FINANCIAL" localSheetId="62">'Mutual Benefit'!$B$56:$F$56</definedName>
    <definedName name="WI_FINANCIAL" localSheetId="63">'Mutual Security'!$B$56:$F$56</definedName>
    <definedName name="WI_FINANCIAL" localSheetId="64">'National Affiliated'!$B$56:$F$56</definedName>
    <definedName name="WI_FINANCIAL" localSheetId="66">'National Heritage'!$B$56:$F$56</definedName>
    <definedName name="WI_FINANCIAL" localSheetId="67">'National States'!$B$56:$F$56</definedName>
    <definedName name="WI_FINANCIAL" localSheetId="65">'Natl American'!$B$56:$F$56</definedName>
    <definedName name="WI_FINANCIAL" localSheetId="68">'New Jersey Life'!$B$56:$F$56</definedName>
    <definedName name="WI_FINANCIAL" localSheetId="69">NNIC!$B$56:$F$56</definedName>
    <definedName name="WI_FINANCIAL" localSheetId="70">'Old Colony Life'!$B$56:$F$56</definedName>
    <definedName name="WI_FINANCIAL" localSheetId="71">'Old Faithful'!$B$56:$F$56</definedName>
    <definedName name="WI_FINANCIAL" localSheetId="72">'Pacific Standard'!$B$56:$F$56</definedName>
    <definedName name="WI_FINANCIAL" localSheetId="73">'Pen  Treaty'!$B$56:$F$56</definedName>
    <definedName name="WI_FINANCIAL" localSheetId="74">Reliance!$B$56:$F$56</definedName>
    <definedName name="WI_FINANCIAL" localSheetId="75">SeeChange!$B$56:$F$56</definedName>
    <definedName name="WI_FINANCIAL" localSheetId="76">'Senior American'!$B$56:$F$56</definedName>
    <definedName name="WI_FINANCIAL" localSheetId="77">Settlers!$B$56:$F$56</definedName>
    <definedName name="WI_FINANCIAL" localSheetId="78">Shenandoah!$B$56:$F$56</definedName>
    <definedName name="WI_FINANCIAL" localSheetId="79">'Standard Life IN'!$B$56:$F$56</definedName>
    <definedName name="WI_FINANCIAL" localSheetId="80">'States General'!$B$56:$F$56</definedName>
    <definedName name="WI_FINANCIAL" localSheetId="81">Statesman!$B$56:$F$56</definedName>
    <definedName name="WI_FINANCIAL" localSheetId="82">'Summit National'!$B$56:$F$56</definedName>
    <definedName name="WI_FINANCIAL" localSheetId="83">Supreme!$B$56:$F$56</definedName>
    <definedName name="WI_FINANCIAL" localSheetId="97">'Total Summary'!$B$56:$F$56</definedName>
    <definedName name="WI_FINANCIAL" localSheetId="84">Underwriters!$B$56:$F$56</definedName>
    <definedName name="WI_FINANCIAL" localSheetId="85">Unison!$B$56:$F$56</definedName>
    <definedName name="WI_FINANCIAL" localSheetId="86">'United Republic'!$B$56:$F$56</definedName>
    <definedName name="WI_FINANCIAL" localSheetId="87">'Universal Health Care'!$B$56:$F$56</definedName>
    <definedName name="WI_FINANCIAL" localSheetId="88">'Universal Life'!$B$56:$F$56</definedName>
    <definedName name="WI_FINANCIAL" localSheetId="89">Universe!$B$56:$F$56</definedName>
    <definedName name="WI_FINANCIAL" localSheetId="90">Villanova!$B$56:$F$56</definedName>
    <definedName name="WV_FINANCIAL" localSheetId="0">'Alabama Life'!$B$55:$F$55</definedName>
    <definedName name="WV_FINANCIAL" localSheetId="5">'Amer Life Asr'!$B$55:$F$55</definedName>
    <definedName name="WV_FINANCIAL" localSheetId="7">'Amer Std Life Acc'!$B$55:$F$55</definedName>
    <definedName name="WV_FINANCIAL" localSheetId="1">'American Chambers'!$B$55:$F$55</definedName>
    <definedName name="WV_FINANCIAL" localSheetId="2">'American Community'!$B$55:$F$55</definedName>
    <definedName name="WV_FINANCIAL" localSheetId="3">'American Educators'!$B$55:$F$55</definedName>
    <definedName name="WV_FINANCIAL" localSheetId="4">'American Integrity'!$B$55:$F$55</definedName>
    <definedName name="WV_FINANCIAL" localSheetId="6">'American Network'!$B$55:$F$55</definedName>
    <definedName name="WV_FINANCIAL" localSheetId="8">AmerWstrn!$B$55:$F$55</definedName>
    <definedName name="WV_FINANCIAL" localSheetId="9">'AMS Life'!$B$55:$F$55</definedName>
    <definedName name="WV_FINANCIAL" localSheetId="10">'Andrew Jackson'!$B$55:$F$55</definedName>
    <definedName name="WV_FINANCIAL" localSheetId="11">'Bankers Commercial'!$B$55:$F$55</definedName>
    <definedName name="WV_FINANCIAL" localSheetId="12">Benicorp!$B$55:$F$55</definedName>
    <definedName name="WV_FINANCIAL" localSheetId="13">'Booker T Washington'!$B$55:$F$55</definedName>
    <definedName name="WV_FINANCIAL" localSheetId="14">Centennial!$B$55:$F$55</definedName>
    <definedName name="WV_FINANCIAL" localSheetId="15">'Coastal States'!$B$55:$F$55</definedName>
    <definedName name="WV_FINANCIAL" localSheetId="16">'Colorado Health'!$B$55:$F$55</definedName>
    <definedName name="WV_FINANCIAL" localSheetId="17">'Compass (dbs Meritus)'!$B$55:$F$55</definedName>
    <definedName name="WV_FINANCIAL" localSheetId="18">'Confed Life &amp; Annty (CLIAC)'!$B$55:$F$55</definedName>
    <definedName name="WV_FINANCIAL" localSheetId="19">'Confed Life (CLIC)'!$B$55:$F$55</definedName>
    <definedName name="WV_FINANCIAL" localSheetId="20">'Consolidated National'!$B$55:$F$55</definedName>
    <definedName name="WV_FINANCIAL" localSheetId="21">'Consumers Choice'!$B$55:$F$55</definedName>
    <definedName name="WV_FINANCIAL" localSheetId="22">'Consumers Mutual'!$B$55:$F$55</definedName>
    <definedName name="WV_FINANCIAL" localSheetId="23">'Consumers United'!$B$55:$F$55</definedName>
    <definedName name="WV_FINANCIAL" localSheetId="24">CoOportunity!$B$55:$F$55</definedName>
    <definedName name="WV_FINANCIAL" localSheetId="25">'Coordinated Hlth'!$B$55:$F$55</definedName>
    <definedName name="WV_FINANCIAL" localSheetId="26">'Corporate Life'!$B$55:$F$55</definedName>
    <definedName name="WV_FINANCIAL" localSheetId="27">'Diamond Benefits'!$B$55:$F$55</definedName>
    <definedName name="WV_FINANCIAL" localSheetId="28">'EBL Life'!$B$55:$F$55</definedName>
    <definedName name="WV_FINANCIAL" localSheetId="30">ELNY!$B$55:$F$55</definedName>
    <definedName name="WV_FINANCIAL" localSheetId="29">'Executive Life'!$B$55:$F$55</definedName>
    <definedName name="WV_FINANCIAL" localSheetId="31">'Family Guaranty'!$B$55:$F$55</definedName>
    <definedName name="WV_FINANCIAL" localSheetId="32">'Farmers &amp; Ranchers'!$B$55:$F$55</definedName>
    <definedName name="WV_FINANCIAL" localSheetId="33">'Fidelity Bankers'!$B$55:$F$55</definedName>
    <definedName name="WV_FINANCIAL" localSheetId="34">'Fidelity Mutual'!$B$55:$F$55</definedName>
    <definedName name="WV_FINANCIAL" localSheetId="35">'First Capital'!$B$55:$F$55</definedName>
    <definedName name="WV_FINANCIAL" localSheetId="36">'First Natl'!$B$55:$F$55</definedName>
    <definedName name="WV_FINANCIAL" localSheetId="37">'First Natl (Thrnr)'!$B$55:$F$55</definedName>
    <definedName name="WV_FINANCIAL" localSheetId="38">'Franklin American'!$B$55:$F$55</definedName>
    <definedName name="WV_FINANCIAL" localSheetId="39">'Franklin Protective'!$B$55:$F$55</definedName>
    <definedName name="WV_FINANCIAL" localSheetId="40">'Freelancers CO-OP'!$B$55:$F$55</definedName>
    <definedName name="WV_FINANCIAL" localSheetId="41">'George Washington'!$B$55:$F$55</definedName>
    <definedName name="WV_FINANCIAL" localSheetId="42">'Golden State'!$B$55:$F$55</definedName>
    <definedName name="WV_FINANCIAL" localSheetId="43">'Guarantee Security'!$B$55:$F$55</definedName>
    <definedName name="WV_FINANCIAL" localSheetId="44">HealthyCT!$B$55:$F$55</definedName>
    <definedName name="WV_FINANCIAL" localSheetId="45">Imerica!$B$55:$F$55</definedName>
    <definedName name="WV_FINANCIAL" localSheetId="46">'Inter-American'!$B$55:$F$55</definedName>
    <definedName name="WV_FINANCIAL" localSheetId="47">'International Fin'!$B$55:$F$55</definedName>
    <definedName name="WV_FINANCIAL" localSheetId="48">'Investment Life of America'!$B$55:$F$55</definedName>
    <definedName name="WV_FINANCIAL" localSheetId="49">'Investors Equity'!$B$55:$F$55</definedName>
    <definedName name="WV_FINANCIAL" localSheetId="50">'Kentucky Central'!$B$55:$F$55</definedName>
    <definedName name="WV_FINANCIAL" localSheetId="51">'Land of Lincoln'!$B$55:$F$55</definedName>
    <definedName name="WV_FINANCIAL" localSheetId="52">Legion!$B$55:$F$55</definedName>
    <definedName name="WV_FINANCIAL" localSheetId="53">'Life Health America'!$B$55:$F$55</definedName>
    <definedName name="WV_FINANCIAL" localSheetId="54">'Lincoln Memorial'!$B$55:$F$55</definedName>
    <definedName name="WV_FINANCIAL" localSheetId="55">'London Pac'!$B$55:$F$55</definedName>
    <definedName name="WV_FINANCIAL" localSheetId="56">Lumbermens!$B$55:$F$55</definedName>
    <definedName name="WV_FINANCIAL" localSheetId="57">'Medical Savings'!$B$55:$F$55</definedName>
    <definedName name="WV_FINANCIAL" localSheetId="58">'Memorial Service'!$B$55:$F$55</definedName>
    <definedName name="WV_FINANCIAL" localSheetId="59">Midcontinent!$B$55:$F$55</definedName>
    <definedName name="WV_FINANCIAL" localSheetId="60">'Midwest Life'!$B$55:$F$55</definedName>
    <definedName name="WV_FINANCIAL" localSheetId="61">'Monarch Life'!$B$55:$F$55</definedName>
    <definedName name="WV_FINANCIAL" localSheetId="62">'Mutual Benefit'!$B$55:$F$55</definedName>
    <definedName name="WV_FINANCIAL" localSheetId="63">'Mutual Security'!$B$55:$F$55</definedName>
    <definedName name="WV_FINANCIAL" localSheetId="64">'National Affiliated'!$B$55:$F$55</definedName>
    <definedName name="WV_FINANCIAL" localSheetId="66">'National Heritage'!$B$55:$F$55</definedName>
    <definedName name="WV_FINANCIAL" localSheetId="67">'National States'!$B$55:$F$55</definedName>
    <definedName name="WV_FINANCIAL" localSheetId="65">'Natl American'!$B$55:$F$55</definedName>
    <definedName name="WV_FINANCIAL" localSheetId="68">'New Jersey Life'!$B$55:$F$55</definedName>
    <definedName name="WV_FINANCIAL" localSheetId="69">NNIC!$B$55:$F$55</definedName>
    <definedName name="WV_FINANCIAL" localSheetId="70">'Old Colony Life'!$B$55:$F$55</definedName>
    <definedName name="WV_FINANCIAL" localSheetId="71">'Old Faithful'!$B$55:$F$55</definedName>
    <definedName name="WV_FINANCIAL" localSheetId="72">'Pacific Standard'!$B$55:$F$55</definedName>
    <definedName name="WV_FINANCIAL" localSheetId="73">'Pen  Treaty'!$B$55:$F$55</definedName>
    <definedName name="WV_FINANCIAL" localSheetId="74">Reliance!$B$55:$F$55</definedName>
    <definedName name="WV_FINANCIAL" localSheetId="75">SeeChange!$B$55:$F$55</definedName>
    <definedName name="WV_FINANCIAL" localSheetId="76">'Senior American'!$B$55:$F$55</definedName>
    <definedName name="WV_FINANCIAL" localSheetId="77">Settlers!$B$55:$F$55</definedName>
    <definedName name="WV_FINANCIAL" localSheetId="78">Shenandoah!$B$55:$F$55</definedName>
    <definedName name="WV_FINANCIAL" localSheetId="79">'Standard Life IN'!$B$55:$F$55</definedName>
    <definedName name="WV_FINANCIAL" localSheetId="80">'States General'!$B$55:$F$55</definedName>
    <definedName name="WV_FINANCIAL" localSheetId="81">Statesman!$B$55:$F$55</definedName>
    <definedName name="WV_FINANCIAL" localSheetId="82">'Summit National'!$B$55:$F$55</definedName>
    <definedName name="WV_FINANCIAL" localSheetId="83">Supreme!$B$55:$F$55</definedName>
    <definedName name="WV_FINANCIAL" localSheetId="97">'Total Summary'!$B$55:$F$55</definedName>
    <definedName name="WV_FINANCIAL" localSheetId="84">Underwriters!$B$55:$F$55</definedName>
    <definedName name="WV_FINANCIAL" localSheetId="85">Unison!$B$55:$F$55</definedName>
    <definedName name="WV_FINANCIAL" localSheetId="86">'United Republic'!$B$55:$F$55</definedName>
    <definedName name="WV_FINANCIAL" localSheetId="87">'Universal Health Care'!$B$55:$F$55</definedName>
    <definedName name="WV_FINANCIAL" localSheetId="88">'Universal Life'!$B$55:$F$55</definedName>
    <definedName name="WV_FINANCIAL" localSheetId="89">Universe!$B$55:$F$55</definedName>
    <definedName name="WV_FINANCIAL" localSheetId="90">Villanova!$B$55:$F$55</definedName>
    <definedName name="WY_FINANCIAL" localSheetId="0">'Alabama Life'!$B$57:$F$57</definedName>
    <definedName name="WY_FINANCIAL" localSheetId="5">'Amer Life Asr'!$B$57:$F$57</definedName>
    <definedName name="WY_FINANCIAL" localSheetId="7">'Amer Std Life Acc'!$B$57:$F$57</definedName>
    <definedName name="WY_FINANCIAL" localSheetId="1">'American Chambers'!$B$57:$F$57</definedName>
    <definedName name="WY_FINANCIAL" localSheetId="2">'American Community'!$B$57:$F$57</definedName>
    <definedName name="WY_FINANCIAL" localSheetId="3">'American Educators'!$B$57:$F$57</definedName>
    <definedName name="WY_FINANCIAL" localSheetId="4">'American Integrity'!$B$57:$F$57</definedName>
    <definedName name="WY_FINANCIAL" localSheetId="6">'American Network'!$B$57:$F$57</definedName>
    <definedName name="WY_FINANCIAL" localSheetId="8">AmerWstrn!$B$57:$F$57</definedName>
    <definedName name="WY_FINANCIAL" localSheetId="9">'AMS Life'!$B$57:$F$57</definedName>
    <definedName name="WY_FINANCIAL" localSheetId="10">'Andrew Jackson'!$B$57:$F$57</definedName>
    <definedName name="WY_FINANCIAL" localSheetId="11">'Bankers Commercial'!$B$57:$F$57</definedName>
    <definedName name="WY_FINANCIAL" localSheetId="12">Benicorp!$B$57:$F$57</definedName>
    <definedName name="WY_FINANCIAL" localSheetId="13">'Booker T Washington'!$B$57:$F$57</definedName>
    <definedName name="WY_FINANCIAL" localSheetId="14">Centennial!$B$57:$F$57</definedName>
    <definedName name="WY_FINANCIAL" localSheetId="15">'Coastal States'!$B$57:$F$57</definedName>
    <definedName name="WY_FINANCIAL" localSheetId="16">'Colorado Health'!$B$57:$F$57</definedName>
    <definedName name="WY_FINANCIAL" localSheetId="17">'Compass (dbs Meritus)'!$B$57:$F$57</definedName>
    <definedName name="WY_FINANCIAL" localSheetId="18">'Confed Life &amp; Annty (CLIAC)'!$B$57:$F$57</definedName>
    <definedName name="WY_FINANCIAL" localSheetId="19">'Confed Life (CLIC)'!$B$57:$F$57</definedName>
    <definedName name="WY_FINANCIAL" localSheetId="20">'Consolidated National'!$B$57:$F$57</definedName>
    <definedName name="WY_FINANCIAL" localSheetId="21">'Consumers Choice'!$B$57:$F$57</definedName>
    <definedName name="WY_FINANCIAL" localSheetId="22">'Consumers Mutual'!$B$57:$F$57</definedName>
    <definedName name="WY_FINANCIAL" localSheetId="23">'Consumers United'!$B$57:$F$57</definedName>
    <definedName name="WY_FINANCIAL" localSheetId="24">CoOportunity!$B$57:$F$57</definedName>
    <definedName name="WY_FINANCIAL" localSheetId="25">'Coordinated Hlth'!$B$57:$F$57</definedName>
    <definedName name="WY_FINANCIAL" localSheetId="26">'Corporate Life'!$B$57:$F$57</definedName>
    <definedName name="WY_FINANCIAL" localSheetId="27">'Diamond Benefits'!$B$57:$F$57</definedName>
    <definedName name="WY_FINANCIAL" localSheetId="28">'EBL Life'!$B$57:$F$57</definedName>
    <definedName name="WY_FINANCIAL" localSheetId="30">ELNY!$B$57:$F$57</definedName>
    <definedName name="WY_FINANCIAL" localSheetId="29">'Executive Life'!$B$57:$F$57</definedName>
    <definedName name="WY_FINANCIAL" localSheetId="31">'Family Guaranty'!$B$57:$F$57</definedName>
    <definedName name="WY_FINANCIAL" localSheetId="32">'Farmers &amp; Ranchers'!$B$57:$F$57</definedName>
    <definedName name="WY_FINANCIAL" localSheetId="33">'Fidelity Bankers'!$B$57:$F$57</definedName>
    <definedName name="WY_FINANCIAL" localSheetId="34">'Fidelity Mutual'!$B$57:$F$57</definedName>
    <definedName name="WY_FINANCIAL" localSheetId="35">'First Capital'!$B$57:$F$57</definedName>
    <definedName name="WY_FINANCIAL" localSheetId="36">'First Natl'!$B$57:$F$57</definedName>
    <definedName name="WY_FINANCIAL" localSheetId="37">'First Natl (Thrnr)'!$B$57:$F$57</definedName>
    <definedName name="WY_FINANCIAL" localSheetId="38">'Franklin American'!$B$57:$F$57</definedName>
    <definedName name="WY_FINANCIAL" localSheetId="39">'Franklin Protective'!$B$57:$F$57</definedName>
    <definedName name="WY_FINANCIAL" localSheetId="40">'Freelancers CO-OP'!$B$57:$F$57</definedName>
    <definedName name="WY_FINANCIAL" localSheetId="41">'George Washington'!$B$57:$F$57</definedName>
    <definedName name="WY_FINANCIAL" localSheetId="42">'Golden State'!$B$57:$F$57</definedName>
    <definedName name="WY_FINANCIAL" localSheetId="43">'Guarantee Security'!$B$57:$F$57</definedName>
    <definedName name="WY_FINANCIAL" localSheetId="44">HealthyCT!$B$57:$F$57</definedName>
    <definedName name="WY_FINANCIAL" localSheetId="45">Imerica!$B$57:$F$57</definedName>
    <definedName name="WY_FINANCIAL" localSheetId="46">'Inter-American'!$B$57:$F$57</definedName>
    <definedName name="WY_FINANCIAL" localSheetId="47">'International Fin'!$B$57:$F$57</definedName>
    <definedName name="WY_FINANCIAL" localSheetId="48">'Investment Life of America'!$B$57:$F$57</definedName>
    <definedName name="WY_FINANCIAL" localSheetId="49">'Investors Equity'!$B$57:$F$57</definedName>
    <definedName name="WY_FINANCIAL" localSheetId="50">'Kentucky Central'!$B$57:$F$57</definedName>
    <definedName name="WY_FINANCIAL" localSheetId="51">'Land of Lincoln'!$B$57:$F$57</definedName>
    <definedName name="WY_FINANCIAL" localSheetId="52">Legion!$B$57:$F$57</definedName>
    <definedName name="WY_FINANCIAL" localSheetId="53">'Life Health America'!$B$57:$F$57</definedName>
    <definedName name="WY_FINANCIAL" localSheetId="54">'Lincoln Memorial'!$B$57:$F$57</definedName>
    <definedName name="WY_FINANCIAL" localSheetId="55">'London Pac'!$B$57:$F$57</definedName>
    <definedName name="WY_FINANCIAL" localSheetId="56">Lumbermens!$B$57:$F$57</definedName>
    <definedName name="WY_FINANCIAL" localSheetId="57">'Medical Savings'!$B$57:$F$57</definedName>
    <definedName name="WY_FINANCIAL" localSheetId="58">'Memorial Service'!$B$57:$F$57</definedName>
    <definedName name="WY_FINANCIAL" localSheetId="59">Midcontinent!$B$57:$F$57</definedName>
    <definedName name="WY_FINANCIAL" localSheetId="60">'Midwest Life'!$B$57:$F$57</definedName>
    <definedName name="WY_FINANCIAL" localSheetId="61">'Monarch Life'!$B$57:$F$57</definedName>
    <definedName name="WY_FINANCIAL" localSheetId="62">'Mutual Benefit'!$B$57:$F$57</definedName>
    <definedName name="WY_FINANCIAL" localSheetId="63">'Mutual Security'!$B$57:$F$57</definedName>
    <definedName name="WY_FINANCIAL" localSheetId="64">'National Affiliated'!$B$57:$F$57</definedName>
    <definedName name="WY_FINANCIAL" localSheetId="66">'National Heritage'!$B$57:$F$57</definedName>
    <definedName name="WY_FINANCIAL" localSheetId="67">'National States'!$B$57:$F$57</definedName>
    <definedName name="WY_FINANCIAL" localSheetId="65">'Natl American'!$B$57:$F$57</definedName>
    <definedName name="WY_FINANCIAL" localSheetId="68">'New Jersey Life'!$B$57:$F$57</definedName>
    <definedName name="WY_FINANCIAL" localSheetId="69">NNIC!$B$57:$F$57</definedName>
    <definedName name="WY_FINANCIAL" localSheetId="70">'Old Colony Life'!$B$57:$F$57</definedName>
    <definedName name="WY_FINANCIAL" localSheetId="71">'Old Faithful'!$B$57:$F$57</definedName>
    <definedName name="WY_FINANCIAL" localSheetId="72">'Pacific Standard'!$B$57:$F$57</definedName>
    <definedName name="WY_FINANCIAL" localSheetId="73">'Pen  Treaty'!$B$57:$F$57</definedName>
    <definedName name="WY_FINANCIAL" localSheetId="74">Reliance!$B$57:$F$57</definedName>
    <definedName name="WY_FINANCIAL" localSheetId="75">SeeChange!$B$57:$F$57</definedName>
    <definedName name="WY_FINANCIAL" localSheetId="76">'Senior American'!$B$57:$F$57</definedName>
    <definedName name="WY_FINANCIAL" localSheetId="77">Settlers!$B$57:$F$57</definedName>
    <definedName name="WY_FINANCIAL" localSheetId="78">Shenandoah!$B$57:$F$57</definedName>
    <definedName name="WY_FINANCIAL" localSheetId="79">'Standard Life IN'!$B$57:$F$57</definedName>
    <definedName name="WY_FINANCIAL" localSheetId="80">'States General'!$B$57:$F$57</definedName>
    <definedName name="WY_FINANCIAL" localSheetId="81">Statesman!$B$57:$F$57</definedName>
    <definedName name="WY_FINANCIAL" localSheetId="82">'Summit National'!$B$57:$F$57</definedName>
    <definedName name="WY_FINANCIAL" localSheetId="83">Supreme!$B$57:$F$57</definedName>
    <definedName name="WY_FINANCIAL" localSheetId="97">'Total Summary'!$B$57:$F$57</definedName>
    <definedName name="WY_FINANCIAL" localSheetId="84">Underwriters!$B$57:$F$57</definedName>
    <definedName name="WY_FINANCIAL" localSheetId="85">Unison!$B$57:$F$57</definedName>
    <definedName name="WY_FINANCIAL" localSheetId="86">'United Republic'!$B$57:$F$57</definedName>
    <definedName name="WY_FINANCIAL" localSheetId="87">'Universal Health Care'!$B$57:$F$57</definedName>
    <definedName name="WY_FINANCIAL" localSheetId="88">'Universal Life'!$B$57:$F$57</definedName>
    <definedName name="WY_FINANCIAL" localSheetId="89">Universe!$B$57:$F$57</definedName>
    <definedName name="WY_FINANCIAL" localSheetId="90">Villanova!$B$57:$F$57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7" i="98" l="1"/>
  <c r="G27" i="97"/>
  <c r="G27" i="96"/>
  <c r="G27" i="95"/>
  <c r="G27" i="94"/>
  <c r="G27" i="93"/>
  <c r="I1810" i="101"/>
  <c r="G1810" i="101"/>
  <c r="F1810" i="101"/>
  <c r="E1810" i="101"/>
  <c r="D1810" i="101"/>
  <c r="H1810" i="101" s="1"/>
  <c r="I1809" i="101"/>
  <c r="G1809" i="101"/>
  <c r="F1809" i="101"/>
  <c r="E1809" i="101"/>
  <c r="D1809" i="101"/>
  <c r="H1809" i="101" s="1"/>
  <c r="C1809" i="101"/>
  <c r="C1810" i="101" s="1"/>
  <c r="I1808" i="101"/>
  <c r="G1808" i="101"/>
  <c r="F1808" i="101"/>
  <c r="F1812" i="101" s="1"/>
  <c r="E1808" i="101"/>
  <c r="D1808" i="101"/>
  <c r="H1808" i="101" s="1"/>
  <c r="C1808" i="101"/>
  <c r="I1807" i="101"/>
  <c r="G1807" i="101"/>
  <c r="F1807" i="101"/>
  <c r="E1807" i="101"/>
  <c r="D1807" i="101"/>
  <c r="H1807" i="101" s="1"/>
  <c r="I1806" i="101"/>
  <c r="G1806" i="101"/>
  <c r="F1806" i="101"/>
  <c r="E1806" i="101"/>
  <c r="D1806" i="101"/>
  <c r="H1806" i="101" s="1"/>
  <c r="I1805" i="101"/>
  <c r="G1805" i="101"/>
  <c r="F1805" i="101"/>
  <c r="E1805" i="101"/>
  <c r="D1805" i="101"/>
  <c r="H1805" i="101" s="1"/>
  <c r="I1804" i="101"/>
  <c r="G1804" i="101"/>
  <c r="F1804" i="101"/>
  <c r="E1804" i="101"/>
  <c r="D1804" i="101"/>
  <c r="H1804" i="101" s="1"/>
  <c r="I1803" i="101"/>
  <c r="G1803" i="101"/>
  <c r="F1803" i="101"/>
  <c r="E1803" i="101"/>
  <c r="D1803" i="101"/>
  <c r="H1803" i="101" s="1"/>
  <c r="I1802" i="101"/>
  <c r="G1802" i="101"/>
  <c r="F1802" i="101"/>
  <c r="E1802" i="101"/>
  <c r="D1802" i="101"/>
  <c r="H1802" i="101" s="1"/>
  <c r="I1801" i="101"/>
  <c r="G1801" i="101"/>
  <c r="F1801" i="101"/>
  <c r="E1801" i="101"/>
  <c r="D1801" i="101"/>
  <c r="H1801" i="101" s="1"/>
  <c r="I1800" i="101"/>
  <c r="G1800" i="101"/>
  <c r="F1800" i="101"/>
  <c r="E1800" i="101"/>
  <c r="D1800" i="101"/>
  <c r="H1800" i="101" s="1"/>
  <c r="I1799" i="101"/>
  <c r="G1799" i="101"/>
  <c r="F1799" i="101"/>
  <c r="E1799" i="101"/>
  <c r="D1799" i="101"/>
  <c r="H1799" i="101" s="1"/>
  <c r="I1798" i="101"/>
  <c r="G1798" i="101"/>
  <c r="F1798" i="101"/>
  <c r="E1798" i="101"/>
  <c r="D1798" i="101"/>
  <c r="H1798" i="101" s="1"/>
  <c r="I1797" i="101"/>
  <c r="G1797" i="101"/>
  <c r="F1797" i="101"/>
  <c r="E1797" i="101"/>
  <c r="D1797" i="101"/>
  <c r="H1797" i="101" s="1"/>
  <c r="I1796" i="101"/>
  <c r="G1796" i="101"/>
  <c r="F1796" i="101"/>
  <c r="E1796" i="101"/>
  <c r="D1796" i="101"/>
  <c r="H1796" i="101" s="1"/>
  <c r="I1795" i="101"/>
  <c r="G1795" i="101"/>
  <c r="F1795" i="101"/>
  <c r="E1795" i="101"/>
  <c r="D1795" i="101"/>
  <c r="H1795" i="101" s="1"/>
  <c r="I1794" i="101"/>
  <c r="G1794" i="101"/>
  <c r="F1794" i="101"/>
  <c r="E1794" i="101"/>
  <c r="D1794" i="101"/>
  <c r="H1794" i="101" s="1"/>
  <c r="I1793" i="101"/>
  <c r="G1793" i="101"/>
  <c r="F1793" i="101"/>
  <c r="E1793" i="101"/>
  <c r="D1793" i="101"/>
  <c r="H1793" i="101" s="1"/>
  <c r="I1792" i="101"/>
  <c r="G1792" i="101"/>
  <c r="F1792" i="101"/>
  <c r="E1792" i="101"/>
  <c r="D1792" i="101"/>
  <c r="I1791" i="101"/>
  <c r="G1791" i="101"/>
  <c r="F1791" i="101"/>
  <c r="E1791" i="101"/>
  <c r="D1791" i="101"/>
  <c r="I1790" i="101"/>
  <c r="G1790" i="101"/>
  <c r="F1790" i="101"/>
  <c r="E1790" i="101"/>
  <c r="D1790" i="101"/>
  <c r="I1789" i="101"/>
  <c r="G1789" i="101"/>
  <c r="F1789" i="101"/>
  <c r="E1789" i="101"/>
  <c r="D1789" i="101"/>
  <c r="I1788" i="101"/>
  <c r="G1788" i="101"/>
  <c r="F1788" i="101"/>
  <c r="E1788" i="101"/>
  <c r="D1788" i="101"/>
  <c r="I1787" i="101"/>
  <c r="G1787" i="101"/>
  <c r="F1787" i="101"/>
  <c r="E1787" i="101"/>
  <c r="D1787" i="101"/>
  <c r="I1786" i="101"/>
  <c r="G1786" i="101"/>
  <c r="F1786" i="101"/>
  <c r="E1786" i="101"/>
  <c r="D1786" i="101"/>
  <c r="I1785" i="101"/>
  <c r="G1785" i="101"/>
  <c r="F1785" i="101"/>
  <c r="E1785" i="101"/>
  <c r="D1785" i="101"/>
  <c r="I1784" i="101"/>
  <c r="G1784" i="101"/>
  <c r="F1784" i="101"/>
  <c r="E1784" i="101"/>
  <c r="D1784" i="101"/>
  <c r="I1783" i="101"/>
  <c r="G1783" i="101"/>
  <c r="F1783" i="101"/>
  <c r="E1783" i="101"/>
  <c r="D1783" i="101"/>
  <c r="I1782" i="101"/>
  <c r="G1782" i="101"/>
  <c r="F1782" i="101"/>
  <c r="E1782" i="101"/>
  <c r="D1782" i="101"/>
  <c r="I1781" i="101"/>
  <c r="G1781" i="101"/>
  <c r="F1781" i="101"/>
  <c r="E1781" i="101"/>
  <c r="D1781" i="101"/>
  <c r="I1780" i="101"/>
  <c r="G1780" i="101"/>
  <c r="F1780" i="101"/>
  <c r="E1780" i="101"/>
  <c r="D1780" i="101"/>
  <c r="I1779" i="101"/>
  <c r="G1779" i="101"/>
  <c r="F1779" i="101"/>
  <c r="E1779" i="101"/>
  <c r="D1779" i="101"/>
  <c r="I1778" i="101"/>
  <c r="I1812" i="101" s="1"/>
  <c r="G1778" i="101"/>
  <c r="G1812" i="101" s="1"/>
  <c r="F1778" i="101"/>
  <c r="E1778" i="101"/>
  <c r="E1812" i="101" s="1"/>
  <c r="D1778" i="101"/>
  <c r="D1812" i="101" s="1"/>
  <c r="H1776" i="101"/>
  <c r="H1775" i="101"/>
  <c r="H1774" i="101"/>
  <c r="H1773" i="101"/>
  <c r="H1772" i="101"/>
  <c r="H1771" i="101"/>
  <c r="H1770" i="101"/>
  <c r="H1769" i="101"/>
  <c r="H1768" i="101"/>
  <c r="H1767" i="101"/>
  <c r="H1766" i="101"/>
  <c r="H1765" i="101"/>
  <c r="H1764" i="101"/>
  <c r="H1763" i="101"/>
  <c r="H1762" i="101"/>
  <c r="H1761" i="101"/>
  <c r="H1760" i="101"/>
  <c r="H1759" i="101"/>
  <c r="H1758" i="101"/>
  <c r="H1757" i="101"/>
  <c r="H1756" i="101"/>
  <c r="H1755" i="101"/>
  <c r="H1754" i="101"/>
  <c r="H1753" i="101"/>
  <c r="H1752" i="101"/>
  <c r="H1751" i="101"/>
  <c r="H1750" i="101"/>
  <c r="H1749" i="101"/>
  <c r="H1748" i="101"/>
  <c r="H1747" i="101"/>
  <c r="H1746" i="101"/>
  <c r="H1745" i="101"/>
  <c r="H1744" i="101"/>
  <c r="H1742" i="101"/>
  <c r="H1741" i="101"/>
  <c r="H1740" i="101"/>
  <c r="H1739" i="101"/>
  <c r="H1738" i="101"/>
  <c r="H1737" i="101"/>
  <c r="H1736" i="101"/>
  <c r="H1735" i="101"/>
  <c r="H1734" i="101"/>
  <c r="H1733" i="101"/>
  <c r="H1732" i="101"/>
  <c r="H1731" i="101"/>
  <c r="H1730" i="101"/>
  <c r="H1729" i="101"/>
  <c r="H1728" i="101"/>
  <c r="H1727" i="101"/>
  <c r="H1726" i="101"/>
  <c r="H1725" i="101"/>
  <c r="H1724" i="101"/>
  <c r="H1723" i="101"/>
  <c r="H1722" i="101"/>
  <c r="H1721" i="101"/>
  <c r="H1720" i="101"/>
  <c r="H1719" i="101"/>
  <c r="H1718" i="101"/>
  <c r="H1717" i="101"/>
  <c r="H1716" i="101"/>
  <c r="H1715" i="101"/>
  <c r="H1714" i="101"/>
  <c r="H1713" i="101"/>
  <c r="H1712" i="101"/>
  <c r="H1711" i="101"/>
  <c r="H1710" i="101"/>
  <c r="H1708" i="101"/>
  <c r="H1707" i="101"/>
  <c r="H1706" i="101"/>
  <c r="H1705" i="101"/>
  <c r="H1704" i="101"/>
  <c r="H1703" i="101"/>
  <c r="H1702" i="101"/>
  <c r="H1701" i="101"/>
  <c r="H1700" i="101"/>
  <c r="H1699" i="101"/>
  <c r="H1698" i="101"/>
  <c r="H1697" i="101"/>
  <c r="H1696" i="101"/>
  <c r="H1695" i="101"/>
  <c r="H1694" i="101"/>
  <c r="H1693" i="101"/>
  <c r="H1692" i="101"/>
  <c r="H1691" i="101"/>
  <c r="H1690" i="101"/>
  <c r="H1689" i="101"/>
  <c r="H1688" i="101"/>
  <c r="H1687" i="101"/>
  <c r="H1686" i="101"/>
  <c r="H1685" i="101"/>
  <c r="H1684" i="101"/>
  <c r="H1683" i="101"/>
  <c r="H1682" i="101"/>
  <c r="H1681" i="101"/>
  <c r="H1680" i="101"/>
  <c r="H1679" i="101"/>
  <c r="H1678" i="101"/>
  <c r="H1677" i="101"/>
  <c r="H1676" i="101"/>
  <c r="H1674" i="101"/>
  <c r="H1673" i="101"/>
  <c r="H1672" i="101"/>
  <c r="H1671" i="101"/>
  <c r="H1670" i="101"/>
  <c r="H1669" i="101"/>
  <c r="H1668" i="101"/>
  <c r="H1667" i="101"/>
  <c r="H1666" i="101"/>
  <c r="H1665" i="101"/>
  <c r="H1664" i="101"/>
  <c r="H1663" i="101"/>
  <c r="H1662" i="101"/>
  <c r="H1661" i="101"/>
  <c r="H1660" i="101"/>
  <c r="H1659" i="101"/>
  <c r="H1658" i="101"/>
  <c r="H1657" i="101"/>
  <c r="H1656" i="101"/>
  <c r="H1655" i="101"/>
  <c r="H1654" i="101"/>
  <c r="H1653" i="101"/>
  <c r="H1652" i="101"/>
  <c r="H1651" i="101"/>
  <c r="H1650" i="101"/>
  <c r="H1649" i="101"/>
  <c r="H1648" i="101"/>
  <c r="H1647" i="101"/>
  <c r="H1646" i="101"/>
  <c r="H1645" i="101"/>
  <c r="H1644" i="101"/>
  <c r="H1643" i="101"/>
  <c r="H1642" i="101"/>
  <c r="H1640" i="101"/>
  <c r="H1639" i="101"/>
  <c r="H1638" i="101"/>
  <c r="H1637" i="101"/>
  <c r="H1636" i="101"/>
  <c r="H1635" i="101"/>
  <c r="H1634" i="101"/>
  <c r="H1633" i="101"/>
  <c r="H1632" i="101"/>
  <c r="H1631" i="101"/>
  <c r="H1630" i="101"/>
  <c r="H1629" i="101"/>
  <c r="H1628" i="101"/>
  <c r="H1627" i="101"/>
  <c r="H1626" i="101"/>
  <c r="H1625" i="101"/>
  <c r="H1624" i="101"/>
  <c r="H1623" i="101"/>
  <c r="H1622" i="101"/>
  <c r="H1621" i="101"/>
  <c r="H1620" i="101"/>
  <c r="H1619" i="101"/>
  <c r="H1618" i="101"/>
  <c r="H1617" i="101"/>
  <c r="H1616" i="101"/>
  <c r="H1615" i="101"/>
  <c r="H1614" i="101"/>
  <c r="H1613" i="101"/>
  <c r="H1612" i="101"/>
  <c r="H1611" i="101"/>
  <c r="H1610" i="101"/>
  <c r="H1609" i="101"/>
  <c r="H1608" i="101"/>
  <c r="H1606" i="101"/>
  <c r="H1605" i="101"/>
  <c r="H1604" i="101"/>
  <c r="H1603" i="101"/>
  <c r="H1602" i="101"/>
  <c r="H1601" i="101"/>
  <c r="H1600" i="101"/>
  <c r="H1599" i="101"/>
  <c r="H1598" i="101"/>
  <c r="H1597" i="101"/>
  <c r="H1596" i="101"/>
  <c r="H1595" i="101"/>
  <c r="H1594" i="101"/>
  <c r="H1593" i="101"/>
  <c r="H1592" i="101"/>
  <c r="H1591" i="101"/>
  <c r="H1590" i="101"/>
  <c r="H1589" i="101"/>
  <c r="H1588" i="101"/>
  <c r="H1587" i="101"/>
  <c r="H1586" i="101"/>
  <c r="H1585" i="101"/>
  <c r="H1584" i="101"/>
  <c r="H1583" i="101"/>
  <c r="H1582" i="101"/>
  <c r="H1581" i="101"/>
  <c r="H1580" i="101"/>
  <c r="H1579" i="101"/>
  <c r="H1578" i="101"/>
  <c r="H1577" i="101"/>
  <c r="H1576" i="101"/>
  <c r="H1575" i="101"/>
  <c r="H1574" i="101"/>
  <c r="H1572" i="101"/>
  <c r="H1571" i="101"/>
  <c r="H1570" i="101"/>
  <c r="H1569" i="101"/>
  <c r="H1568" i="101"/>
  <c r="H1567" i="101"/>
  <c r="H1566" i="101"/>
  <c r="H1565" i="101"/>
  <c r="H1564" i="101"/>
  <c r="H1563" i="101"/>
  <c r="H1562" i="101"/>
  <c r="H1561" i="101"/>
  <c r="H1560" i="101"/>
  <c r="H1559" i="101"/>
  <c r="H1558" i="101"/>
  <c r="H1557" i="101"/>
  <c r="H1556" i="101"/>
  <c r="H1555" i="101"/>
  <c r="H1554" i="101"/>
  <c r="H1553" i="101"/>
  <c r="H1552" i="101"/>
  <c r="H1551" i="101"/>
  <c r="H1550" i="101"/>
  <c r="H1549" i="101"/>
  <c r="H1548" i="101"/>
  <c r="H1547" i="101"/>
  <c r="H1546" i="101"/>
  <c r="H1545" i="101"/>
  <c r="H1544" i="101"/>
  <c r="H1543" i="101"/>
  <c r="H1542" i="101"/>
  <c r="H1541" i="101"/>
  <c r="H1540" i="101"/>
  <c r="H1538" i="101"/>
  <c r="H1537" i="101"/>
  <c r="H1536" i="101"/>
  <c r="H1535" i="101"/>
  <c r="H1534" i="101"/>
  <c r="H1533" i="101"/>
  <c r="H1532" i="101"/>
  <c r="H1531" i="101"/>
  <c r="H1530" i="101"/>
  <c r="H1529" i="101"/>
  <c r="H1528" i="101"/>
  <c r="H1527" i="101"/>
  <c r="H1526" i="101"/>
  <c r="H1525" i="101"/>
  <c r="H1524" i="101"/>
  <c r="H1523" i="101"/>
  <c r="H1522" i="101"/>
  <c r="H1521" i="101"/>
  <c r="H1520" i="101"/>
  <c r="H1519" i="101"/>
  <c r="H1518" i="101"/>
  <c r="H1517" i="101"/>
  <c r="H1516" i="101"/>
  <c r="H1515" i="101"/>
  <c r="H1514" i="101"/>
  <c r="H1513" i="101"/>
  <c r="H1512" i="101"/>
  <c r="H1511" i="101"/>
  <c r="H1510" i="101"/>
  <c r="H1509" i="101"/>
  <c r="H1508" i="101"/>
  <c r="H1507" i="101"/>
  <c r="H1506" i="101"/>
  <c r="H1504" i="101"/>
  <c r="H1503" i="101"/>
  <c r="H1502" i="101"/>
  <c r="H1501" i="101"/>
  <c r="H1500" i="101"/>
  <c r="H1499" i="101"/>
  <c r="H1498" i="101"/>
  <c r="H1497" i="101"/>
  <c r="H1496" i="101"/>
  <c r="H1495" i="101"/>
  <c r="H1494" i="101"/>
  <c r="H1493" i="101"/>
  <c r="H1492" i="101"/>
  <c r="H1491" i="101"/>
  <c r="H1490" i="101"/>
  <c r="H1489" i="101"/>
  <c r="H1488" i="101"/>
  <c r="H1487" i="101"/>
  <c r="H1486" i="101"/>
  <c r="H1485" i="101"/>
  <c r="H1484" i="101"/>
  <c r="H1483" i="101"/>
  <c r="H1482" i="101"/>
  <c r="H1481" i="101"/>
  <c r="H1480" i="101"/>
  <c r="H1479" i="101"/>
  <c r="H1478" i="101"/>
  <c r="H1477" i="101"/>
  <c r="H1476" i="101"/>
  <c r="H1475" i="101"/>
  <c r="H1474" i="101"/>
  <c r="H1473" i="101"/>
  <c r="H1472" i="101"/>
  <c r="H1470" i="101"/>
  <c r="H1469" i="101"/>
  <c r="H1468" i="101"/>
  <c r="H1467" i="101"/>
  <c r="H1466" i="101"/>
  <c r="H1465" i="101"/>
  <c r="H1464" i="101"/>
  <c r="H1463" i="101"/>
  <c r="H1462" i="101"/>
  <c r="H1461" i="101"/>
  <c r="H1460" i="101"/>
  <c r="H1459" i="101"/>
  <c r="H1458" i="101"/>
  <c r="H1457" i="101"/>
  <c r="H1456" i="101"/>
  <c r="H1455" i="101"/>
  <c r="H1454" i="101"/>
  <c r="H1453" i="101"/>
  <c r="H1452" i="101"/>
  <c r="H1451" i="101"/>
  <c r="H1450" i="101"/>
  <c r="H1449" i="101"/>
  <c r="H1448" i="101"/>
  <c r="H1447" i="101"/>
  <c r="H1446" i="101"/>
  <c r="H1445" i="101"/>
  <c r="H1444" i="101"/>
  <c r="H1443" i="101"/>
  <c r="H1442" i="101"/>
  <c r="H1441" i="101"/>
  <c r="H1440" i="101"/>
  <c r="H1439" i="101"/>
  <c r="H1438" i="101"/>
  <c r="H1436" i="101"/>
  <c r="H1435" i="101"/>
  <c r="H1434" i="101"/>
  <c r="H1433" i="101"/>
  <c r="H1432" i="101"/>
  <c r="H1431" i="101"/>
  <c r="H1430" i="101"/>
  <c r="H1429" i="101"/>
  <c r="H1428" i="101"/>
  <c r="H1427" i="101"/>
  <c r="H1426" i="101"/>
  <c r="H1425" i="101"/>
  <c r="H1424" i="101"/>
  <c r="H1423" i="101"/>
  <c r="H1422" i="101"/>
  <c r="H1421" i="101"/>
  <c r="H1420" i="101"/>
  <c r="H1419" i="101"/>
  <c r="H1418" i="101"/>
  <c r="H1417" i="101"/>
  <c r="H1416" i="101"/>
  <c r="H1415" i="101"/>
  <c r="H1414" i="101"/>
  <c r="H1413" i="101"/>
  <c r="H1412" i="101"/>
  <c r="H1411" i="101"/>
  <c r="H1410" i="101"/>
  <c r="H1409" i="101"/>
  <c r="H1408" i="101"/>
  <c r="H1407" i="101"/>
  <c r="H1406" i="101"/>
  <c r="H1405" i="101"/>
  <c r="H1404" i="101"/>
  <c r="H1402" i="101"/>
  <c r="H1401" i="101"/>
  <c r="H1400" i="101"/>
  <c r="H1399" i="101"/>
  <c r="H1398" i="101"/>
  <c r="H1397" i="101"/>
  <c r="H1396" i="101"/>
  <c r="H1395" i="101"/>
  <c r="H1394" i="101"/>
  <c r="H1393" i="101"/>
  <c r="H1392" i="101"/>
  <c r="H1391" i="101"/>
  <c r="H1390" i="101"/>
  <c r="H1389" i="101"/>
  <c r="H1388" i="101"/>
  <c r="H1387" i="101"/>
  <c r="H1386" i="101"/>
  <c r="H1385" i="101"/>
  <c r="H1384" i="101"/>
  <c r="H1383" i="101"/>
  <c r="H1382" i="101"/>
  <c r="H1381" i="101"/>
  <c r="H1380" i="101"/>
  <c r="H1379" i="101"/>
  <c r="H1378" i="101"/>
  <c r="H1377" i="101"/>
  <c r="H1376" i="101"/>
  <c r="H1375" i="101"/>
  <c r="H1374" i="101"/>
  <c r="H1373" i="101"/>
  <c r="H1372" i="101"/>
  <c r="H1371" i="101"/>
  <c r="H1370" i="101"/>
  <c r="H1368" i="101"/>
  <c r="H1367" i="101"/>
  <c r="H1366" i="101"/>
  <c r="H1365" i="101"/>
  <c r="H1364" i="101"/>
  <c r="H1363" i="101"/>
  <c r="H1362" i="101"/>
  <c r="H1361" i="101"/>
  <c r="H1360" i="101"/>
  <c r="H1359" i="101"/>
  <c r="H1358" i="101"/>
  <c r="H1357" i="101"/>
  <c r="H1356" i="101"/>
  <c r="H1355" i="101"/>
  <c r="H1354" i="101"/>
  <c r="H1353" i="101"/>
  <c r="H1352" i="101"/>
  <c r="H1351" i="101"/>
  <c r="H1350" i="101"/>
  <c r="H1349" i="101"/>
  <c r="H1348" i="101"/>
  <c r="H1347" i="101"/>
  <c r="H1346" i="101"/>
  <c r="H1345" i="101"/>
  <c r="H1344" i="101"/>
  <c r="H1343" i="101"/>
  <c r="H1342" i="101"/>
  <c r="H1341" i="101"/>
  <c r="H1340" i="101"/>
  <c r="H1339" i="101"/>
  <c r="H1338" i="101"/>
  <c r="H1337" i="101"/>
  <c r="H1336" i="101"/>
  <c r="H1333" i="101"/>
  <c r="H1332" i="101"/>
  <c r="H1331" i="101"/>
  <c r="H1330" i="101"/>
  <c r="H1329" i="101"/>
  <c r="H1328" i="101"/>
  <c r="H1327" i="101"/>
  <c r="H1326" i="101"/>
  <c r="H1325" i="101"/>
  <c r="H1324" i="101"/>
  <c r="H1323" i="101"/>
  <c r="H1322" i="101"/>
  <c r="H1321" i="101"/>
  <c r="H1320" i="101"/>
  <c r="H1319" i="101"/>
  <c r="H1318" i="101"/>
  <c r="H1317" i="101"/>
  <c r="H1316" i="101"/>
  <c r="H1315" i="101"/>
  <c r="H1314" i="101"/>
  <c r="H1313" i="101"/>
  <c r="H1312" i="101"/>
  <c r="H1311" i="101"/>
  <c r="H1310" i="101"/>
  <c r="H1309" i="101"/>
  <c r="H1308" i="101"/>
  <c r="H1307" i="101"/>
  <c r="H1306" i="101"/>
  <c r="H1305" i="101"/>
  <c r="H1304" i="101"/>
  <c r="H1303" i="101"/>
  <c r="H1302" i="101"/>
  <c r="H1301" i="101"/>
  <c r="H1299" i="101"/>
  <c r="H1298" i="101"/>
  <c r="H1297" i="101"/>
  <c r="H1296" i="101"/>
  <c r="H1295" i="101"/>
  <c r="H1294" i="101"/>
  <c r="H1293" i="101"/>
  <c r="H1292" i="101"/>
  <c r="H1291" i="101"/>
  <c r="H1290" i="101"/>
  <c r="H1289" i="101"/>
  <c r="H1288" i="101"/>
  <c r="H1287" i="101"/>
  <c r="H1286" i="101"/>
  <c r="H1285" i="101"/>
  <c r="H1284" i="101"/>
  <c r="H1283" i="101"/>
  <c r="H1282" i="101"/>
  <c r="H1281" i="101"/>
  <c r="H1280" i="101"/>
  <c r="H1279" i="101"/>
  <c r="H1278" i="101"/>
  <c r="H1277" i="101"/>
  <c r="H1276" i="101"/>
  <c r="H1275" i="101"/>
  <c r="H1274" i="101"/>
  <c r="H1273" i="101"/>
  <c r="H1272" i="101"/>
  <c r="H1271" i="101"/>
  <c r="H1270" i="101"/>
  <c r="H1269" i="101"/>
  <c r="H1268" i="101"/>
  <c r="H1267" i="101"/>
  <c r="H1265" i="101"/>
  <c r="H1264" i="101"/>
  <c r="H1263" i="101"/>
  <c r="H1262" i="101"/>
  <c r="H1261" i="101"/>
  <c r="H1260" i="101"/>
  <c r="H1259" i="101"/>
  <c r="H1258" i="101"/>
  <c r="H1257" i="101"/>
  <c r="H1256" i="101"/>
  <c r="H1255" i="101"/>
  <c r="H1254" i="101"/>
  <c r="H1253" i="101"/>
  <c r="H1252" i="101"/>
  <c r="H1251" i="101"/>
  <c r="H1250" i="101"/>
  <c r="H1249" i="101"/>
  <c r="H1248" i="101"/>
  <c r="H1247" i="101"/>
  <c r="H1246" i="101"/>
  <c r="H1245" i="101"/>
  <c r="H1244" i="101"/>
  <c r="H1243" i="101"/>
  <c r="H1242" i="101"/>
  <c r="H1241" i="101"/>
  <c r="H1240" i="101"/>
  <c r="H1239" i="101"/>
  <c r="H1238" i="101"/>
  <c r="H1237" i="101"/>
  <c r="H1236" i="101"/>
  <c r="H1235" i="101"/>
  <c r="H1234" i="101"/>
  <c r="H1233" i="101"/>
  <c r="H1231" i="101"/>
  <c r="H1230" i="101"/>
  <c r="H1229" i="101"/>
  <c r="H1228" i="101"/>
  <c r="H1227" i="101"/>
  <c r="H1226" i="101"/>
  <c r="H1225" i="101"/>
  <c r="H1224" i="101"/>
  <c r="H1223" i="101"/>
  <c r="H1222" i="101"/>
  <c r="H1221" i="101"/>
  <c r="H1220" i="101"/>
  <c r="H1219" i="101"/>
  <c r="H1218" i="101"/>
  <c r="H1217" i="101"/>
  <c r="H1216" i="101"/>
  <c r="H1215" i="101"/>
  <c r="H1214" i="101"/>
  <c r="H1213" i="101"/>
  <c r="H1212" i="101"/>
  <c r="H1211" i="101"/>
  <c r="H1210" i="101"/>
  <c r="H1209" i="101"/>
  <c r="H1208" i="101"/>
  <c r="H1207" i="101"/>
  <c r="H1206" i="101"/>
  <c r="H1205" i="101"/>
  <c r="H1204" i="101"/>
  <c r="H1203" i="101"/>
  <c r="H1202" i="101"/>
  <c r="H1201" i="101"/>
  <c r="H1200" i="101"/>
  <c r="H1199" i="101"/>
  <c r="H1197" i="101"/>
  <c r="H1196" i="101"/>
  <c r="H1195" i="101"/>
  <c r="H1194" i="101"/>
  <c r="H1193" i="101"/>
  <c r="H1192" i="101"/>
  <c r="H1191" i="101"/>
  <c r="H1190" i="101"/>
  <c r="H1189" i="101"/>
  <c r="H1188" i="101"/>
  <c r="H1187" i="101"/>
  <c r="H1186" i="101"/>
  <c r="H1185" i="101"/>
  <c r="H1184" i="101"/>
  <c r="H1183" i="101"/>
  <c r="H1182" i="101"/>
  <c r="H1181" i="101"/>
  <c r="H1180" i="101"/>
  <c r="H1179" i="101"/>
  <c r="H1178" i="101"/>
  <c r="H1177" i="101"/>
  <c r="H1176" i="101"/>
  <c r="H1175" i="101"/>
  <c r="H1174" i="101"/>
  <c r="H1173" i="101"/>
  <c r="H1172" i="101"/>
  <c r="H1171" i="101"/>
  <c r="H1170" i="101"/>
  <c r="H1169" i="101"/>
  <c r="H1168" i="101"/>
  <c r="H1167" i="101"/>
  <c r="H1166" i="101"/>
  <c r="H1165" i="101"/>
  <c r="H1162" i="101"/>
  <c r="H1161" i="101"/>
  <c r="H1160" i="101"/>
  <c r="H1159" i="101"/>
  <c r="H1158" i="101"/>
  <c r="H1157" i="101"/>
  <c r="H1156" i="101"/>
  <c r="H1155" i="101"/>
  <c r="H1154" i="101"/>
  <c r="H1153" i="101"/>
  <c r="H1152" i="101"/>
  <c r="H1151" i="101"/>
  <c r="H1150" i="101"/>
  <c r="H1149" i="101"/>
  <c r="H1148" i="101"/>
  <c r="H1147" i="101"/>
  <c r="H1146" i="101"/>
  <c r="H1145" i="101"/>
  <c r="H1144" i="101"/>
  <c r="H1143" i="101"/>
  <c r="H1142" i="101"/>
  <c r="H1141" i="101"/>
  <c r="H1140" i="101"/>
  <c r="H1139" i="101"/>
  <c r="H1138" i="101"/>
  <c r="H1137" i="101"/>
  <c r="H1136" i="101"/>
  <c r="H1135" i="101"/>
  <c r="H1134" i="101"/>
  <c r="H1133" i="101"/>
  <c r="H1132" i="101"/>
  <c r="H1131" i="101"/>
  <c r="H1130" i="101"/>
  <c r="H1128" i="101"/>
  <c r="H1127" i="101"/>
  <c r="H1126" i="101"/>
  <c r="H1125" i="101"/>
  <c r="H1124" i="101"/>
  <c r="H1123" i="101"/>
  <c r="H1122" i="101"/>
  <c r="H1121" i="101"/>
  <c r="H1120" i="101"/>
  <c r="H1119" i="101"/>
  <c r="H1118" i="101"/>
  <c r="H1117" i="101"/>
  <c r="H1116" i="101"/>
  <c r="H1115" i="101"/>
  <c r="H1114" i="101"/>
  <c r="H1113" i="101"/>
  <c r="H1112" i="101"/>
  <c r="H1111" i="101"/>
  <c r="H1110" i="101"/>
  <c r="H1109" i="101"/>
  <c r="H1108" i="101"/>
  <c r="H1107" i="101"/>
  <c r="H1106" i="101"/>
  <c r="H1105" i="101"/>
  <c r="H1104" i="101"/>
  <c r="H1103" i="101"/>
  <c r="H1102" i="101"/>
  <c r="H1101" i="101"/>
  <c r="H1100" i="101"/>
  <c r="H1099" i="101"/>
  <c r="H1098" i="101"/>
  <c r="H1097" i="101"/>
  <c r="H1096" i="101"/>
  <c r="H1094" i="101"/>
  <c r="H1093" i="101"/>
  <c r="H1092" i="101"/>
  <c r="H1091" i="101"/>
  <c r="H1090" i="101"/>
  <c r="H1089" i="101"/>
  <c r="H1088" i="101"/>
  <c r="H1087" i="101"/>
  <c r="H1086" i="101"/>
  <c r="H1085" i="101"/>
  <c r="H1084" i="101"/>
  <c r="H1083" i="101"/>
  <c r="H1082" i="101"/>
  <c r="H1081" i="101"/>
  <c r="H1080" i="101"/>
  <c r="H1079" i="101"/>
  <c r="H1078" i="101"/>
  <c r="H1077" i="101"/>
  <c r="H1076" i="101"/>
  <c r="H1075" i="101"/>
  <c r="H1074" i="101"/>
  <c r="H1073" i="101"/>
  <c r="H1072" i="101"/>
  <c r="H1071" i="101"/>
  <c r="H1070" i="101"/>
  <c r="H1069" i="101"/>
  <c r="H1068" i="101"/>
  <c r="H1067" i="101"/>
  <c r="H1066" i="101"/>
  <c r="H1065" i="101"/>
  <c r="H1064" i="101"/>
  <c r="H1063" i="101"/>
  <c r="H1062" i="101"/>
  <c r="H1060" i="101"/>
  <c r="H1059" i="101"/>
  <c r="H1058" i="101"/>
  <c r="H1057" i="101"/>
  <c r="H1056" i="101"/>
  <c r="H1055" i="101"/>
  <c r="H1054" i="101"/>
  <c r="H1053" i="101"/>
  <c r="H1052" i="101"/>
  <c r="H1051" i="101"/>
  <c r="H1050" i="101"/>
  <c r="H1049" i="101"/>
  <c r="H1048" i="101"/>
  <c r="H1047" i="101"/>
  <c r="H1046" i="101"/>
  <c r="H1045" i="101"/>
  <c r="H1044" i="101"/>
  <c r="H1043" i="101"/>
  <c r="H1042" i="101"/>
  <c r="H1041" i="101"/>
  <c r="H1040" i="101"/>
  <c r="H1039" i="101"/>
  <c r="H1038" i="101"/>
  <c r="H1037" i="101"/>
  <c r="H1036" i="101"/>
  <c r="H1035" i="101"/>
  <c r="H1034" i="101"/>
  <c r="H1033" i="101"/>
  <c r="H1032" i="101"/>
  <c r="H1031" i="101"/>
  <c r="H1030" i="101"/>
  <c r="H1029" i="101"/>
  <c r="H1028" i="101"/>
  <c r="H1026" i="101"/>
  <c r="H1025" i="101"/>
  <c r="H1024" i="101"/>
  <c r="H1023" i="101"/>
  <c r="H1022" i="101"/>
  <c r="H1021" i="101"/>
  <c r="H1020" i="101"/>
  <c r="H1019" i="101"/>
  <c r="H1018" i="101"/>
  <c r="H1017" i="101"/>
  <c r="H1016" i="101"/>
  <c r="H1015" i="101"/>
  <c r="H1014" i="101"/>
  <c r="H1013" i="101"/>
  <c r="H1012" i="101"/>
  <c r="H1011" i="101"/>
  <c r="H1010" i="101"/>
  <c r="H1009" i="101"/>
  <c r="H1008" i="101"/>
  <c r="H1007" i="101"/>
  <c r="H1006" i="101"/>
  <c r="H1005" i="101"/>
  <c r="H1004" i="101"/>
  <c r="H1003" i="101"/>
  <c r="H1002" i="101"/>
  <c r="H1001" i="101"/>
  <c r="H1000" i="101"/>
  <c r="H999" i="101"/>
  <c r="H998" i="101"/>
  <c r="H997" i="101"/>
  <c r="H996" i="101"/>
  <c r="H995" i="101"/>
  <c r="H994" i="101"/>
  <c r="H992" i="101"/>
  <c r="H991" i="101"/>
  <c r="H990" i="101"/>
  <c r="H989" i="101"/>
  <c r="H988" i="101"/>
  <c r="H987" i="101"/>
  <c r="H986" i="101"/>
  <c r="H985" i="101"/>
  <c r="H984" i="101"/>
  <c r="H983" i="101"/>
  <c r="H982" i="101"/>
  <c r="H981" i="101"/>
  <c r="H980" i="101"/>
  <c r="H979" i="101"/>
  <c r="H978" i="101"/>
  <c r="H977" i="101"/>
  <c r="H976" i="101"/>
  <c r="H975" i="101"/>
  <c r="H974" i="101"/>
  <c r="H973" i="101"/>
  <c r="H972" i="101"/>
  <c r="H971" i="101"/>
  <c r="H970" i="101"/>
  <c r="H969" i="101"/>
  <c r="H968" i="101"/>
  <c r="H967" i="101"/>
  <c r="H966" i="101"/>
  <c r="H965" i="101"/>
  <c r="H964" i="101"/>
  <c r="H963" i="101"/>
  <c r="H962" i="101"/>
  <c r="H961" i="101"/>
  <c r="H960" i="101"/>
  <c r="H958" i="101"/>
  <c r="H957" i="101"/>
  <c r="H956" i="101"/>
  <c r="H955" i="101"/>
  <c r="H954" i="101"/>
  <c r="H953" i="101"/>
  <c r="H952" i="101"/>
  <c r="H951" i="101"/>
  <c r="H950" i="101"/>
  <c r="H949" i="101"/>
  <c r="H948" i="101"/>
  <c r="H947" i="101"/>
  <c r="H946" i="101"/>
  <c r="H945" i="101"/>
  <c r="H944" i="101"/>
  <c r="H943" i="101"/>
  <c r="H942" i="101"/>
  <c r="H941" i="101"/>
  <c r="H940" i="101"/>
  <c r="H939" i="101"/>
  <c r="H938" i="101"/>
  <c r="H937" i="101"/>
  <c r="H936" i="101"/>
  <c r="H935" i="101"/>
  <c r="H934" i="101"/>
  <c r="H933" i="101"/>
  <c r="H932" i="101"/>
  <c r="H931" i="101"/>
  <c r="H930" i="101"/>
  <c r="H929" i="101"/>
  <c r="H928" i="101"/>
  <c r="H927" i="101"/>
  <c r="H926" i="101"/>
  <c r="H924" i="101"/>
  <c r="H923" i="101"/>
  <c r="H922" i="101"/>
  <c r="H921" i="101"/>
  <c r="H920" i="101"/>
  <c r="H919" i="101"/>
  <c r="H918" i="101"/>
  <c r="H917" i="101"/>
  <c r="H916" i="101"/>
  <c r="H915" i="101"/>
  <c r="H914" i="101"/>
  <c r="H913" i="101"/>
  <c r="H912" i="101"/>
  <c r="H911" i="101"/>
  <c r="H910" i="101"/>
  <c r="H909" i="101"/>
  <c r="H908" i="101"/>
  <c r="H907" i="101"/>
  <c r="H906" i="101"/>
  <c r="H905" i="101"/>
  <c r="H904" i="101"/>
  <c r="H903" i="101"/>
  <c r="H902" i="101"/>
  <c r="H901" i="101"/>
  <c r="H900" i="101"/>
  <c r="H899" i="101"/>
  <c r="H898" i="101"/>
  <c r="H897" i="101"/>
  <c r="H896" i="101"/>
  <c r="H895" i="101"/>
  <c r="H894" i="101"/>
  <c r="H893" i="101"/>
  <c r="H892" i="101"/>
  <c r="H890" i="101"/>
  <c r="H889" i="101"/>
  <c r="H888" i="101"/>
  <c r="H887" i="101"/>
  <c r="H886" i="101"/>
  <c r="H885" i="101"/>
  <c r="H884" i="101"/>
  <c r="H883" i="101"/>
  <c r="H882" i="101"/>
  <c r="H881" i="101"/>
  <c r="H880" i="101"/>
  <c r="H879" i="101"/>
  <c r="H878" i="101"/>
  <c r="H877" i="101"/>
  <c r="H876" i="101"/>
  <c r="H875" i="101"/>
  <c r="H874" i="101"/>
  <c r="H873" i="101"/>
  <c r="H872" i="101"/>
  <c r="H871" i="101"/>
  <c r="H870" i="101"/>
  <c r="H869" i="101"/>
  <c r="H868" i="101"/>
  <c r="H867" i="101"/>
  <c r="H866" i="101"/>
  <c r="H865" i="101"/>
  <c r="H864" i="101"/>
  <c r="H863" i="101"/>
  <c r="H862" i="101"/>
  <c r="H861" i="101"/>
  <c r="H860" i="101"/>
  <c r="H859" i="101"/>
  <c r="H858" i="101"/>
  <c r="H856" i="101"/>
  <c r="H855" i="101"/>
  <c r="H854" i="101"/>
  <c r="H853" i="101"/>
  <c r="H852" i="101"/>
  <c r="H851" i="101"/>
  <c r="H850" i="101"/>
  <c r="H849" i="101"/>
  <c r="H848" i="101"/>
  <c r="H847" i="101"/>
  <c r="H846" i="101"/>
  <c r="H845" i="101"/>
  <c r="H844" i="101"/>
  <c r="H843" i="101"/>
  <c r="H842" i="101"/>
  <c r="H841" i="101"/>
  <c r="H840" i="101"/>
  <c r="H839" i="101"/>
  <c r="H838" i="101"/>
  <c r="H837" i="101"/>
  <c r="H836" i="101"/>
  <c r="H835" i="101"/>
  <c r="H834" i="101"/>
  <c r="H833" i="101"/>
  <c r="H832" i="101"/>
  <c r="H831" i="101"/>
  <c r="H830" i="101"/>
  <c r="H829" i="101"/>
  <c r="H828" i="101"/>
  <c r="H827" i="101"/>
  <c r="H826" i="101"/>
  <c r="H825" i="101"/>
  <c r="H824" i="101"/>
  <c r="H822" i="101"/>
  <c r="H821" i="101"/>
  <c r="H820" i="101"/>
  <c r="H819" i="101"/>
  <c r="H818" i="101"/>
  <c r="H817" i="101"/>
  <c r="H816" i="101"/>
  <c r="H815" i="101"/>
  <c r="H814" i="101"/>
  <c r="H813" i="101"/>
  <c r="H812" i="101"/>
  <c r="H811" i="101"/>
  <c r="H810" i="101"/>
  <c r="H809" i="101"/>
  <c r="H808" i="101"/>
  <c r="H807" i="101"/>
  <c r="H806" i="101"/>
  <c r="H805" i="101"/>
  <c r="H804" i="101"/>
  <c r="H803" i="101"/>
  <c r="H802" i="101"/>
  <c r="H801" i="101"/>
  <c r="H800" i="101"/>
  <c r="H799" i="101"/>
  <c r="H798" i="101"/>
  <c r="H797" i="101"/>
  <c r="H796" i="101"/>
  <c r="H795" i="101"/>
  <c r="H794" i="101"/>
  <c r="H793" i="101"/>
  <c r="H792" i="101"/>
  <c r="H791" i="101"/>
  <c r="H790" i="101"/>
  <c r="H788" i="101"/>
  <c r="H787" i="101"/>
  <c r="H786" i="101"/>
  <c r="H785" i="101"/>
  <c r="H784" i="101"/>
  <c r="H783" i="101"/>
  <c r="H782" i="101"/>
  <c r="H781" i="101"/>
  <c r="H780" i="101"/>
  <c r="H779" i="101"/>
  <c r="H778" i="101"/>
  <c r="H777" i="101"/>
  <c r="H776" i="101"/>
  <c r="H775" i="101"/>
  <c r="H774" i="101"/>
  <c r="H773" i="101"/>
  <c r="H772" i="101"/>
  <c r="H771" i="101"/>
  <c r="H770" i="101"/>
  <c r="H769" i="101"/>
  <c r="H768" i="101"/>
  <c r="H767" i="101"/>
  <c r="H766" i="101"/>
  <c r="H765" i="101"/>
  <c r="H764" i="101"/>
  <c r="H763" i="101"/>
  <c r="H762" i="101"/>
  <c r="H761" i="101"/>
  <c r="H760" i="101"/>
  <c r="H759" i="101"/>
  <c r="H758" i="101"/>
  <c r="H757" i="101"/>
  <c r="H756" i="101"/>
  <c r="H754" i="101"/>
  <c r="H753" i="101"/>
  <c r="H752" i="101"/>
  <c r="H751" i="101"/>
  <c r="H750" i="101"/>
  <c r="H749" i="101"/>
  <c r="H748" i="101"/>
  <c r="H747" i="101"/>
  <c r="H746" i="101"/>
  <c r="H745" i="101"/>
  <c r="H744" i="101"/>
  <c r="H743" i="101"/>
  <c r="H742" i="101"/>
  <c r="H741" i="101"/>
  <c r="H740" i="101"/>
  <c r="H739" i="101"/>
  <c r="H738" i="101"/>
  <c r="H737" i="101"/>
  <c r="H736" i="101"/>
  <c r="H735" i="101"/>
  <c r="H734" i="101"/>
  <c r="H733" i="101"/>
  <c r="H732" i="101"/>
  <c r="H731" i="101"/>
  <c r="H730" i="101"/>
  <c r="H729" i="101"/>
  <c r="H728" i="101"/>
  <c r="H727" i="101"/>
  <c r="H726" i="101"/>
  <c r="H725" i="101"/>
  <c r="H724" i="101"/>
  <c r="H723" i="101"/>
  <c r="H722" i="101"/>
  <c r="H720" i="101"/>
  <c r="H719" i="101"/>
  <c r="H718" i="101"/>
  <c r="H717" i="101"/>
  <c r="H716" i="101"/>
  <c r="H715" i="101"/>
  <c r="H714" i="101"/>
  <c r="H713" i="101"/>
  <c r="H712" i="101"/>
  <c r="H711" i="101"/>
  <c r="H710" i="101"/>
  <c r="H709" i="101"/>
  <c r="H708" i="101"/>
  <c r="H707" i="101"/>
  <c r="H706" i="101"/>
  <c r="H705" i="101"/>
  <c r="H704" i="101"/>
  <c r="H703" i="101"/>
  <c r="H702" i="101"/>
  <c r="H701" i="101"/>
  <c r="H700" i="101"/>
  <c r="H699" i="101"/>
  <c r="H698" i="101"/>
  <c r="H697" i="101"/>
  <c r="H696" i="101"/>
  <c r="H695" i="101"/>
  <c r="H694" i="101"/>
  <c r="H693" i="101"/>
  <c r="H692" i="101"/>
  <c r="H691" i="101"/>
  <c r="H690" i="101"/>
  <c r="H689" i="101"/>
  <c r="H688" i="101"/>
  <c r="H686" i="101"/>
  <c r="H685" i="101"/>
  <c r="H684" i="101"/>
  <c r="H683" i="101"/>
  <c r="H682" i="101"/>
  <c r="H681" i="101"/>
  <c r="H680" i="101"/>
  <c r="H679" i="101"/>
  <c r="H678" i="101"/>
  <c r="H677" i="101"/>
  <c r="H676" i="101"/>
  <c r="H675" i="101"/>
  <c r="H674" i="101"/>
  <c r="H673" i="101"/>
  <c r="H672" i="101"/>
  <c r="H671" i="101"/>
  <c r="H670" i="101"/>
  <c r="H669" i="101"/>
  <c r="H668" i="101"/>
  <c r="H667" i="101"/>
  <c r="H666" i="101"/>
  <c r="H665" i="101"/>
  <c r="H664" i="101"/>
  <c r="H663" i="101"/>
  <c r="H662" i="101"/>
  <c r="H661" i="101"/>
  <c r="H660" i="101"/>
  <c r="H659" i="101"/>
  <c r="H658" i="101"/>
  <c r="H657" i="101"/>
  <c r="H656" i="101"/>
  <c r="H655" i="101"/>
  <c r="H654" i="101"/>
  <c r="H652" i="101"/>
  <c r="H651" i="101"/>
  <c r="H650" i="101"/>
  <c r="H649" i="101"/>
  <c r="H648" i="101"/>
  <c r="H647" i="101"/>
  <c r="H646" i="101"/>
  <c r="H645" i="101"/>
  <c r="H644" i="101"/>
  <c r="H643" i="101"/>
  <c r="H642" i="101"/>
  <c r="H641" i="101"/>
  <c r="H640" i="101"/>
  <c r="H639" i="101"/>
  <c r="H638" i="101"/>
  <c r="H637" i="101"/>
  <c r="H636" i="101"/>
  <c r="H635" i="101"/>
  <c r="H634" i="101"/>
  <c r="H633" i="101"/>
  <c r="H632" i="101"/>
  <c r="H631" i="101"/>
  <c r="H630" i="101"/>
  <c r="H629" i="101"/>
  <c r="H628" i="101"/>
  <c r="H627" i="101"/>
  <c r="H626" i="101"/>
  <c r="H625" i="101"/>
  <c r="H624" i="101"/>
  <c r="H623" i="101"/>
  <c r="H622" i="101"/>
  <c r="H621" i="101"/>
  <c r="H620" i="101"/>
  <c r="H618" i="101"/>
  <c r="H617" i="101"/>
  <c r="H616" i="101"/>
  <c r="H615" i="101"/>
  <c r="H614" i="101"/>
  <c r="H613" i="101"/>
  <c r="H612" i="101"/>
  <c r="H611" i="101"/>
  <c r="H610" i="101"/>
  <c r="H609" i="101"/>
  <c r="H608" i="101"/>
  <c r="H607" i="101"/>
  <c r="H606" i="101"/>
  <c r="H605" i="101"/>
  <c r="H604" i="101"/>
  <c r="H603" i="101"/>
  <c r="H602" i="101"/>
  <c r="H601" i="101"/>
  <c r="H600" i="101"/>
  <c r="H599" i="101"/>
  <c r="H598" i="101"/>
  <c r="H597" i="101"/>
  <c r="H596" i="101"/>
  <c r="H595" i="101"/>
  <c r="H594" i="101"/>
  <c r="H593" i="101"/>
  <c r="H592" i="101"/>
  <c r="H591" i="101"/>
  <c r="H590" i="101"/>
  <c r="H589" i="101"/>
  <c r="H588" i="101"/>
  <c r="H587" i="101"/>
  <c r="H586" i="101"/>
  <c r="H584" i="101"/>
  <c r="H583" i="101"/>
  <c r="H582" i="101"/>
  <c r="H581" i="101"/>
  <c r="H580" i="101"/>
  <c r="H579" i="101"/>
  <c r="H578" i="101"/>
  <c r="H577" i="101"/>
  <c r="H576" i="101"/>
  <c r="H575" i="101"/>
  <c r="H574" i="101"/>
  <c r="H573" i="101"/>
  <c r="H572" i="101"/>
  <c r="H571" i="101"/>
  <c r="H570" i="101"/>
  <c r="H569" i="101"/>
  <c r="H568" i="101"/>
  <c r="H567" i="101"/>
  <c r="H566" i="101"/>
  <c r="H565" i="101"/>
  <c r="H564" i="101"/>
  <c r="H563" i="101"/>
  <c r="H562" i="101"/>
  <c r="H561" i="101"/>
  <c r="H560" i="101"/>
  <c r="H559" i="101"/>
  <c r="H558" i="101"/>
  <c r="H557" i="101"/>
  <c r="H556" i="101"/>
  <c r="H555" i="101"/>
  <c r="H554" i="101"/>
  <c r="H553" i="101"/>
  <c r="H552" i="101"/>
  <c r="H550" i="101"/>
  <c r="H549" i="101"/>
  <c r="H548" i="101"/>
  <c r="H547" i="101"/>
  <c r="H546" i="101"/>
  <c r="H545" i="101"/>
  <c r="H544" i="101"/>
  <c r="H543" i="101"/>
  <c r="H542" i="101"/>
  <c r="H541" i="101"/>
  <c r="H540" i="101"/>
  <c r="H539" i="101"/>
  <c r="H538" i="101"/>
  <c r="H537" i="101"/>
  <c r="H536" i="101"/>
  <c r="H535" i="101"/>
  <c r="H534" i="101"/>
  <c r="H533" i="101"/>
  <c r="H532" i="101"/>
  <c r="H531" i="101"/>
  <c r="H530" i="101"/>
  <c r="H529" i="101"/>
  <c r="H528" i="101"/>
  <c r="H527" i="101"/>
  <c r="H526" i="101"/>
  <c r="H525" i="101"/>
  <c r="H524" i="101"/>
  <c r="H523" i="101"/>
  <c r="H522" i="101"/>
  <c r="H521" i="101"/>
  <c r="H520" i="101"/>
  <c r="H519" i="101"/>
  <c r="H518" i="101"/>
  <c r="H516" i="101"/>
  <c r="H515" i="101"/>
  <c r="H514" i="101"/>
  <c r="H513" i="101"/>
  <c r="H512" i="101"/>
  <c r="H511" i="101"/>
  <c r="H510" i="101"/>
  <c r="H509" i="101"/>
  <c r="H508" i="101"/>
  <c r="H507" i="101"/>
  <c r="H506" i="101"/>
  <c r="H505" i="101"/>
  <c r="H504" i="101"/>
  <c r="H503" i="101"/>
  <c r="H502" i="101"/>
  <c r="H501" i="101"/>
  <c r="H500" i="101"/>
  <c r="H499" i="101"/>
  <c r="H498" i="101"/>
  <c r="H497" i="101"/>
  <c r="H496" i="101"/>
  <c r="H495" i="101"/>
  <c r="H494" i="101"/>
  <c r="H493" i="101"/>
  <c r="H492" i="101"/>
  <c r="H491" i="101"/>
  <c r="H490" i="101"/>
  <c r="H489" i="101"/>
  <c r="H488" i="101"/>
  <c r="H487" i="101"/>
  <c r="H486" i="101"/>
  <c r="H485" i="101"/>
  <c r="H484" i="101"/>
  <c r="H482" i="101"/>
  <c r="H481" i="101"/>
  <c r="H480" i="101"/>
  <c r="H479" i="101"/>
  <c r="H478" i="101"/>
  <c r="H477" i="101"/>
  <c r="H476" i="101"/>
  <c r="H475" i="101"/>
  <c r="H474" i="101"/>
  <c r="H473" i="101"/>
  <c r="H472" i="101"/>
  <c r="H471" i="101"/>
  <c r="H470" i="101"/>
  <c r="H469" i="101"/>
  <c r="H468" i="101"/>
  <c r="H467" i="101"/>
  <c r="H466" i="101"/>
  <c r="H465" i="101"/>
  <c r="H464" i="101"/>
  <c r="H463" i="101"/>
  <c r="H462" i="101"/>
  <c r="H461" i="101"/>
  <c r="H460" i="101"/>
  <c r="H459" i="101"/>
  <c r="H458" i="101"/>
  <c r="H457" i="101"/>
  <c r="H456" i="101"/>
  <c r="H455" i="101"/>
  <c r="H454" i="101"/>
  <c r="H453" i="101"/>
  <c r="H452" i="101"/>
  <c r="H451" i="101"/>
  <c r="H450" i="101"/>
  <c r="H448" i="101"/>
  <c r="H447" i="101"/>
  <c r="H446" i="101"/>
  <c r="H445" i="101"/>
  <c r="H444" i="101"/>
  <c r="H443" i="101"/>
  <c r="H442" i="101"/>
  <c r="H441" i="101"/>
  <c r="H440" i="101"/>
  <c r="H439" i="101"/>
  <c r="H438" i="101"/>
  <c r="H437" i="101"/>
  <c r="H436" i="101"/>
  <c r="H435" i="101"/>
  <c r="H434" i="101"/>
  <c r="H433" i="101"/>
  <c r="H432" i="101"/>
  <c r="H431" i="101"/>
  <c r="H430" i="101"/>
  <c r="H429" i="101"/>
  <c r="H428" i="101"/>
  <c r="H427" i="101"/>
  <c r="H426" i="101"/>
  <c r="H425" i="101"/>
  <c r="H424" i="101"/>
  <c r="H423" i="101"/>
  <c r="H422" i="101"/>
  <c r="H421" i="101"/>
  <c r="H420" i="101"/>
  <c r="H419" i="101"/>
  <c r="H418" i="101"/>
  <c r="H417" i="101"/>
  <c r="H416" i="101"/>
  <c r="H414" i="101"/>
  <c r="H413" i="101"/>
  <c r="H412" i="101"/>
  <c r="H411" i="101"/>
  <c r="H410" i="101"/>
  <c r="H409" i="101"/>
  <c r="H408" i="101"/>
  <c r="H407" i="101"/>
  <c r="H406" i="101"/>
  <c r="H405" i="101"/>
  <c r="H404" i="101"/>
  <c r="H403" i="101"/>
  <c r="H402" i="101"/>
  <c r="H401" i="101"/>
  <c r="H400" i="101"/>
  <c r="H399" i="101"/>
  <c r="H398" i="101"/>
  <c r="H397" i="101"/>
  <c r="H396" i="101"/>
  <c r="H395" i="101"/>
  <c r="H394" i="101"/>
  <c r="H393" i="101"/>
  <c r="H392" i="101"/>
  <c r="H391" i="101"/>
  <c r="H390" i="101"/>
  <c r="H389" i="101"/>
  <c r="H388" i="101"/>
  <c r="H387" i="101"/>
  <c r="H386" i="101"/>
  <c r="H385" i="101"/>
  <c r="H384" i="101"/>
  <c r="H383" i="101"/>
  <c r="H382" i="101"/>
  <c r="H380" i="101"/>
  <c r="H379" i="101"/>
  <c r="H378" i="101"/>
  <c r="H377" i="101"/>
  <c r="H376" i="101"/>
  <c r="H375" i="101"/>
  <c r="H374" i="101"/>
  <c r="H373" i="101"/>
  <c r="H372" i="101"/>
  <c r="H371" i="101"/>
  <c r="H370" i="101"/>
  <c r="H369" i="101"/>
  <c r="H368" i="101"/>
  <c r="H367" i="101"/>
  <c r="H366" i="101"/>
  <c r="H365" i="101"/>
  <c r="H364" i="101"/>
  <c r="H363" i="101"/>
  <c r="H362" i="101"/>
  <c r="H361" i="101"/>
  <c r="H360" i="101"/>
  <c r="H359" i="101"/>
  <c r="H358" i="101"/>
  <c r="H357" i="101"/>
  <c r="H356" i="101"/>
  <c r="H355" i="101"/>
  <c r="H354" i="101"/>
  <c r="H353" i="101"/>
  <c r="H352" i="101"/>
  <c r="H351" i="101"/>
  <c r="H350" i="101"/>
  <c r="H349" i="101"/>
  <c r="H348" i="101"/>
  <c r="H345" i="101"/>
  <c r="H344" i="101"/>
  <c r="H343" i="101"/>
  <c r="H342" i="101"/>
  <c r="H341" i="101"/>
  <c r="H340" i="101"/>
  <c r="H339" i="101"/>
  <c r="H338" i="101"/>
  <c r="H337" i="101"/>
  <c r="H336" i="101"/>
  <c r="H335" i="101"/>
  <c r="H334" i="101"/>
  <c r="H333" i="101"/>
  <c r="H332" i="101"/>
  <c r="H331" i="101"/>
  <c r="H330" i="101"/>
  <c r="H329" i="101"/>
  <c r="H328" i="101"/>
  <c r="H327" i="101"/>
  <c r="H326" i="101"/>
  <c r="H325" i="101"/>
  <c r="H324" i="101"/>
  <c r="H323" i="101"/>
  <c r="H322" i="101"/>
  <c r="H321" i="101"/>
  <c r="H320" i="101"/>
  <c r="H319" i="101"/>
  <c r="H318" i="101"/>
  <c r="H317" i="101"/>
  <c r="H316" i="101"/>
  <c r="H315" i="101"/>
  <c r="H314" i="101"/>
  <c r="H313" i="101"/>
  <c r="H311" i="101"/>
  <c r="H310" i="101"/>
  <c r="H309" i="101"/>
  <c r="H308" i="101"/>
  <c r="H307" i="101"/>
  <c r="H306" i="101"/>
  <c r="H305" i="101"/>
  <c r="H304" i="101"/>
  <c r="H303" i="101"/>
  <c r="H302" i="101"/>
  <c r="H301" i="101"/>
  <c r="H300" i="101"/>
  <c r="H299" i="101"/>
  <c r="H298" i="101"/>
  <c r="H297" i="101"/>
  <c r="H296" i="101"/>
  <c r="H295" i="101"/>
  <c r="H294" i="101"/>
  <c r="H293" i="101"/>
  <c r="H292" i="101"/>
  <c r="H291" i="101"/>
  <c r="H290" i="101"/>
  <c r="H289" i="101"/>
  <c r="H288" i="101"/>
  <c r="H287" i="101"/>
  <c r="H286" i="101"/>
  <c r="H285" i="101"/>
  <c r="H284" i="101"/>
  <c r="H283" i="101"/>
  <c r="H282" i="101"/>
  <c r="H281" i="101"/>
  <c r="H280" i="101"/>
  <c r="H279" i="101"/>
  <c r="H277" i="101"/>
  <c r="H276" i="101"/>
  <c r="H275" i="101"/>
  <c r="H274" i="101"/>
  <c r="H273" i="101"/>
  <c r="H272" i="101"/>
  <c r="H271" i="101"/>
  <c r="H270" i="101"/>
  <c r="H269" i="101"/>
  <c r="H268" i="101"/>
  <c r="H267" i="101"/>
  <c r="H266" i="101"/>
  <c r="H265" i="101"/>
  <c r="H264" i="101"/>
  <c r="H263" i="101"/>
  <c r="H262" i="101"/>
  <c r="H261" i="101"/>
  <c r="H260" i="101"/>
  <c r="H259" i="101"/>
  <c r="H258" i="101"/>
  <c r="H257" i="101"/>
  <c r="H256" i="101"/>
  <c r="H255" i="101"/>
  <c r="H254" i="101"/>
  <c r="H253" i="101"/>
  <c r="H252" i="101"/>
  <c r="H251" i="101"/>
  <c r="H250" i="101"/>
  <c r="H249" i="101"/>
  <c r="H248" i="101"/>
  <c r="H247" i="101"/>
  <c r="H246" i="101"/>
  <c r="H245" i="101"/>
  <c r="H243" i="101"/>
  <c r="H242" i="101"/>
  <c r="H241" i="101"/>
  <c r="H240" i="101"/>
  <c r="H239" i="101"/>
  <c r="H238" i="101"/>
  <c r="H237" i="101"/>
  <c r="H236" i="101"/>
  <c r="H235" i="101"/>
  <c r="H234" i="101"/>
  <c r="H233" i="101"/>
  <c r="H232" i="101"/>
  <c r="H231" i="101"/>
  <c r="H230" i="101"/>
  <c r="H229" i="101"/>
  <c r="H228" i="101"/>
  <c r="H227" i="101"/>
  <c r="H226" i="101"/>
  <c r="H225" i="101"/>
  <c r="H224" i="101"/>
  <c r="H223" i="101"/>
  <c r="H222" i="101"/>
  <c r="H221" i="101"/>
  <c r="H220" i="101"/>
  <c r="H219" i="101"/>
  <c r="H218" i="101"/>
  <c r="H217" i="101"/>
  <c r="H216" i="101"/>
  <c r="H215" i="101"/>
  <c r="H214" i="101"/>
  <c r="H213" i="101"/>
  <c r="H212" i="101"/>
  <c r="H211" i="101"/>
  <c r="H209" i="101"/>
  <c r="H208" i="101"/>
  <c r="H207" i="101"/>
  <c r="H206" i="101"/>
  <c r="H205" i="101"/>
  <c r="H204" i="101"/>
  <c r="H203" i="101"/>
  <c r="H202" i="101"/>
  <c r="H201" i="101"/>
  <c r="H200" i="101"/>
  <c r="H199" i="101"/>
  <c r="H198" i="101"/>
  <c r="H197" i="101"/>
  <c r="H196" i="101"/>
  <c r="H195" i="101"/>
  <c r="H194" i="101"/>
  <c r="H193" i="101"/>
  <c r="H192" i="101"/>
  <c r="H191" i="101"/>
  <c r="H190" i="101"/>
  <c r="H189" i="101"/>
  <c r="H188" i="101"/>
  <c r="H187" i="101"/>
  <c r="H186" i="101"/>
  <c r="H185" i="101"/>
  <c r="H184" i="101"/>
  <c r="H183" i="101"/>
  <c r="H182" i="101"/>
  <c r="H181" i="101"/>
  <c r="H180" i="101"/>
  <c r="H179" i="101"/>
  <c r="H178" i="101"/>
  <c r="H177" i="101"/>
  <c r="H175" i="101"/>
  <c r="H174" i="101"/>
  <c r="H173" i="101"/>
  <c r="H172" i="101"/>
  <c r="H171" i="101"/>
  <c r="H170" i="101"/>
  <c r="H169" i="101"/>
  <c r="H168" i="101"/>
  <c r="H167" i="101"/>
  <c r="H166" i="101"/>
  <c r="H165" i="101"/>
  <c r="H164" i="101"/>
  <c r="H163" i="101"/>
  <c r="H162" i="101"/>
  <c r="H161" i="101"/>
  <c r="H160" i="101"/>
  <c r="H159" i="101"/>
  <c r="H158" i="101"/>
  <c r="H157" i="101"/>
  <c r="H156" i="101"/>
  <c r="H155" i="101"/>
  <c r="H154" i="101"/>
  <c r="H153" i="101"/>
  <c r="H152" i="101"/>
  <c r="H151" i="101"/>
  <c r="H150" i="101"/>
  <c r="H149" i="101"/>
  <c r="H148" i="101"/>
  <c r="H147" i="101"/>
  <c r="H146" i="101"/>
  <c r="H145" i="101"/>
  <c r="H144" i="101"/>
  <c r="H143" i="101"/>
  <c r="H141" i="101"/>
  <c r="H140" i="101"/>
  <c r="H139" i="101"/>
  <c r="H138" i="101"/>
  <c r="H137" i="101"/>
  <c r="H136" i="101"/>
  <c r="H135" i="101"/>
  <c r="H134" i="101"/>
  <c r="H133" i="101"/>
  <c r="H132" i="101"/>
  <c r="H131" i="101"/>
  <c r="H130" i="101"/>
  <c r="H129" i="101"/>
  <c r="H128" i="101"/>
  <c r="H127" i="101"/>
  <c r="H126" i="101"/>
  <c r="H125" i="101"/>
  <c r="H124" i="101"/>
  <c r="H123" i="101"/>
  <c r="H122" i="101"/>
  <c r="H121" i="101"/>
  <c r="H120" i="101"/>
  <c r="H119" i="101"/>
  <c r="H118" i="101"/>
  <c r="H117" i="101"/>
  <c r="H116" i="101"/>
  <c r="H115" i="101"/>
  <c r="H114" i="101"/>
  <c r="H113" i="101"/>
  <c r="H112" i="101"/>
  <c r="H111" i="101"/>
  <c r="H110" i="101"/>
  <c r="H109" i="101"/>
  <c r="H107" i="101"/>
  <c r="H106" i="101"/>
  <c r="H105" i="101"/>
  <c r="H104" i="101"/>
  <c r="H103" i="101"/>
  <c r="H102" i="101"/>
  <c r="H101" i="101"/>
  <c r="H100" i="101"/>
  <c r="H99" i="101"/>
  <c r="H98" i="101"/>
  <c r="H97" i="101"/>
  <c r="H96" i="101"/>
  <c r="H95" i="101"/>
  <c r="H94" i="101"/>
  <c r="H93" i="101"/>
  <c r="H92" i="101"/>
  <c r="H91" i="101"/>
  <c r="H90" i="101"/>
  <c r="H89" i="101"/>
  <c r="H88" i="101"/>
  <c r="H87" i="101"/>
  <c r="H86" i="101"/>
  <c r="H85" i="101"/>
  <c r="H84" i="101"/>
  <c r="H83" i="101"/>
  <c r="H82" i="101"/>
  <c r="H81" i="101"/>
  <c r="H80" i="101"/>
  <c r="H79" i="101"/>
  <c r="H78" i="101"/>
  <c r="H77" i="101"/>
  <c r="H76" i="101"/>
  <c r="H75" i="101"/>
  <c r="H73" i="101"/>
  <c r="H72" i="101"/>
  <c r="H71" i="101"/>
  <c r="H70" i="101"/>
  <c r="C70" i="101"/>
  <c r="H69" i="101"/>
  <c r="H68" i="101"/>
  <c r="H67" i="101"/>
  <c r="H66" i="101"/>
  <c r="H65" i="101"/>
  <c r="H64" i="101"/>
  <c r="H63" i="101"/>
  <c r="H62" i="101"/>
  <c r="H61" i="101"/>
  <c r="H60" i="101"/>
  <c r="H59" i="101"/>
  <c r="H58" i="101"/>
  <c r="H57" i="101"/>
  <c r="H56" i="101"/>
  <c r="H55" i="101"/>
  <c r="H1792" i="101" s="1"/>
  <c r="H54" i="101"/>
  <c r="H1791" i="101" s="1"/>
  <c r="H53" i="101"/>
  <c r="H1790" i="101" s="1"/>
  <c r="H52" i="101"/>
  <c r="H1789" i="101" s="1"/>
  <c r="H51" i="101"/>
  <c r="H1788" i="101" s="1"/>
  <c r="H50" i="101"/>
  <c r="H1787" i="101" s="1"/>
  <c r="H49" i="101"/>
  <c r="H1786" i="101" s="1"/>
  <c r="H48" i="101"/>
  <c r="H1785" i="101" s="1"/>
  <c r="H47" i="101"/>
  <c r="H1784" i="101" s="1"/>
  <c r="H46" i="101"/>
  <c r="H1783" i="101" s="1"/>
  <c r="H45" i="101"/>
  <c r="H1782" i="101" s="1"/>
  <c r="H44" i="101"/>
  <c r="H1781" i="101" s="1"/>
  <c r="H43" i="101"/>
  <c r="H1780" i="101" s="1"/>
  <c r="H42" i="101"/>
  <c r="H1779" i="101" s="1"/>
  <c r="H41" i="101"/>
  <c r="H1778" i="101" s="1"/>
  <c r="H39" i="101"/>
  <c r="H38" i="101"/>
  <c r="H37" i="101"/>
  <c r="H36" i="101"/>
  <c r="C36" i="101"/>
  <c r="B36" i="101"/>
  <c r="B37" i="101" s="1"/>
  <c r="B38" i="101" s="1"/>
  <c r="B39" i="101" s="1"/>
  <c r="A36" i="101"/>
  <c r="A37" i="101" s="1"/>
  <c r="A38" i="101" s="1"/>
  <c r="A39" i="101" s="1"/>
  <c r="H35" i="101"/>
  <c r="H34" i="101"/>
  <c r="H33" i="101"/>
  <c r="H32" i="101"/>
  <c r="H31" i="101"/>
  <c r="H30" i="101"/>
  <c r="H29" i="101"/>
  <c r="H28" i="101"/>
  <c r="H27" i="101"/>
  <c r="H26" i="101"/>
  <c r="H25" i="101"/>
  <c r="H24" i="101"/>
  <c r="H23" i="101"/>
  <c r="H22" i="101"/>
  <c r="H21" i="101"/>
  <c r="H20" i="101"/>
  <c r="H19" i="101"/>
  <c r="H18" i="101"/>
  <c r="H17" i="101"/>
  <c r="H16" i="101"/>
  <c r="H15" i="101"/>
  <c r="H14" i="101"/>
  <c r="H13" i="101"/>
  <c r="H12" i="101"/>
  <c r="H11" i="101"/>
  <c r="H10" i="101"/>
  <c r="H9" i="101"/>
  <c r="H8" i="101"/>
  <c r="H7" i="101"/>
  <c r="H1812" i="101" l="1"/>
  <c r="G33" i="100"/>
  <c r="F33" i="100"/>
  <c r="E33" i="100"/>
  <c r="D33" i="100"/>
  <c r="C33" i="100"/>
  <c r="F27" i="100"/>
  <c r="D27" i="100"/>
  <c r="C27" i="100"/>
  <c r="H23" i="100"/>
  <c r="G35" i="100"/>
  <c r="E35" i="100"/>
  <c r="E37" i="100" s="1"/>
  <c r="C35" i="100"/>
  <c r="F25" i="100"/>
  <c r="F29" i="100" s="1"/>
  <c r="G8" i="100"/>
  <c r="F8" i="100"/>
  <c r="E8" i="100"/>
  <c r="D8" i="100"/>
  <c r="C8" i="100"/>
  <c r="G15" i="100"/>
  <c r="G14" i="100"/>
  <c r="G13" i="100"/>
  <c r="G12" i="100"/>
  <c r="G11" i="100"/>
  <c r="H20" i="100"/>
  <c r="F15" i="100"/>
  <c r="E15" i="100"/>
  <c r="D15" i="100"/>
  <c r="C15" i="100"/>
  <c r="H15" i="100" s="1"/>
  <c r="F14" i="100"/>
  <c r="E14" i="100"/>
  <c r="D14" i="100"/>
  <c r="C14" i="100"/>
  <c r="H14" i="100" s="1"/>
  <c r="F13" i="100"/>
  <c r="H13" i="100" s="1"/>
  <c r="E13" i="100"/>
  <c r="D13" i="100"/>
  <c r="C13" i="100"/>
  <c r="F12" i="100"/>
  <c r="E12" i="100"/>
  <c r="D12" i="100"/>
  <c r="C12" i="100"/>
  <c r="H12" i="100" s="1"/>
  <c r="F11" i="100"/>
  <c r="E11" i="100"/>
  <c r="D11" i="100"/>
  <c r="C11" i="100"/>
  <c r="H11" i="100" s="1"/>
  <c r="H27" i="100"/>
  <c r="AU62" i="99"/>
  <c r="AT62" i="99"/>
  <c r="AS62" i="99"/>
  <c r="AR62" i="99"/>
  <c r="AQ62" i="99"/>
  <c r="AP62" i="99"/>
  <c r="AO62" i="99"/>
  <c r="AN62" i="99"/>
  <c r="AM62" i="99"/>
  <c r="AL62" i="99"/>
  <c r="AI62" i="99"/>
  <c r="AH62" i="99"/>
  <c r="AG62" i="99"/>
  <c r="AF62" i="99"/>
  <c r="AE62" i="99"/>
  <c r="AD62" i="99"/>
  <c r="AC62" i="99"/>
  <c r="AB62" i="99"/>
  <c r="AA62" i="99"/>
  <c r="Z62" i="99"/>
  <c r="W62" i="99"/>
  <c r="V62" i="99"/>
  <c r="U62" i="99"/>
  <c r="T62" i="99"/>
  <c r="S62" i="99"/>
  <c r="R62" i="99"/>
  <c r="Q62" i="99"/>
  <c r="P62" i="99"/>
  <c r="O62" i="99"/>
  <c r="N62" i="99"/>
  <c r="AV60" i="99"/>
  <c r="AJ60" i="99"/>
  <c r="X60" i="99"/>
  <c r="K60" i="99"/>
  <c r="J60" i="99"/>
  <c r="I60" i="99"/>
  <c r="H60" i="99"/>
  <c r="G60" i="99"/>
  <c r="F60" i="99"/>
  <c r="E60" i="99"/>
  <c r="D60" i="99"/>
  <c r="C60" i="99"/>
  <c r="B60" i="99"/>
  <c r="L60" i="99" s="1"/>
  <c r="AV59" i="99"/>
  <c r="AJ59" i="99"/>
  <c r="X59" i="99"/>
  <c r="K59" i="99"/>
  <c r="J59" i="99"/>
  <c r="I59" i="99"/>
  <c r="H59" i="99"/>
  <c r="G59" i="99"/>
  <c r="F59" i="99"/>
  <c r="E59" i="99"/>
  <c r="D59" i="99"/>
  <c r="C59" i="99"/>
  <c r="B59" i="99"/>
  <c r="L59" i="99" s="1"/>
  <c r="AV58" i="99"/>
  <c r="AJ58" i="99"/>
  <c r="X58" i="99"/>
  <c r="K58" i="99"/>
  <c r="J58" i="99"/>
  <c r="I58" i="99"/>
  <c r="H58" i="99"/>
  <c r="G58" i="99"/>
  <c r="F58" i="99"/>
  <c r="E58" i="99"/>
  <c r="D58" i="99"/>
  <c r="C58" i="99"/>
  <c r="B58" i="99"/>
  <c r="L58" i="99" s="1"/>
  <c r="AV57" i="99"/>
  <c r="AJ57" i="99"/>
  <c r="X57" i="99"/>
  <c r="K57" i="99"/>
  <c r="J57" i="99"/>
  <c r="I57" i="99"/>
  <c r="H57" i="99"/>
  <c r="G57" i="99"/>
  <c r="F57" i="99"/>
  <c r="E57" i="99"/>
  <c r="D57" i="99"/>
  <c r="C57" i="99"/>
  <c r="B57" i="99"/>
  <c r="L57" i="99" s="1"/>
  <c r="AV56" i="99"/>
  <c r="AJ56" i="99"/>
  <c r="X56" i="99"/>
  <c r="K56" i="99"/>
  <c r="J56" i="99"/>
  <c r="I56" i="99"/>
  <c r="H56" i="99"/>
  <c r="G56" i="99"/>
  <c r="F56" i="99"/>
  <c r="E56" i="99"/>
  <c r="D56" i="99"/>
  <c r="C56" i="99"/>
  <c r="B56" i="99"/>
  <c r="L56" i="99" s="1"/>
  <c r="AV55" i="99"/>
  <c r="AJ55" i="99"/>
  <c r="X55" i="99"/>
  <c r="K55" i="99"/>
  <c r="J55" i="99"/>
  <c r="I55" i="99"/>
  <c r="H55" i="99"/>
  <c r="G55" i="99"/>
  <c r="F55" i="99"/>
  <c r="E55" i="99"/>
  <c r="D55" i="99"/>
  <c r="C55" i="99"/>
  <c r="B55" i="99"/>
  <c r="L55" i="99" s="1"/>
  <c r="AV54" i="99"/>
  <c r="AJ54" i="99"/>
  <c r="X54" i="99"/>
  <c r="K54" i="99"/>
  <c r="J54" i="99"/>
  <c r="I54" i="99"/>
  <c r="H54" i="99"/>
  <c r="G54" i="99"/>
  <c r="F54" i="99"/>
  <c r="E54" i="99"/>
  <c r="D54" i="99"/>
  <c r="C54" i="99"/>
  <c r="B54" i="99"/>
  <c r="L54" i="99" s="1"/>
  <c r="AV53" i="99"/>
  <c r="AJ53" i="99"/>
  <c r="X53" i="99"/>
  <c r="K53" i="99"/>
  <c r="J53" i="99"/>
  <c r="I53" i="99"/>
  <c r="H53" i="99"/>
  <c r="G53" i="99"/>
  <c r="F53" i="99"/>
  <c r="E53" i="99"/>
  <c r="D53" i="99"/>
  <c r="C53" i="99"/>
  <c r="B53" i="99"/>
  <c r="L53" i="99" s="1"/>
  <c r="AV52" i="99"/>
  <c r="AJ52" i="99"/>
  <c r="X52" i="99"/>
  <c r="K52" i="99"/>
  <c r="J52" i="99"/>
  <c r="I52" i="99"/>
  <c r="H52" i="99"/>
  <c r="G52" i="99"/>
  <c r="F52" i="99"/>
  <c r="E52" i="99"/>
  <c r="D52" i="99"/>
  <c r="C52" i="99"/>
  <c r="B52" i="99"/>
  <c r="L52" i="99" s="1"/>
  <c r="AV51" i="99"/>
  <c r="AJ51" i="99"/>
  <c r="X51" i="99"/>
  <c r="K51" i="99"/>
  <c r="J51" i="99"/>
  <c r="I51" i="99"/>
  <c r="H51" i="99"/>
  <c r="G51" i="99"/>
  <c r="F51" i="99"/>
  <c r="E51" i="99"/>
  <c r="D51" i="99"/>
  <c r="C51" i="99"/>
  <c r="B51" i="99"/>
  <c r="L51" i="99" s="1"/>
  <c r="AV50" i="99"/>
  <c r="AJ50" i="99"/>
  <c r="X50" i="99"/>
  <c r="K50" i="99"/>
  <c r="J50" i="99"/>
  <c r="I50" i="99"/>
  <c r="H50" i="99"/>
  <c r="G50" i="99"/>
  <c r="F50" i="99"/>
  <c r="E50" i="99"/>
  <c r="D50" i="99"/>
  <c r="C50" i="99"/>
  <c r="B50" i="99"/>
  <c r="L50" i="99" s="1"/>
  <c r="AV49" i="99"/>
  <c r="AJ49" i="99"/>
  <c r="X49" i="99"/>
  <c r="K49" i="99"/>
  <c r="J49" i="99"/>
  <c r="I49" i="99"/>
  <c r="H49" i="99"/>
  <c r="G49" i="99"/>
  <c r="F49" i="99"/>
  <c r="E49" i="99"/>
  <c r="D49" i="99"/>
  <c r="C49" i="99"/>
  <c r="B49" i="99"/>
  <c r="L49" i="99" s="1"/>
  <c r="AV48" i="99"/>
  <c r="AJ48" i="99"/>
  <c r="X48" i="99"/>
  <c r="K48" i="99"/>
  <c r="J48" i="99"/>
  <c r="I48" i="99"/>
  <c r="H48" i="99"/>
  <c r="G48" i="99"/>
  <c r="F48" i="99"/>
  <c r="E48" i="99"/>
  <c r="D48" i="99"/>
  <c r="C48" i="99"/>
  <c r="B48" i="99"/>
  <c r="L48" i="99" s="1"/>
  <c r="AV47" i="99"/>
  <c r="AJ47" i="99"/>
  <c r="X47" i="99"/>
  <c r="K47" i="99"/>
  <c r="J47" i="99"/>
  <c r="I47" i="99"/>
  <c r="H47" i="99"/>
  <c r="G47" i="99"/>
  <c r="F47" i="99"/>
  <c r="E47" i="99"/>
  <c r="D47" i="99"/>
  <c r="C47" i="99"/>
  <c r="B47" i="99"/>
  <c r="L47" i="99" s="1"/>
  <c r="AV46" i="99"/>
  <c r="AJ46" i="99"/>
  <c r="X46" i="99"/>
  <c r="K46" i="99"/>
  <c r="J46" i="99"/>
  <c r="I46" i="99"/>
  <c r="H46" i="99"/>
  <c r="G46" i="99"/>
  <c r="F46" i="99"/>
  <c r="E46" i="99"/>
  <c r="D46" i="99"/>
  <c r="C46" i="99"/>
  <c r="B46" i="99"/>
  <c r="L46" i="99" s="1"/>
  <c r="AV45" i="99"/>
  <c r="AJ45" i="99"/>
  <c r="X45" i="99"/>
  <c r="K45" i="99"/>
  <c r="J45" i="99"/>
  <c r="I45" i="99"/>
  <c r="H45" i="99"/>
  <c r="G45" i="99"/>
  <c r="F45" i="99"/>
  <c r="E45" i="99"/>
  <c r="D45" i="99"/>
  <c r="C45" i="99"/>
  <c r="B45" i="99"/>
  <c r="L45" i="99" s="1"/>
  <c r="AV44" i="99"/>
  <c r="AJ44" i="99"/>
  <c r="X44" i="99"/>
  <c r="K44" i="99"/>
  <c r="J44" i="99"/>
  <c r="I44" i="99"/>
  <c r="H44" i="99"/>
  <c r="G44" i="99"/>
  <c r="F44" i="99"/>
  <c r="E44" i="99"/>
  <c r="D44" i="99"/>
  <c r="C44" i="99"/>
  <c r="B44" i="99"/>
  <c r="L44" i="99" s="1"/>
  <c r="AV43" i="99"/>
  <c r="AJ43" i="99"/>
  <c r="X43" i="99"/>
  <c r="K43" i="99"/>
  <c r="J43" i="99"/>
  <c r="I43" i="99"/>
  <c r="H43" i="99"/>
  <c r="G43" i="99"/>
  <c r="F43" i="99"/>
  <c r="E43" i="99"/>
  <c r="D43" i="99"/>
  <c r="C43" i="99"/>
  <c r="B43" i="99"/>
  <c r="L43" i="99" s="1"/>
  <c r="AV42" i="99"/>
  <c r="AJ42" i="99"/>
  <c r="X42" i="99"/>
  <c r="K42" i="99"/>
  <c r="J42" i="99"/>
  <c r="I42" i="99"/>
  <c r="H42" i="99"/>
  <c r="G42" i="99"/>
  <c r="F42" i="99"/>
  <c r="E42" i="99"/>
  <c r="D42" i="99"/>
  <c r="C42" i="99"/>
  <c r="B42" i="99"/>
  <c r="L42" i="99" s="1"/>
  <c r="AV41" i="99"/>
  <c r="AJ41" i="99"/>
  <c r="X41" i="99"/>
  <c r="K41" i="99"/>
  <c r="J41" i="99"/>
  <c r="I41" i="99"/>
  <c r="H41" i="99"/>
  <c r="G41" i="99"/>
  <c r="F41" i="99"/>
  <c r="E41" i="99"/>
  <c r="D41" i="99"/>
  <c r="C41" i="99"/>
  <c r="B41" i="99"/>
  <c r="L41" i="99" s="1"/>
  <c r="AV40" i="99"/>
  <c r="AJ40" i="99"/>
  <c r="X40" i="99"/>
  <c r="K40" i="99"/>
  <c r="J40" i="99"/>
  <c r="I40" i="99"/>
  <c r="H40" i="99"/>
  <c r="G40" i="99"/>
  <c r="F40" i="99"/>
  <c r="E40" i="99"/>
  <c r="D40" i="99"/>
  <c r="C40" i="99"/>
  <c r="B40" i="99"/>
  <c r="L40" i="99" s="1"/>
  <c r="AV39" i="99"/>
  <c r="AJ39" i="99"/>
  <c r="X39" i="99"/>
  <c r="K39" i="99"/>
  <c r="J39" i="99"/>
  <c r="I39" i="99"/>
  <c r="H39" i="99"/>
  <c r="G39" i="99"/>
  <c r="F39" i="99"/>
  <c r="E39" i="99"/>
  <c r="D39" i="99"/>
  <c r="C39" i="99"/>
  <c r="B39" i="99"/>
  <c r="L39" i="99" s="1"/>
  <c r="AV38" i="99"/>
  <c r="AJ38" i="99"/>
  <c r="X38" i="99"/>
  <c r="K38" i="99"/>
  <c r="J38" i="99"/>
  <c r="I38" i="99"/>
  <c r="H38" i="99"/>
  <c r="G38" i="99"/>
  <c r="F38" i="99"/>
  <c r="E38" i="99"/>
  <c r="D38" i="99"/>
  <c r="C38" i="99"/>
  <c r="B38" i="99"/>
  <c r="L38" i="99" s="1"/>
  <c r="AV37" i="99"/>
  <c r="AJ37" i="99"/>
  <c r="X37" i="99"/>
  <c r="K37" i="99"/>
  <c r="J37" i="99"/>
  <c r="I37" i="99"/>
  <c r="H37" i="99"/>
  <c r="G37" i="99"/>
  <c r="F37" i="99"/>
  <c r="E37" i="99"/>
  <c r="D37" i="99"/>
  <c r="C37" i="99"/>
  <c r="B37" i="99"/>
  <c r="L37" i="99" s="1"/>
  <c r="AV36" i="99"/>
  <c r="AJ36" i="99"/>
  <c r="X36" i="99"/>
  <c r="K36" i="99"/>
  <c r="J36" i="99"/>
  <c r="I36" i="99"/>
  <c r="H36" i="99"/>
  <c r="G36" i="99"/>
  <c r="F36" i="99"/>
  <c r="E36" i="99"/>
  <c r="D36" i="99"/>
  <c r="C36" i="99"/>
  <c r="B36" i="99"/>
  <c r="L36" i="99" s="1"/>
  <c r="AV35" i="99"/>
  <c r="AJ35" i="99"/>
  <c r="X35" i="99"/>
  <c r="K35" i="99"/>
  <c r="J35" i="99"/>
  <c r="I35" i="99"/>
  <c r="H35" i="99"/>
  <c r="G35" i="99"/>
  <c r="F35" i="99"/>
  <c r="E35" i="99"/>
  <c r="D35" i="99"/>
  <c r="C35" i="99"/>
  <c r="B35" i="99"/>
  <c r="L35" i="99" s="1"/>
  <c r="AV34" i="99"/>
  <c r="AJ34" i="99"/>
  <c r="X34" i="99"/>
  <c r="K34" i="99"/>
  <c r="J34" i="99"/>
  <c r="I34" i="99"/>
  <c r="H34" i="99"/>
  <c r="G34" i="99"/>
  <c r="F34" i="99"/>
  <c r="E34" i="99"/>
  <c r="D34" i="99"/>
  <c r="C34" i="99"/>
  <c r="B34" i="99"/>
  <c r="L34" i="99" s="1"/>
  <c r="AV33" i="99"/>
  <c r="AJ33" i="99"/>
  <c r="X33" i="99"/>
  <c r="K33" i="99"/>
  <c r="J33" i="99"/>
  <c r="I33" i="99"/>
  <c r="H33" i="99"/>
  <c r="G33" i="99"/>
  <c r="F33" i="99"/>
  <c r="E33" i="99"/>
  <c r="D33" i="99"/>
  <c r="C33" i="99"/>
  <c r="B33" i="99"/>
  <c r="L33" i="99" s="1"/>
  <c r="AV32" i="99"/>
  <c r="AJ32" i="99"/>
  <c r="X32" i="99"/>
  <c r="K32" i="99"/>
  <c r="J32" i="99"/>
  <c r="I32" i="99"/>
  <c r="H32" i="99"/>
  <c r="G32" i="99"/>
  <c r="F32" i="99"/>
  <c r="E32" i="99"/>
  <c r="D32" i="99"/>
  <c r="C32" i="99"/>
  <c r="B32" i="99"/>
  <c r="L32" i="99" s="1"/>
  <c r="AV31" i="99"/>
  <c r="AJ31" i="99"/>
  <c r="X31" i="99"/>
  <c r="K31" i="99"/>
  <c r="J31" i="99"/>
  <c r="I31" i="99"/>
  <c r="H31" i="99"/>
  <c r="G31" i="99"/>
  <c r="F31" i="99"/>
  <c r="E31" i="99"/>
  <c r="D31" i="99"/>
  <c r="C31" i="99"/>
  <c r="B31" i="99"/>
  <c r="L31" i="99" s="1"/>
  <c r="AV30" i="99"/>
  <c r="AJ30" i="99"/>
  <c r="X30" i="99"/>
  <c r="K30" i="99"/>
  <c r="J30" i="99"/>
  <c r="I30" i="99"/>
  <c r="H30" i="99"/>
  <c r="G30" i="99"/>
  <c r="F30" i="99"/>
  <c r="E30" i="99"/>
  <c r="D30" i="99"/>
  <c r="C30" i="99"/>
  <c r="B30" i="99"/>
  <c r="L30" i="99" s="1"/>
  <c r="AV29" i="99"/>
  <c r="AJ29" i="99"/>
  <c r="X29" i="99"/>
  <c r="K29" i="99"/>
  <c r="J29" i="99"/>
  <c r="I29" i="99"/>
  <c r="H29" i="99"/>
  <c r="G29" i="99"/>
  <c r="F29" i="99"/>
  <c r="E29" i="99"/>
  <c r="D29" i="99"/>
  <c r="C29" i="99"/>
  <c r="B29" i="99"/>
  <c r="L29" i="99" s="1"/>
  <c r="AV28" i="99"/>
  <c r="AJ28" i="99"/>
  <c r="X28" i="99"/>
  <c r="K28" i="99"/>
  <c r="J28" i="99"/>
  <c r="I28" i="99"/>
  <c r="H28" i="99"/>
  <c r="G28" i="99"/>
  <c r="F28" i="99"/>
  <c r="E28" i="99"/>
  <c r="D28" i="99"/>
  <c r="C28" i="99"/>
  <c r="B28" i="99"/>
  <c r="L28" i="99" s="1"/>
  <c r="AV27" i="99"/>
  <c r="AJ27" i="99"/>
  <c r="X27" i="99"/>
  <c r="K27" i="99"/>
  <c r="J27" i="99"/>
  <c r="I27" i="99"/>
  <c r="H27" i="99"/>
  <c r="F27" i="99"/>
  <c r="E27" i="99"/>
  <c r="D27" i="99"/>
  <c r="C27" i="99"/>
  <c r="B27" i="99"/>
  <c r="L27" i="99" s="1"/>
  <c r="AV26" i="99"/>
  <c r="AJ26" i="99"/>
  <c r="X26" i="99"/>
  <c r="K26" i="99"/>
  <c r="J26" i="99"/>
  <c r="I26" i="99"/>
  <c r="H26" i="99"/>
  <c r="G26" i="99"/>
  <c r="F26" i="99"/>
  <c r="E26" i="99"/>
  <c r="D26" i="99"/>
  <c r="C26" i="99"/>
  <c r="B26" i="99"/>
  <c r="L26" i="99" s="1"/>
  <c r="AV25" i="99"/>
  <c r="AJ25" i="99"/>
  <c r="X25" i="99"/>
  <c r="K25" i="99"/>
  <c r="J25" i="99"/>
  <c r="I25" i="99"/>
  <c r="H25" i="99"/>
  <c r="G25" i="99"/>
  <c r="F25" i="99"/>
  <c r="E25" i="99"/>
  <c r="D25" i="99"/>
  <c r="C25" i="99"/>
  <c r="B25" i="99"/>
  <c r="L25" i="99" s="1"/>
  <c r="AV24" i="99"/>
  <c r="AJ24" i="99"/>
  <c r="X24" i="99"/>
  <c r="K24" i="99"/>
  <c r="J24" i="99"/>
  <c r="I24" i="99"/>
  <c r="H24" i="99"/>
  <c r="G24" i="99"/>
  <c r="F24" i="99"/>
  <c r="E24" i="99"/>
  <c r="D24" i="99"/>
  <c r="C24" i="99"/>
  <c r="B24" i="99"/>
  <c r="L24" i="99" s="1"/>
  <c r="AV23" i="99"/>
  <c r="AJ23" i="99"/>
  <c r="X23" i="99"/>
  <c r="K23" i="99"/>
  <c r="J23" i="99"/>
  <c r="I23" i="99"/>
  <c r="H23" i="99"/>
  <c r="G23" i="99"/>
  <c r="F23" i="99"/>
  <c r="E23" i="99"/>
  <c r="D23" i="99"/>
  <c r="C23" i="99"/>
  <c r="B23" i="99"/>
  <c r="L23" i="99" s="1"/>
  <c r="AV22" i="99"/>
  <c r="AJ22" i="99"/>
  <c r="X22" i="99"/>
  <c r="K22" i="99"/>
  <c r="J22" i="99"/>
  <c r="I22" i="99"/>
  <c r="H22" i="99"/>
  <c r="G22" i="99"/>
  <c r="F22" i="99"/>
  <c r="E22" i="99"/>
  <c r="D22" i="99"/>
  <c r="C22" i="99"/>
  <c r="B22" i="99"/>
  <c r="L22" i="99" s="1"/>
  <c r="AV21" i="99"/>
  <c r="AJ21" i="99"/>
  <c r="X21" i="99"/>
  <c r="K21" i="99"/>
  <c r="J21" i="99"/>
  <c r="I21" i="99"/>
  <c r="H21" i="99"/>
  <c r="G21" i="99"/>
  <c r="F21" i="99"/>
  <c r="E21" i="99"/>
  <c r="D21" i="99"/>
  <c r="C21" i="99"/>
  <c r="B21" i="99"/>
  <c r="L21" i="99" s="1"/>
  <c r="AV20" i="99"/>
  <c r="AJ20" i="99"/>
  <c r="X20" i="99"/>
  <c r="K20" i="99"/>
  <c r="J20" i="99"/>
  <c r="I20" i="99"/>
  <c r="H20" i="99"/>
  <c r="G20" i="99"/>
  <c r="F20" i="99"/>
  <c r="E20" i="99"/>
  <c r="D20" i="99"/>
  <c r="C20" i="99"/>
  <c r="B20" i="99"/>
  <c r="L20" i="99" s="1"/>
  <c r="AV19" i="99"/>
  <c r="AJ19" i="99"/>
  <c r="X19" i="99"/>
  <c r="K19" i="99"/>
  <c r="J19" i="99"/>
  <c r="I19" i="99"/>
  <c r="H19" i="99"/>
  <c r="G19" i="99"/>
  <c r="F19" i="99"/>
  <c r="E19" i="99"/>
  <c r="D19" i="99"/>
  <c r="C19" i="99"/>
  <c r="B19" i="99"/>
  <c r="L19" i="99" s="1"/>
  <c r="AV18" i="99"/>
  <c r="AJ18" i="99"/>
  <c r="X18" i="99"/>
  <c r="K18" i="99"/>
  <c r="J18" i="99"/>
  <c r="I18" i="99"/>
  <c r="H18" i="99"/>
  <c r="G18" i="99"/>
  <c r="F18" i="99"/>
  <c r="E18" i="99"/>
  <c r="D18" i="99"/>
  <c r="C18" i="99"/>
  <c r="B18" i="99"/>
  <c r="L18" i="99" s="1"/>
  <c r="AV17" i="99"/>
  <c r="AJ17" i="99"/>
  <c r="X17" i="99"/>
  <c r="K17" i="99"/>
  <c r="J17" i="99"/>
  <c r="I17" i="99"/>
  <c r="H17" i="99"/>
  <c r="G17" i="99"/>
  <c r="F17" i="99"/>
  <c r="E17" i="99"/>
  <c r="D17" i="99"/>
  <c r="C17" i="99"/>
  <c r="B17" i="99"/>
  <c r="L17" i="99" s="1"/>
  <c r="AV16" i="99"/>
  <c r="AJ16" i="99"/>
  <c r="X16" i="99"/>
  <c r="K16" i="99"/>
  <c r="J16" i="99"/>
  <c r="I16" i="99"/>
  <c r="H16" i="99"/>
  <c r="G16" i="99"/>
  <c r="F16" i="99"/>
  <c r="E16" i="99"/>
  <c r="D16" i="99"/>
  <c r="C16" i="99"/>
  <c r="B16" i="99"/>
  <c r="L16" i="99" s="1"/>
  <c r="AV15" i="99"/>
  <c r="AJ15" i="99"/>
  <c r="X15" i="99"/>
  <c r="K15" i="99"/>
  <c r="J15" i="99"/>
  <c r="I15" i="99"/>
  <c r="H15" i="99"/>
  <c r="G15" i="99"/>
  <c r="F15" i="99"/>
  <c r="E15" i="99"/>
  <c r="D15" i="99"/>
  <c r="C15" i="99"/>
  <c r="B15" i="99"/>
  <c r="L15" i="99" s="1"/>
  <c r="AV14" i="99"/>
  <c r="AJ14" i="99"/>
  <c r="X14" i="99"/>
  <c r="K14" i="99"/>
  <c r="J14" i="99"/>
  <c r="I14" i="99"/>
  <c r="H14" i="99"/>
  <c r="G14" i="99"/>
  <c r="F14" i="99"/>
  <c r="E14" i="99"/>
  <c r="D14" i="99"/>
  <c r="C14" i="99"/>
  <c r="B14" i="99"/>
  <c r="L14" i="99" s="1"/>
  <c r="AV13" i="99"/>
  <c r="AJ13" i="99"/>
  <c r="X13" i="99"/>
  <c r="K13" i="99"/>
  <c r="J13" i="99"/>
  <c r="I13" i="99"/>
  <c r="H13" i="99"/>
  <c r="G13" i="99"/>
  <c r="F13" i="99"/>
  <c r="E13" i="99"/>
  <c r="D13" i="99"/>
  <c r="C13" i="99"/>
  <c r="B13" i="99"/>
  <c r="L13" i="99" s="1"/>
  <c r="AV12" i="99"/>
  <c r="AJ12" i="99"/>
  <c r="X12" i="99"/>
  <c r="K12" i="99"/>
  <c r="J12" i="99"/>
  <c r="I12" i="99"/>
  <c r="H12" i="99"/>
  <c r="G12" i="99"/>
  <c r="F12" i="99"/>
  <c r="E12" i="99"/>
  <c r="D12" i="99"/>
  <c r="C12" i="99"/>
  <c r="B12" i="99"/>
  <c r="L12" i="99" s="1"/>
  <c r="AV11" i="99"/>
  <c r="AJ11" i="99"/>
  <c r="X11" i="99"/>
  <c r="K11" i="99"/>
  <c r="J11" i="99"/>
  <c r="I11" i="99"/>
  <c r="H11" i="99"/>
  <c r="G11" i="99"/>
  <c r="F11" i="99"/>
  <c r="E11" i="99"/>
  <c r="D11" i="99"/>
  <c r="C11" i="99"/>
  <c r="B11" i="99"/>
  <c r="L11" i="99" s="1"/>
  <c r="AV10" i="99"/>
  <c r="AJ10" i="99"/>
  <c r="X10" i="99"/>
  <c r="K10" i="99"/>
  <c r="J10" i="99"/>
  <c r="I10" i="99"/>
  <c r="H10" i="99"/>
  <c r="G10" i="99"/>
  <c r="F10" i="99"/>
  <c r="E10" i="99"/>
  <c r="D10" i="99"/>
  <c r="C10" i="99"/>
  <c r="B10" i="99"/>
  <c r="L10" i="99" s="1"/>
  <c r="AV9" i="99"/>
  <c r="AJ9" i="99"/>
  <c r="X9" i="99"/>
  <c r="K9" i="99"/>
  <c r="K62" i="99" s="1"/>
  <c r="J9" i="99"/>
  <c r="I9" i="99"/>
  <c r="H9" i="99"/>
  <c r="G9" i="99"/>
  <c r="G62" i="99" s="1"/>
  <c r="F9" i="99"/>
  <c r="E9" i="99"/>
  <c r="D9" i="99"/>
  <c r="C9" i="99"/>
  <c r="C62" i="99" s="1"/>
  <c r="B9" i="99"/>
  <c r="L9" i="99" s="1"/>
  <c r="AV8" i="99"/>
  <c r="AV62" i="99" s="1"/>
  <c r="AJ8" i="99"/>
  <c r="AJ62" i="99" s="1"/>
  <c r="X8" i="99"/>
  <c r="X62" i="99" s="1"/>
  <c r="K8" i="99"/>
  <c r="J8" i="99"/>
  <c r="J62" i="99" s="1"/>
  <c r="I8" i="99"/>
  <c r="I62" i="99" s="1"/>
  <c r="H8" i="99"/>
  <c r="H62" i="99" s="1"/>
  <c r="G8" i="99"/>
  <c r="F8" i="99"/>
  <c r="F62" i="99" s="1"/>
  <c r="E8" i="99"/>
  <c r="E62" i="99" s="1"/>
  <c r="D8" i="99"/>
  <c r="D62" i="99" s="1"/>
  <c r="C8" i="99"/>
  <c r="B8" i="99"/>
  <c r="B62" i="99" s="1"/>
  <c r="E25" i="100" l="1"/>
  <c r="E29" i="100" s="1"/>
  <c r="F35" i="100"/>
  <c r="F37" i="100" s="1"/>
  <c r="H18" i="100"/>
  <c r="D35" i="100"/>
  <c r="H35" i="100" s="1"/>
  <c r="G25" i="100"/>
  <c r="G29" i="100" s="1"/>
  <c r="H19" i="100"/>
  <c r="G37" i="100"/>
  <c r="D25" i="100"/>
  <c r="D29" i="100" s="1"/>
  <c r="H8" i="100"/>
  <c r="H33" i="100"/>
  <c r="C25" i="100"/>
  <c r="C29" i="100" s="1"/>
  <c r="C37" i="100"/>
  <c r="L8" i="99"/>
  <c r="L62" i="99" s="1"/>
  <c r="I37" i="100" s="1"/>
  <c r="H25" i="100" l="1"/>
  <c r="H29" i="100" s="1"/>
  <c r="D37" i="100"/>
  <c r="H37" i="100" s="1"/>
  <c r="I38" i="100" s="1"/>
  <c r="S58" i="98" l="1"/>
  <c r="R58" i="98"/>
  <c r="P58" i="98"/>
  <c r="O58" i="98"/>
  <c r="M58" i="98"/>
  <c r="L58" i="98"/>
  <c r="J58" i="98"/>
  <c r="I58" i="98"/>
  <c r="S57" i="98"/>
  <c r="R57" i="98"/>
  <c r="P57" i="98"/>
  <c r="O57" i="98"/>
  <c r="M57" i="98"/>
  <c r="L57" i="98"/>
  <c r="J57" i="98"/>
  <c r="I57" i="98"/>
  <c r="S56" i="98"/>
  <c r="R56" i="98"/>
  <c r="P56" i="98"/>
  <c r="O56" i="98"/>
  <c r="M56" i="98"/>
  <c r="L56" i="98"/>
  <c r="J56" i="98"/>
  <c r="I56" i="98"/>
  <c r="S55" i="98"/>
  <c r="R55" i="98"/>
  <c r="P55" i="98"/>
  <c r="O55" i="98"/>
  <c r="M55" i="98"/>
  <c r="L55" i="98"/>
  <c r="J55" i="98"/>
  <c r="I55" i="98"/>
  <c r="S54" i="98"/>
  <c r="R54" i="98"/>
  <c r="P54" i="98"/>
  <c r="O54" i="98"/>
  <c r="M54" i="98"/>
  <c r="L54" i="98"/>
  <c r="J54" i="98"/>
  <c r="I54" i="98"/>
  <c r="S53" i="98"/>
  <c r="R53" i="98"/>
  <c r="P53" i="98"/>
  <c r="O53" i="98"/>
  <c r="M53" i="98"/>
  <c r="L53" i="98"/>
  <c r="J53" i="98"/>
  <c r="I53" i="98"/>
  <c r="S52" i="98"/>
  <c r="R52" i="98"/>
  <c r="P52" i="98"/>
  <c r="O52" i="98"/>
  <c r="M52" i="98"/>
  <c r="L52" i="98"/>
  <c r="J52" i="98"/>
  <c r="I52" i="98"/>
  <c r="S51" i="98"/>
  <c r="R51" i="98"/>
  <c r="P51" i="98"/>
  <c r="O51" i="98"/>
  <c r="M51" i="98"/>
  <c r="L51" i="98"/>
  <c r="J51" i="98"/>
  <c r="I51" i="98"/>
  <c r="S50" i="98"/>
  <c r="R50" i="98"/>
  <c r="P50" i="98"/>
  <c r="O50" i="98"/>
  <c r="M50" i="98"/>
  <c r="L50" i="98"/>
  <c r="J50" i="98"/>
  <c r="I50" i="98"/>
  <c r="S49" i="98"/>
  <c r="R49" i="98"/>
  <c r="P49" i="98"/>
  <c r="O49" i="98"/>
  <c r="M49" i="98"/>
  <c r="L49" i="98"/>
  <c r="J49" i="98"/>
  <c r="I49" i="98"/>
  <c r="S48" i="98"/>
  <c r="R48" i="98"/>
  <c r="P48" i="98"/>
  <c r="O48" i="98"/>
  <c r="M48" i="98"/>
  <c r="L48" i="98"/>
  <c r="J48" i="98"/>
  <c r="I48" i="98"/>
  <c r="S47" i="98"/>
  <c r="R47" i="98"/>
  <c r="P47" i="98"/>
  <c r="O47" i="98"/>
  <c r="M47" i="98"/>
  <c r="L47" i="98"/>
  <c r="J47" i="98"/>
  <c r="I47" i="98"/>
  <c r="S46" i="98"/>
  <c r="R46" i="98"/>
  <c r="P46" i="98"/>
  <c r="O46" i="98"/>
  <c r="M46" i="98"/>
  <c r="L46" i="98"/>
  <c r="J46" i="98"/>
  <c r="I46" i="98"/>
  <c r="S45" i="98"/>
  <c r="R45" i="98"/>
  <c r="P45" i="98"/>
  <c r="O45" i="98"/>
  <c r="M45" i="98"/>
  <c r="L45" i="98"/>
  <c r="J45" i="98"/>
  <c r="I45" i="98"/>
  <c r="S44" i="98"/>
  <c r="R44" i="98"/>
  <c r="P44" i="98"/>
  <c r="O44" i="98"/>
  <c r="M44" i="98"/>
  <c r="L44" i="98"/>
  <c r="J44" i="98"/>
  <c r="I44" i="98"/>
  <c r="S43" i="98"/>
  <c r="R43" i="98"/>
  <c r="P43" i="98"/>
  <c r="O43" i="98"/>
  <c r="M43" i="98"/>
  <c r="L43" i="98"/>
  <c r="J43" i="98"/>
  <c r="I43" i="98"/>
  <c r="S42" i="98"/>
  <c r="R42" i="98"/>
  <c r="P42" i="98"/>
  <c r="O42" i="98"/>
  <c r="M42" i="98"/>
  <c r="L42" i="98"/>
  <c r="J42" i="98"/>
  <c r="I42" i="98"/>
  <c r="S41" i="98"/>
  <c r="R41" i="98"/>
  <c r="P41" i="98"/>
  <c r="O41" i="98"/>
  <c r="M41" i="98"/>
  <c r="L41" i="98"/>
  <c r="J41" i="98"/>
  <c r="I41" i="98"/>
  <c r="S40" i="98"/>
  <c r="R40" i="98"/>
  <c r="P40" i="98"/>
  <c r="O40" i="98"/>
  <c r="M40" i="98"/>
  <c r="L40" i="98"/>
  <c r="J40" i="98"/>
  <c r="I40" i="98"/>
  <c r="S39" i="98"/>
  <c r="R39" i="98"/>
  <c r="P39" i="98"/>
  <c r="O39" i="98"/>
  <c r="M39" i="98"/>
  <c r="L39" i="98"/>
  <c r="J39" i="98"/>
  <c r="I39" i="98"/>
  <c r="S38" i="98"/>
  <c r="R38" i="98"/>
  <c r="P38" i="98"/>
  <c r="O38" i="98"/>
  <c r="M38" i="98"/>
  <c r="L38" i="98"/>
  <c r="J38" i="98"/>
  <c r="I38" i="98"/>
  <c r="S37" i="98"/>
  <c r="R37" i="98"/>
  <c r="P37" i="98"/>
  <c r="O37" i="98"/>
  <c r="M37" i="98"/>
  <c r="L37" i="98"/>
  <c r="J37" i="98"/>
  <c r="I37" i="98"/>
  <c r="S36" i="98"/>
  <c r="R36" i="98"/>
  <c r="P36" i="98"/>
  <c r="O36" i="98"/>
  <c r="M36" i="98"/>
  <c r="L36" i="98"/>
  <c r="J36" i="98"/>
  <c r="I36" i="98"/>
  <c r="S35" i="98"/>
  <c r="R35" i="98"/>
  <c r="P35" i="98"/>
  <c r="O35" i="98"/>
  <c r="M35" i="98"/>
  <c r="L35" i="98"/>
  <c r="J35" i="98"/>
  <c r="I35" i="98"/>
  <c r="S34" i="98"/>
  <c r="R34" i="98"/>
  <c r="P34" i="98"/>
  <c r="O34" i="98"/>
  <c r="M34" i="98"/>
  <c r="L34" i="98"/>
  <c r="J34" i="98"/>
  <c r="I34" i="98"/>
  <c r="S33" i="98"/>
  <c r="R33" i="98"/>
  <c r="P33" i="98"/>
  <c r="O33" i="98"/>
  <c r="M33" i="98"/>
  <c r="L33" i="98"/>
  <c r="J33" i="98"/>
  <c r="I33" i="98"/>
  <c r="S32" i="98"/>
  <c r="R32" i="98"/>
  <c r="P32" i="98"/>
  <c r="O32" i="98"/>
  <c r="M32" i="98"/>
  <c r="L32" i="98"/>
  <c r="J32" i="98"/>
  <c r="I32" i="98"/>
  <c r="S31" i="98"/>
  <c r="R31" i="98"/>
  <c r="P31" i="98"/>
  <c r="O31" i="98"/>
  <c r="M31" i="98"/>
  <c r="L31" i="98"/>
  <c r="J31" i="98"/>
  <c r="I31" i="98"/>
  <c r="S30" i="98"/>
  <c r="R30" i="98"/>
  <c r="P30" i="98"/>
  <c r="O30" i="98"/>
  <c r="M30" i="98"/>
  <c r="L30" i="98"/>
  <c r="J30" i="98"/>
  <c r="I30" i="98"/>
  <c r="S29" i="98"/>
  <c r="R29" i="98"/>
  <c r="P29" i="98"/>
  <c r="O29" i="98"/>
  <c r="M29" i="98"/>
  <c r="L29" i="98"/>
  <c r="J29" i="98"/>
  <c r="I29" i="98"/>
  <c r="S28" i="98"/>
  <c r="R28" i="98"/>
  <c r="P28" i="98"/>
  <c r="O28" i="98"/>
  <c r="M28" i="98"/>
  <c r="L28" i="98"/>
  <c r="J28" i="98"/>
  <c r="I28" i="98"/>
  <c r="S27" i="98"/>
  <c r="R27" i="98"/>
  <c r="P27" i="98"/>
  <c r="O27" i="98"/>
  <c r="M27" i="98"/>
  <c r="L27" i="98"/>
  <c r="J27" i="98"/>
  <c r="I27" i="98"/>
  <c r="S26" i="98"/>
  <c r="R26" i="98"/>
  <c r="P26" i="98"/>
  <c r="O26" i="98"/>
  <c r="M26" i="98"/>
  <c r="L26" i="98"/>
  <c r="J26" i="98"/>
  <c r="I26" i="98"/>
  <c r="S25" i="98"/>
  <c r="R25" i="98"/>
  <c r="P25" i="98"/>
  <c r="O25" i="98"/>
  <c r="M25" i="98"/>
  <c r="L25" i="98"/>
  <c r="J25" i="98"/>
  <c r="I25" i="98"/>
  <c r="S24" i="98"/>
  <c r="R24" i="98"/>
  <c r="P24" i="98"/>
  <c r="O24" i="98"/>
  <c r="M24" i="98"/>
  <c r="L24" i="98"/>
  <c r="J24" i="98"/>
  <c r="I24" i="98"/>
  <c r="S23" i="98"/>
  <c r="R23" i="98"/>
  <c r="P23" i="98"/>
  <c r="O23" i="98"/>
  <c r="M23" i="98"/>
  <c r="L23" i="98"/>
  <c r="J23" i="98"/>
  <c r="I23" i="98"/>
  <c r="S22" i="98"/>
  <c r="R22" i="98"/>
  <c r="P22" i="98"/>
  <c r="O22" i="98"/>
  <c r="M22" i="98"/>
  <c r="L22" i="98"/>
  <c r="J22" i="98"/>
  <c r="I22" i="98"/>
  <c r="S21" i="98"/>
  <c r="R21" i="98"/>
  <c r="P21" i="98"/>
  <c r="O21" i="98"/>
  <c r="M21" i="98"/>
  <c r="L21" i="98"/>
  <c r="J21" i="98"/>
  <c r="I21" i="98"/>
  <c r="S20" i="98"/>
  <c r="R20" i="98"/>
  <c r="P20" i="98"/>
  <c r="O20" i="98"/>
  <c r="M20" i="98"/>
  <c r="L20" i="98"/>
  <c r="J20" i="98"/>
  <c r="I20" i="98"/>
  <c r="S19" i="98"/>
  <c r="R19" i="98"/>
  <c r="P19" i="98"/>
  <c r="O19" i="98"/>
  <c r="M19" i="98"/>
  <c r="L19" i="98"/>
  <c r="J19" i="98"/>
  <c r="I19" i="98"/>
  <c r="S18" i="98"/>
  <c r="R18" i="98"/>
  <c r="P18" i="98"/>
  <c r="O18" i="98"/>
  <c r="M18" i="98"/>
  <c r="L18" i="98"/>
  <c r="J18" i="98"/>
  <c r="I18" i="98"/>
  <c r="S17" i="98"/>
  <c r="R17" i="98"/>
  <c r="P17" i="98"/>
  <c r="O17" i="98"/>
  <c r="M17" i="98"/>
  <c r="L17" i="98"/>
  <c r="J17" i="98"/>
  <c r="I17" i="98"/>
  <c r="S16" i="98"/>
  <c r="R16" i="98"/>
  <c r="P16" i="98"/>
  <c r="O16" i="98"/>
  <c r="M16" i="98"/>
  <c r="L16" i="98"/>
  <c r="J16" i="98"/>
  <c r="I16" i="98"/>
  <c r="S15" i="98"/>
  <c r="R15" i="98"/>
  <c r="P15" i="98"/>
  <c r="O15" i="98"/>
  <c r="M15" i="98"/>
  <c r="L15" i="98"/>
  <c r="J15" i="98"/>
  <c r="I15" i="98"/>
  <c r="S14" i="98"/>
  <c r="R14" i="98"/>
  <c r="P14" i="98"/>
  <c r="O14" i="98"/>
  <c r="M14" i="98"/>
  <c r="L14" i="98"/>
  <c r="J14" i="98"/>
  <c r="I14" i="98"/>
  <c r="S13" i="98"/>
  <c r="R13" i="98"/>
  <c r="P13" i="98"/>
  <c r="O13" i="98"/>
  <c r="M13" i="98"/>
  <c r="L13" i="98"/>
  <c r="J13" i="98"/>
  <c r="I13" i="98"/>
  <c r="S12" i="98"/>
  <c r="R12" i="98"/>
  <c r="P12" i="98"/>
  <c r="O12" i="98"/>
  <c r="M12" i="98"/>
  <c r="L12" i="98"/>
  <c r="J12" i="98"/>
  <c r="I12" i="98"/>
  <c r="S11" i="98"/>
  <c r="R11" i="98"/>
  <c r="P11" i="98"/>
  <c r="O11" i="98"/>
  <c r="M11" i="98"/>
  <c r="L11" i="98"/>
  <c r="J11" i="98"/>
  <c r="I11" i="98"/>
  <c r="S10" i="98"/>
  <c r="R10" i="98"/>
  <c r="P10" i="98"/>
  <c r="O10" i="98"/>
  <c r="M10" i="98"/>
  <c r="L10" i="98"/>
  <c r="J10" i="98"/>
  <c r="I10" i="98"/>
  <c r="S9" i="98"/>
  <c r="R9" i="98"/>
  <c r="P9" i="98"/>
  <c r="O9" i="98"/>
  <c r="M9" i="98"/>
  <c r="L9" i="98"/>
  <c r="J9" i="98"/>
  <c r="I9" i="98"/>
  <c r="S8" i="98"/>
  <c r="R8" i="98"/>
  <c r="P8" i="98"/>
  <c r="O8" i="98"/>
  <c r="M8" i="98"/>
  <c r="L8" i="98"/>
  <c r="J8" i="98"/>
  <c r="I8" i="98"/>
  <c r="S7" i="98"/>
  <c r="R7" i="98"/>
  <c r="P7" i="98"/>
  <c r="O7" i="98"/>
  <c r="M7" i="98"/>
  <c r="L7" i="98"/>
  <c r="J7" i="98"/>
  <c r="I7" i="98"/>
  <c r="S6" i="98"/>
  <c r="R6" i="98"/>
  <c r="R60" i="98" s="1"/>
  <c r="P6" i="98"/>
  <c r="O6" i="98"/>
  <c r="O60" i="98" s="1"/>
  <c r="M6" i="98"/>
  <c r="L6" i="98"/>
  <c r="L60" i="98" s="1"/>
  <c r="J6" i="98"/>
  <c r="I6" i="98"/>
  <c r="I60" i="98" s="1"/>
  <c r="F58" i="97"/>
  <c r="E58" i="97"/>
  <c r="D58" i="97"/>
  <c r="C58" i="97"/>
  <c r="G58" i="97" s="1"/>
  <c r="B58" i="97"/>
  <c r="F57" i="97"/>
  <c r="E57" i="97"/>
  <c r="D57" i="97"/>
  <c r="C57" i="97"/>
  <c r="B57" i="97"/>
  <c r="F56" i="97"/>
  <c r="E56" i="97"/>
  <c r="D56" i="97"/>
  <c r="C56" i="97"/>
  <c r="B56" i="97"/>
  <c r="F55" i="97"/>
  <c r="E55" i="97"/>
  <c r="D55" i="97"/>
  <c r="C55" i="97"/>
  <c r="B55" i="97"/>
  <c r="G55" i="97" s="1"/>
  <c r="F54" i="97"/>
  <c r="E54" i="97"/>
  <c r="D54" i="97"/>
  <c r="C54" i="97"/>
  <c r="G54" i="97" s="1"/>
  <c r="B54" i="97"/>
  <c r="F53" i="97"/>
  <c r="E53" i="97"/>
  <c r="D53" i="97"/>
  <c r="C53" i="97"/>
  <c r="B53" i="97"/>
  <c r="F52" i="97"/>
  <c r="E52" i="97"/>
  <c r="D52" i="97"/>
  <c r="C52" i="97"/>
  <c r="B52" i="97"/>
  <c r="F51" i="97"/>
  <c r="E51" i="97"/>
  <c r="D51" i="97"/>
  <c r="C51" i="97"/>
  <c r="B51" i="97"/>
  <c r="G51" i="97" s="1"/>
  <c r="F50" i="97"/>
  <c r="E50" i="97"/>
  <c r="D50" i="97"/>
  <c r="C50" i="97"/>
  <c r="G50" i="97" s="1"/>
  <c r="B50" i="97"/>
  <c r="F49" i="97"/>
  <c r="E49" i="97"/>
  <c r="D49" i="97"/>
  <c r="C49" i="97"/>
  <c r="B49" i="97"/>
  <c r="F48" i="97"/>
  <c r="E48" i="97"/>
  <c r="D48" i="97"/>
  <c r="C48" i="97"/>
  <c r="B48" i="97"/>
  <c r="F47" i="97"/>
  <c r="E47" i="97"/>
  <c r="D47" i="97"/>
  <c r="C47" i="97"/>
  <c r="B47" i="97"/>
  <c r="G47" i="97" s="1"/>
  <c r="F46" i="97"/>
  <c r="E46" i="97"/>
  <c r="D46" i="97"/>
  <c r="C46" i="97"/>
  <c r="G46" i="97" s="1"/>
  <c r="B46" i="97"/>
  <c r="F45" i="97"/>
  <c r="E45" i="97"/>
  <c r="D45" i="97"/>
  <c r="C45" i="97"/>
  <c r="B45" i="97"/>
  <c r="F44" i="97"/>
  <c r="E44" i="97"/>
  <c r="D44" i="97"/>
  <c r="C44" i="97"/>
  <c r="B44" i="97"/>
  <c r="F43" i="97"/>
  <c r="E43" i="97"/>
  <c r="D43" i="97"/>
  <c r="C43" i="97"/>
  <c r="B43" i="97"/>
  <c r="G43" i="97" s="1"/>
  <c r="F42" i="97"/>
  <c r="E42" i="97"/>
  <c r="D42" i="97"/>
  <c r="C42" i="97"/>
  <c r="G42" i="97" s="1"/>
  <c r="B42" i="97"/>
  <c r="F41" i="97"/>
  <c r="E41" i="97"/>
  <c r="D41" i="97"/>
  <c r="C41" i="97"/>
  <c r="B41" i="97"/>
  <c r="F40" i="97"/>
  <c r="E40" i="97"/>
  <c r="D40" i="97"/>
  <c r="C40" i="97"/>
  <c r="B40" i="97"/>
  <c r="F39" i="97"/>
  <c r="E39" i="97"/>
  <c r="D39" i="97"/>
  <c r="C39" i="97"/>
  <c r="B39" i="97"/>
  <c r="G39" i="97" s="1"/>
  <c r="F38" i="97"/>
  <c r="E38" i="97"/>
  <c r="D38" i="97"/>
  <c r="C38" i="97"/>
  <c r="G38" i="97" s="1"/>
  <c r="B38" i="97"/>
  <c r="F37" i="97"/>
  <c r="E37" i="97"/>
  <c r="D37" i="97"/>
  <c r="C37" i="97"/>
  <c r="B37" i="97"/>
  <c r="F36" i="97"/>
  <c r="E36" i="97"/>
  <c r="D36" i="97"/>
  <c r="C36" i="97"/>
  <c r="B36" i="97"/>
  <c r="F35" i="97"/>
  <c r="E35" i="97"/>
  <c r="D35" i="97"/>
  <c r="C35" i="97"/>
  <c r="B35" i="97"/>
  <c r="G35" i="97" s="1"/>
  <c r="F34" i="97"/>
  <c r="E34" i="97"/>
  <c r="D34" i="97"/>
  <c r="C34" i="97"/>
  <c r="G34" i="97" s="1"/>
  <c r="B34" i="97"/>
  <c r="F33" i="97"/>
  <c r="E33" i="97"/>
  <c r="D33" i="97"/>
  <c r="C33" i="97"/>
  <c r="B33" i="97"/>
  <c r="F32" i="97"/>
  <c r="E32" i="97"/>
  <c r="D32" i="97"/>
  <c r="C32" i="97"/>
  <c r="B32" i="97"/>
  <c r="F31" i="97"/>
  <c r="E31" i="97"/>
  <c r="D31" i="97"/>
  <c r="C31" i="97"/>
  <c r="B31" i="97"/>
  <c r="G31" i="97" s="1"/>
  <c r="F30" i="97"/>
  <c r="E30" i="97"/>
  <c r="D30" i="97"/>
  <c r="C30" i="97"/>
  <c r="G30" i="97" s="1"/>
  <c r="B30" i="97"/>
  <c r="F29" i="97"/>
  <c r="E29" i="97"/>
  <c r="D29" i="97"/>
  <c r="C29" i="97"/>
  <c r="B29" i="97"/>
  <c r="F28" i="97"/>
  <c r="E28" i="97"/>
  <c r="D28" i="97"/>
  <c r="C28" i="97"/>
  <c r="B28" i="97"/>
  <c r="F27" i="97"/>
  <c r="E27" i="97"/>
  <c r="D27" i="97"/>
  <c r="C27" i="97"/>
  <c r="B27" i="97"/>
  <c r="F26" i="97"/>
  <c r="E26" i="97"/>
  <c r="D26" i="97"/>
  <c r="C26" i="97"/>
  <c r="G26" i="97" s="1"/>
  <c r="B26" i="97"/>
  <c r="F25" i="97"/>
  <c r="E25" i="97"/>
  <c r="D25" i="97"/>
  <c r="C25" i="97"/>
  <c r="B25" i="97"/>
  <c r="F24" i="97"/>
  <c r="E24" i="97"/>
  <c r="D24" i="97"/>
  <c r="C24" i="97"/>
  <c r="B24" i="97"/>
  <c r="F23" i="97"/>
  <c r="E23" i="97"/>
  <c r="D23" i="97"/>
  <c r="C23" i="97"/>
  <c r="B23" i="97"/>
  <c r="G23" i="97" s="1"/>
  <c r="F22" i="97"/>
  <c r="E22" i="97"/>
  <c r="D22" i="97"/>
  <c r="C22" i="97"/>
  <c r="B22" i="97"/>
  <c r="F21" i="97"/>
  <c r="E21" i="97"/>
  <c r="D21" i="97"/>
  <c r="C21" i="97"/>
  <c r="B21" i="97"/>
  <c r="F20" i="97"/>
  <c r="E20" i="97"/>
  <c r="D20" i="97"/>
  <c r="C20" i="97"/>
  <c r="B20" i="97"/>
  <c r="F19" i="97"/>
  <c r="E19" i="97"/>
  <c r="D19" i="97"/>
  <c r="C19" i="97"/>
  <c r="B19" i="97"/>
  <c r="G19" i="97" s="1"/>
  <c r="F18" i="97"/>
  <c r="E18" i="97"/>
  <c r="D18" i="97"/>
  <c r="C18" i="97"/>
  <c r="G18" i="97" s="1"/>
  <c r="B18" i="97"/>
  <c r="F17" i="97"/>
  <c r="E17" i="97"/>
  <c r="D17" i="97"/>
  <c r="C17" i="97"/>
  <c r="B17" i="97"/>
  <c r="F16" i="97"/>
  <c r="E16" i="97"/>
  <c r="D16" i="97"/>
  <c r="C16" i="97"/>
  <c r="B16" i="97"/>
  <c r="F15" i="97"/>
  <c r="E15" i="97"/>
  <c r="D15" i="97"/>
  <c r="C15" i="97"/>
  <c r="B15" i="97"/>
  <c r="F14" i="97"/>
  <c r="E14" i="97"/>
  <c r="D14" i="97"/>
  <c r="C14" i="97"/>
  <c r="B14" i="97"/>
  <c r="F13" i="97"/>
  <c r="E13" i="97"/>
  <c r="D13" i="97"/>
  <c r="C13" i="97"/>
  <c r="B13" i="97"/>
  <c r="F12" i="97"/>
  <c r="E12" i="97"/>
  <c r="D12" i="97"/>
  <c r="C12" i="97"/>
  <c r="B12" i="97"/>
  <c r="F11" i="97"/>
  <c r="E11" i="97"/>
  <c r="D11" i="97"/>
  <c r="C11" i="97"/>
  <c r="B11" i="97"/>
  <c r="F10" i="97"/>
  <c r="E10" i="97"/>
  <c r="D10" i="97"/>
  <c r="C10" i="97"/>
  <c r="G10" i="97" s="1"/>
  <c r="B10" i="97"/>
  <c r="F9" i="97"/>
  <c r="E9" i="97"/>
  <c r="D9" i="97"/>
  <c r="C9" i="97"/>
  <c r="B9" i="97"/>
  <c r="F8" i="97"/>
  <c r="E8" i="97"/>
  <c r="D8" i="97"/>
  <c r="C8" i="97"/>
  <c r="B8" i="97"/>
  <c r="F7" i="97"/>
  <c r="E7" i="97"/>
  <c r="D7" i="97"/>
  <c r="C7" i="97"/>
  <c r="B7" i="97"/>
  <c r="F6" i="97"/>
  <c r="E6" i="97"/>
  <c r="D6" i="97"/>
  <c r="C6" i="97"/>
  <c r="G6" i="97" s="1"/>
  <c r="B6" i="97"/>
  <c r="F58" i="96"/>
  <c r="E58" i="96"/>
  <c r="D58" i="96"/>
  <c r="C58" i="96"/>
  <c r="B58" i="96"/>
  <c r="F57" i="96"/>
  <c r="E57" i="96"/>
  <c r="D57" i="96"/>
  <c r="C57" i="96"/>
  <c r="B57" i="96"/>
  <c r="F56" i="96"/>
  <c r="E56" i="96"/>
  <c r="D56" i="96"/>
  <c r="C56" i="96"/>
  <c r="B56" i="96"/>
  <c r="F55" i="96"/>
  <c r="E55" i="96"/>
  <c r="D55" i="96"/>
  <c r="C55" i="96"/>
  <c r="B55" i="96"/>
  <c r="F54" i="96"/>
  <c r="E54" i="96"/>
  <c r="D54" i="96"/>
  <c r="C54" i="96"/>
  <c r="B54" i="96"/>
  <c r="F53" i="96"/>
  <c r="E53" i="96"/>
  <c r="D53" i="96"/>
  <c r="C53" i="96"/>
  <c r="B53" i="96"/>
  <c r="F52" i="96"/>
  <c r="E52" i="96"/>
  <c r="D52" i="96"/>
  <c r="C52" i="96"/>
  <c r="B52" i="96"/>
  <c r="F51" i="96"/>
  <c r="E51" i="96"/>
  <c r="D51" i="96"/>
  <c r="C51" i="96"/>
  <c r="B51" i="96"/>
  <c r="F50" i="96"/>
  <c r="E50" i="96"/>
  <c r="D50" i="96"/>
  <c r="C50" i="96"/>
  <c r="B50" i="96"/>
  <c r="F49" i="96"/>
  <c r="E49" i="96"/>
  <c r="D49" i="96"/>
  <c r="C49" i="96"/>
  <c r="B49" i="96"/>
  <c r="F48" i="96"/>
  <c r="E48" i="96"/>
  <c r="D48" i="96"/>
  <c r="C48" i="96"/>
  <c r="B48" i="96"/>
  <c r="F47" i="96"/>
  <c r="E47" i="96"/>
  <c r="D47" i="96"/>
  <c r="C47" i="96"/>
  <c r="B47" i="96"/>
  <c r="F46" i="96"/>
  <c r="E46" i="96"/>
  <c r="D46" i="96"/>
  <c r="C46" i="96"/>
  <c r="B46" i="96"/>
  <c r="F45" i="96"/>
  <c r="E45" i="96"/>
  <c r="D45" i="96"/>
  <c r="C45" i="96"/>
  <c r="B45" i="96"/>
  <c r="F44" i="96"/>
  <c r="E44" i="96"/>
  <c r="D44" i="96"/>
  <c r="C44" i="96"/>
  <c r="B44" i="96"/>
  <c r="F43" i="96"/>
  <c r="E43" i="96"/>
  <c r="D43" i="96"/>
  <c r="C43" i="96"/>
  <c r="B43" i="96"/>
  <c r="F42" i="96"/>
  <c r="E42" i="96"/>
  <c r="D42" i="96"/>
  <c r="C42" i="96"/>
  <c r="B42" i="96"/>
  <c r="F41" i="96"/>
  <c r="E41" i="96"/>
  <c r="D41" i="96"/>
  <c r="C41" i="96"/>
  <c r="B41" i="96"/>
  <c r="F40" i="96"/>
  <c r="E40" i="96"/>
  <c r="D40" i="96"/>
  <c r="C40" i="96"/>
  <c r="B40" i="96"/>
  <c r="F39" i="96"/>
  <c r="E39" i="96"/>
  <c r="D39" i="96"/>
  <c r="C39" i="96"/>
  <c r="B39" i="96"/>
  <c r="F38" i="96"/>
  <c r="E38" i="96"/>
  <c r="D38" i="96"/>
  <c r="C38" i="96"/>
  <c r="B38" i="96"/>
  <c r="F37" i="96"/>
  <c r="E37" i="96"/>
  <c r="D37" i="96"/>
  <c r="C37" i="96"/>
  <c r="B37" i="96"/>
  <c r="F36" i="96"/>
  <c r="E36" i="96"/>
  <c r="D36" i="96"/>
  <c r="C36" i="96"/>
  <c r="B36" i="96"/>
  <c r="F35" i="96"/>
  <c r="E35" i="96"/>
  <c r="D35" i="96"/>
  <c r="C35" i="96"/>
  <c r="B35" i="96"/>
  <c r="F34" i="96"/>
  <c r="E34" i="96"/>
  <c r="D34" i="96"/>
  <c r="C34" i="96"/>
  <c r="B34" i="96"/>
  <c r="F33" i="96"/>
  <c r="E33" i="96"/>
  <c r="D33" i="96"/>
  <c r="C33" i="96"/>
  <c r="B33" i="96"/>
  <c r="F32" i="96"/>
  <c r="E32" i="96"/>
  <c r="D32" i="96"/>
  <c r="C32" i="96"/>
  <c r="B32" i="96"/>
  <c r="F31" i="96"/>
  <c r="E31" i="96"/>
  <c r="D31" i="96"/>
  <c r="C31" i="96"/>
  <c r="B31" i="96"/>
  <c r="F30" i="96"/>
  <c r="E30" i="96"/>
  <c r="D30" i="96"/>
  <c r="C30" i="96"/>
  <c r="B30" i="96"/>
  <c r="F29" i="96"/>
  <c r="E29" i="96"/>
  <c r="D29" i="96"/>
  <c r="C29" i="96"/>
  <c r="B29" i="96"/>
  <c r="F28" i="96"/>
  <c r="E28" i="96"/>
  <c r="D28" i="96"/>
  <c r="C28" i="96"/>
  <c r="B28" i="96"/>
  <c r="F27" i="96"/>
  <c r="E27" i="96"/>
  <c r="D27" i="96"/>
  <c r="C27" i="96"/>
  <c r="B27" i="96"/>
  <c r="F26" i="96"/>
  <c r="E26" i="96"/>
  <c r="D26" i="96"/>
  <c r="C26" i="96"/>
  <c r="B26" i="96"/>
  <c r="F25" i="96"/>
  <c r="E25" i="96"/>
  <c r="D25" i="96"/>
  <c r="C25" i="96"/>
  <c r="B25" i="96"/>
  <c r="F24" i="96"/>
  <c r="E24" i="96"/>
  <c r="D24" i="96"/>
  <c r="C24" i="96"/>
  <c r="B24" i="96"/>
  <c r="F23" i="96"/>
  <c r="E23" i="96"/>
  <c r="D23" i="96"/>
  <c r="C23" i="96"/>
  <c r="B23" i="96"/>
  <c r="F22" i="96"/>
  <c r="E22" i="96"/>
  <c r="D22" i="96"/>
  <c r="C22" i="96"/>
  <c r="B22" i="96"/>
  <c r="F21" i="96"/>
  <c r="E21" i="96"/>
  <c r="D21" i="96"/>
  <c r="C21" i="96"/>
  <c r="B21" i="96"/>
  <c r="F20" i="96"/>
  <c r="E20" i="96"/>
  <c r="D20" i="96"/>
  <c r="C20" i="96"/>
  <c r="B20" i="96"/>
  <c r="F19" i="96"/>
  <c r="E19" i="96"/>
  <c r="D19" i="96"/>
  <c r="C19" i="96"/>
  <c r="B19" i="96"/>
  <c r="F18" i="96"/>
  <c r="E18" i="96"/>
  <c r="D18" i="96"/>
  <c r="C18" i="96"/>
  <c r="B18" i="96"/>
  <c r="F17" i="96"/>
  <c r="E17" i="96"/>
  <c r="D17" i="96"/>
  <c r="C17" i="96"/>
  <c r="B17" i="96"/>
  <c r="F16" i="96"/>
  <c r="E16" i="96"/>
  <c r="D16" i="96"/>
  <c r="C16" i="96"/>
  <c r="B16" i="96"/>
  <c r="F15" i="96"/>
  <c r="E15" i="96"/>
  <c r="D15" i="96"/>
  <c r="C15" i="96"/>
  <c r="B15" i="96"/>
  <c r="F14" i="96"/>
  <c r="E14" i="96"/>
  <c r="D14" i="96"/>
  <c r="C14" i="96"/>
  <c r="B14" i="96"/>
  <c r="F13" i="96"/>
  <c r="E13" i="96"/>
  <c r="D13" i="96"/>
  <c r="C13" i="96"/>
  <c r="B13" i="96"/>
  <c r="F12" i="96"/>
  <c r="E12" i="96"/>
  <c r="D12" i="96"/>
  <c r="C12" i="96"/>
  <c r="B12" i="96"/>
  <c r="G12" i="96" s="1"/>
  <c r="F11" i="96"/>
  <c r="E11" i="96"/>
  <c r="D11" i="96"/>
  <c r="C11" i="96"/>
  <c r="B11" i="96"/>
  <c r="F10" i="96"/>
  <c r="E10" i="96"/>
  <c r="D10" i="96"/>
  <c r="C10" i="96"/>
  <c r="B10" i="96"/>
  <c r="F9" i="96"/>
  <c r="E9" i="96"/>
  <c r="D9" i="96"/>
  <c r="C9" i="96"/>
  <c r="B9" i="96"/>
  <c r="F8" i="96"/>
  <c r="E8" i="96"/>
  <c r="D8" i="96"/>
  <c r="C8" i="96"/>
  <c r="B8" i="96"/>
  <c r="G8" i="96" s="1"/>
  <c r="F7" i="96"/>
  <c r="E7" i="96"/>
  <c r="D7" i="96"/>
  <c r="C7" i="96"/>
  <c r="B7" i="96"/>
  <c r="F6" i="96"/>
  <c r="E6" i="96"/>
  <c r="D6" i="96"/>
  <c r="D61" i="96" s="1"/>
  <c r="C6" i="96"/>
  <c r="B6" i="96"/>
  <c r="F58" i="95"/>
  <c r="E58" i="95"/>
  <c r="D58" i="95"/>
  <c r="C58" i="95"/>
  <c r="B58" i="95"/>
  <c r="F57" i="95"/>
  <c r="E57" i="95"/>
  <c r="D57" i="95"/>
  <c r="C57" i="95"/>
  <c r="B57" i="95"/>
  <c r="G57" i="95" s="1"/>
  <c r="F56" i="95"/>
  <c r="E56" i="95"/>
  <c r="D56" i="95"/>
  <c r="C56" i="95"/>
  <c r="B56" i="95"/>
  <c r="F55" i="95"/>
  <c r="E55" i="95"/>
  <c r="D55" i="95"/>
  <c r="C55" i="95"/>
  <c r="B55" i="95"/>
  <c r="F54" i="95"/>
  <c r="E54" i="95"/>
  <c r="D54" i="95"/>
  <c r="C54" i="95"/>
  <c r="B54" i="95"/>
  <c r="F53" i="95"/>
  <c r="E53" i="95"/>
  <c r="D53" i="95"/>
  <c r="C53" i="95"/>
  <c r="B53" i="95"/>
  <c r="G53" i="95" s="1"/>
  <c r="F52" i="95"/>
  <c r="E52" i="95"/>
  <c r="D52" i="95"/>
  <c r="C52" i="95"/>
  <c r="B52" i="95"/>
  <c r="F51" i="95"/>
  <c r="E51" i="95"/>
  <c r="D51" i="95"/>
  <c r="C51" i="95"/>
  <c r="B51" i="95"/>
  <c r="F50" i="95"/>
  <c r="E50" i="95"/>
  <c r="D50" i="95"/>
  <c r="C50" i="95"/>
  <c r="B50" i="95"/>
  <c r="F49" i="95"/>
  <c r="E49" i="95"/>
  <c r="D49" i="95"/>
  <c r="C49" i="95"/>
  <c r="B49" i="95"/>
  <c r="G49" i="95" s="1"/>
  <c r="F48" i="95"/>
  <c r="E48" i="95"/>
  <c r="D48" i="95"/>
  <c r="C48" i="95"/>
  <c r="B48" i="95"/>
  <c r="F47" i="95"/>
  <c r="E47" i="95"/>
  <c r="D47" i="95"/>
  <c r="C47" i="95"/>
  <c r="B47" i="95"/>
  <c r="F46" i="95"/>
  <c r="E46" i="95"/>
  <c r="D46" i="95"/>
  <c r="C46" i="95"/>
  <c r="B46" i="95"/>
  <c r="F45" i="95"/>
  <c r="E45" i="95"/>
  <c r="D45" i="95"/>
  <c r="C45" i="95"/>
  <c r="B45" i="95"/>
  <c r="G45" i="95" s="1"/>
  <c r="F44" i="95"/>
  <c r="E44" i="95"/>
  <c r="D44" i="95"/>
  <c r="C44" i="95"/>
  <c r="B44" i="95"/>
  <c r="F43" i="95"/>
  <c r="E43" i="95"/>
  <c r="D43" i="95"/>
  <c r="C43" i="95"/>
  <c r="B43" i="95"/>
  <c r="F42" i="95"/>
  <c r="E42" i="95"/>
  <c r="D42" i="95"/>
  <c r="C42" i="95"/>
  <c r="B42" i="95"/>
  <c r="F41" i="95"/>
  <c r="E41" i="95"/>
  <c r="D41" i="95"/>
  <c r="C41" i="95"/>
  <c r="B41" i="95"/>
  <c r="F40" i="95"/>
  <c r="E40" i="95"/>
  <c r="D40" i="95"/>
  <c r="C40" i="95"/>
  <c r="B40" i="95"/>
  <c r="F39" i="95"/>
  <c r="E39" i="95"/>
  <c r="D39" i="95"/>
  <c r="C39" i="95"/>
  <c r="B39" i="95"/>
  <c r="F38" i="95"/>
  <c r="E38" i="95"/>
  <c r="D38" i="95"/>
  <c r="C38" i="95"/>
  <c r="B38" i="95"/>
  <c r="F37" i="95"/>
  <c r="E37" i="95"/>
  <c r="D37" i="95"/>
  <c r="C37" i="95"/>
  <c r="B37" i="95"/>
  <c r="G37" i="95" s="1"/>
  <c r="F36" i="95"/>
  <c r="E36" i="95"/>
  <c r="D36" i="95"/>
  <c r="C36" i="95"/>
  <c r="B36" i="95"/>
  <c r="F35" i="95"/>
  <c r="E35" i="95"/>
  <c r="D35" i="95"/>
  <c r="C35" i="95"/>
  <c r="B35" i="95"/>
  <c r="F34" i="95"/>
  <c r="E34" i="95"/>
  <c r="D34" i="95"/>
  <c r="C34" i="95"/>
  <c r="B34" i="95"/>
  <c r="F33" i="95"/>
  <c r="E33" i="95"/>
  <c r="D33" i="95"/>
  <c r="C33" i="95"/>
  <c r="B33" i="95"/>
  <c r="F32" i="95"/>
  <c r="E32" i="95"/>
  <c r="D32" i="95"/>
  <c r="C32" i="95"/>
  <c r="B32" i="95"/>
  <c r="F31" i="95"/>
  <c r="E31" i="95"/>
  <c r="D31" i="95"/>
  <c r="C31" i="95"/>
  <c r="B31" i="95"/>
  <c r="F30" i="95"/>
  <c r="E30" i="95"/>
  <c r="D30" i="95"/>
  <c r="C30" i="95"/>
  <c r="B30" i="95"/>
  <c r="F29" i="95"/>
  <c r="E29" i="95"/>
  <c r="D29" i="95"/>
  <c r="C29" i="95"/>
  <c r="B29" i="95"/>
  <c r="F28" i="95"/>
  <c r="E28" i="95"/>
  <c r="D28" i="95"/>
  <c r="C28" i="95"/>
  <c r="B28" i="95"/>
  <c r="F27" i="95"/>
  <c r="E27" i="95"/>
  <c r="D27" i="95"/>
  <c r="C27" i="95"/>
  <c r="B27" i="95"/>
  <c r="F26" i="95"/>
  <c r="E26" i="95"/>
  <c r="D26" i="95"/>
  <c r="C26" i="95"/>
  <c r="B26" i="95"/>
  <c r="F25" i="95"/>
  <c r="E25" i="95"/>
  <c r="D25" i="95"/>
  <c r="C25" i="95"/>
  <c r="B25" i="95"/>
  <c r="G25" i="95" s="1"/>
  <c r="F24" i="95"/>
  <c r="E24" i="95"/>
  <c r="D24" i="95"/>
  <c r="C24" i="95"/>
  <c r="G24" i="95" s="1"/>
  <c r="B24" i="95"/>
  <c r="F23" i="95"/>
  <c r="E23" i="95"/>
  <c r="D23" i="95"/>
  <c r="C23" i="95"/>
  <c r="B23" i="95"/>
  <c r="F22" i="95"/>
  <c r="E22" i="95"/>
  <c r="D22" i="95"/>
  <c r="C22" i="95"/>
  <c r="B22" i="95"/>
  <c r="F21" i="95"/>
  <c r="E21" i="95"/>
  <c r="D21" i="95"/>
  <c r="C21" i="95"/>
  <c r="B21" i="95"/>
  <c r="G21" i="95" s="1"/>
  <c r="F20" i="95"/>
  <c r="E20" i="95"/>
  <c r="D20" i="95"/>
  <c r="C20" i="95"/>
  <c r="G20" i="95" s="1"/>
  <c r="B20" i="95"/>
  <c r="F19" i="95"/>
  <c r="E19" i="95"/>
  <c r="D19" i="95"/>
  <c r="C19" i="95"/>
  <c r="B19" i="95"/>
  <c r="F18" i="95"/>
  <c r="E18" i="95"/>
  <c r="D18" i="95"/>
  <c r="C18" i="95"/>
  <c r="B18" i="95"/>
  <c r="F17" i="95"/>
  <c r="E17" i="95"/>
  <c r="D17" i="95"/>
  <c r="C17" i="95"/>
  <c r="B17" i="95"/>
  <c r="G17" i="95" s="1"/>
  <c r="F16" i="95"/>
  <c r="E16" i="95"/>
  <c r="D16" i="95"/>
  <c r="C16" i="95"/>
  <c r="G16" i="95" s="1"/>
  <c r="B16" i="95"/>
  <c r="F15" i="95"/>
  <c r="E15" i="95"/>
  <c r="D15" i="95"/>
  <c r="C15" i="95"/>
  <c r="B15" i="95"/>
  <c r="F14" i="95"/>
  <c r="E14" i="95"/>
  <c r="D14" i="95"/>
  <c r="C14" i="95"/>
  <c r="B14" i="95"/>
  <c r="F13" i="95"/>
  <c r="E13" i="95"/>
  <c r="D13" i="95"/>
  <c r="C13" i="95"/>
  <c r="B13" i="95"/>
  <c r="G13" i="95" s="1"/>
  <c r="F12" i="95"/>
  <c r="E12" i="95"/>
  <c r="D12" i="95"/>
  <c r="C12" i="95"/>
  <c r="G12" i="95" s="1"/>
  <c r="B12" i="95"/>
  <c r="F11" i="95"/>
  <c r="E11" i="95"/>
  <c r="D11" i="95"/>
  <c r="C11" i="95"/>
  <c r="B11" i="95"/>
  <c r="F10" i="95"/>
  <c r="E10" i="95"/>
  <c r="D10" i="95"/>
  <c r="C10" i="95"/>
  <c r="B10" i="95"/>
  <c r="F9" i="95"/>
  <c r="E9" i="95"/>
  <c r="D9" i="95"/>
  <c r="C9" i="95"/>
  <c r="B9" i="95"/>
  <c r="G9" i="95" s="1"/>
  <c r="F8" i="95"/>
  <c r="E8" i="95"/>
  <c r="D8" i="95"/>
  <c r="C8" i="95"/>
  <c r="B8" i="95"/>
  <c r="F7" i="95"/>
  <c r="E7" i="95"/>
  <c r="D7" i="95"/>
  <c r="C7" i="95"/>
  <c r="B7" i="95"/>
  <c r="F6" i="95"/>
  <c r="E6" i="95"/>
  <c r="D6" i="95"/>
  <c r="C6" i="95"/>
  <c r="B6" i="95"/>
  <c r="F58" i="94"/>
  <c r="E58" i="94"/>
  <c r="D58" i="94"/>
  <c r="C58" i="94"/>
  <c r="B58" i="94"/>
  <c r="F57" i="94"/>
  <c r="E57" i="94"/>
  <c r="D57" i="94"/>
  <c r="C57" i="94"/>
  <c r="B57" i="94"/>
  <c r="F56" i="94"/>
  <c r="E56" i="94"/>
  <c r="D56" i="94"/>
  <c r="C56" i="94"/>
  <c r="B56" i="94"/>
  <c r="F55" i="94"/>
  <c r="E55" i="94"/>
  <c r="D55" i="94"/>
  <c r="C55" i="94"/>
  <c r="B55" i="94"/>
  <c r="F54" i="94"/>
  <c r="E54" i="94"/>
  <c r="D54" i="94"/>
  <c r="C54" i="94"/>
  <c r="B54" i="94"/>
  <c r="F53" i="94"/>
  <c r="E53" i="94"/>
  <c r="D53" i="94"/>
  <c r="C53" i="94"/>
  <c r="B53" i="94"/>
  <c r="F52" i="94"/>
  <c r="E52" i="94"/>
  <c r="D52" i="94"/>
  <c r="C52" i="94"/>
  <c r="B52" i="94"/>
  <c r="F51" i="94"/>
  <c r="E51" i="94"/>
  <c r="D51" i="94"/>
  <c r="C51" i="94"/>
  <c r="B51" i="94"/>
  <c r="F50" i="94"/>
  <c r="E50" i="94"/>
  <c r="D50" i="94"/>
  <c r="C50" i="94"/>
  <c r="B50" i="94"/>
  <c r="F49" i="94"/>
  <c r="E49" i="94"/>
  <c r="D49" i="94"/>
  <c r="C49" i="94"/>
  <c r="B49" i="94"/>
  <c r="F48" i="94"/>
  <c r="E48" i="94"/>
  <c r="D48" i="94"/>
  <c r="C48" i="94"/>
  <c r="B48" i="94"/>
  <c r="F47" i="94"/>
  <c r="E47" i="94"/>
  <c r="D47" i="94"/>
  <c r="C47" i="94"/>
  <c r="B47" i="94"/>
  <c r="F46" i="94"/>
  <c r="E46" i="94"/>
  <c r="D46" i="94"/>
  <c r="C46" i="94"/>
  <c r="B46" i="94"/>
  <c r="F45" i="94"/>
  <c r="E45" i="94"/>
  <c r="D45" i="94"/>
  <c r="C45" i="94"/>
  <c r="B45" i="94"/>
  <c r="F44" i="94"/>
  <c r="E44" i="94"/>
  <c r="D44" i="94"/>
  <c r="C44" i="94"/>
  <c r="B44" i="94"/>
  <c r="F43" i="94"/>
  <c r="E43" i="94"/>
  <c r="D43" i="94"/>
  <c r="C43" i="94"/>
  <c r="B43" i="94"/>
  <c r="F42" i="94"/>
  <c r="E42" i="94"/>
  <c r="D42" i="94"/>
  <c r="C42" i="94"/>
  <c r="B42" i="94"/>
  <c r="F41" i="94"/>
  <c r="E41" i="94"/>
  <c r="D41" i="94"/>
  <c r="C41" i="94"/>
  <c r="B41" i="94"/>
  <c r="F40" i="94"/>
  <c r="E40" i="94"/>
  <c r="D40" i="94"/>
  <c r="C40" i="94"/>
  <c r="B40" i="94"/>
  <c r="F39" i="94"/>
  <c r="E39" i="94"/>
  <c r="D39" i="94"/>
  <c r="C39" i="94"/>
  <c r="B39" i="94"/>
  <c r="F38" i="94"/>
  <c r="E38" i="94"/>
  <c r="D38" i="94"/>
  <c r="C38" i="94"/>
  <c r="B38" i="94"/>
  <c r="G38" i="94" s="1"/>
  <c r="F37" i="94"/>
  <c r="E37" i="94"/>
  <c r="D37" i="94"/>
  <c r="C37" i="94"/>
  <c r="B37" i="94"/>
  <c r="F36" i="94"/>
  <c r="E36" i="94"/>
  <c r="D36" i="94"/>
  <c r="C36" i="94"/>
  <c r="B36" i="94"/>
  <c r="F35" i="94"/>
  <c r="E35" i="94"/>
  <c r="D35" i="94"/>
  <c r="C35" i="94"/>
  <c r="B35" i="94"/>
  <c r="F34" i="94"/>
  <c r="E34" i="94"/>
  <c r="D34" i="94"/>
  <c r="C34" i="94"/>
  <c r="B34" i="94"/>
  <c r="F33" i="94"/>
  <c r="E33" i="94"/>
  <c r="D33" i="94"/>
  <c r="C33" i="94"/>
  <c r="B33" i="94"/>
  <c r="F32" i="94"/>
  <c r="E32" i="94"/>
  <c r="D32" i="94"/>
  <c r="C32" i="94"/>
  <c r="B32" i="94"/>
  <c r="F31" i="94"/>
  <c r="E31" i="94"/>
  <c r="D31" i="94"/>
  <c r="C31" i="94"/>
  <c r="B31" i="94"/>
  <c r="F30" i="94"/>
  <c r="E30" i="94"/>
  <c r="D30" i="94"/>
  <c r="C30" i="94"/>
  <c r="B30" i="94"/>
  <c r="G30" i="94" s="1"/>
  <c r="F29" i="94"/>
  <c r="E29" i="94"/>
  <c r="D29" i="94"/>
  <c r="C29" i="94"/>
  <c r="B29" i="94"/>
  <c r="F28" i="94"/>
  <c r="E28" i="94"/>
  <c r="D28" i="94"/>
  <c r="C28" i="94"/>
  <c r="B28" i="94"/>
  <c r="F27" i="94"/>
  <c r="E27" i="94"/>
  <c r="D27" i="94"/>
  <c r="C27" i="94"/>
  <c r="B27" i="94"/>
  <c r="F26" i="94"/>
  <c r="E26" i="94"/>
  <c r="D26" i="94"/>
  <c r="C26" i="94"/>
  <c r="B26" i="94"/>
  <c r="G26" i="94" s="1"/>
  <c r="F25" i="94"/>
  <c r="E25" i="94"/>
  <c r="D25" i="94"/>
  <c r="C25" i="94"/>
  <c r="B25" i="94"/>
  <c r="F24" i="94"/>
  <c r="E24" i="94"/>
  <c r="D24" i="94"/>
  <c r="C24" i="94"/>
  <c r="B24" i="94"/>
  <c r="F23" i="94"/>
  <c r="E23" i="94"/>
  <c r="D23" i="94"/>
  <c r="C23" i="94"/>
  <c r="B23" i="94"/>
  <c r="F22" i="94"/>
  <c r="E22" i="94"/>
  <c r="D22" i="94"/>
  <c r="C22" i="94"/>
  <c r="B22" i="94"/>
  <c r="F21" i="94"/>
  <c r="E21" i="94"/>
  <c r="D21" i="94"/>
  <c r="C21" i="94"/>
  <c r="B21" i="94"/>
  <c r="F20" i="94"/>
  <c r="E20" i="94"/>
  <c r="D20" i="94"/>
  <c r="C20" i="94"/>
  <c r="B20" i="94"/>
  <c r="F19" i="94"/>
  <c r="E19" i="94"/>
  <c r="D19" i="94"/>
  <c r="C19" i="94"/>
  <c r="B19" i="94"/>
  <c r="F18" i="94"/>
  <c r="E18" i="94"/>
  <c r="D18" i="94"/>
  <c r="C18" i="94"/>
  <c r="B18" i="94"/>
  <c r="G18" i="94" s="1"/>
  <c r="F17" i="94"/>
  <c r="E17" i="94"/>
  <c r="D17" i="94"/>
  <c r="C17" i="94"/>
  <c r="B17" i="94"/>
  <c r="F16" i="94"/>
  <c r="E16" i="94"/>
  <c r="D16" i="94"/>
  <c r="C16" i="94"/>
  <c r="B16" i="94"/>
  <c r="F15" i="94"/>
  <c r="E15" i="94"/>
  <c r="D15" i="94"/>
  <c r="C15" i="94"/>
  <c r="B15" i="94"/>
  <c r="F14" i="94"/>
  <c r="E14" i="94"/>
  <c r="D14" i="94"/>
  <c r="C14" i="94"/>
  <c r="B14" i="94"/>
  <c r="F13" i="94"/>
  <c r="E13" i="94"/>
  <c r="D13" i="94"/>
  <c r="C13" i="94"/>
  <c r="G13" i="94" s="1"/>
  <c r="B13" i="94"/>
  <c r="F12" i="94"/>
  <c r="E12" i="94"/>
  <c r="D12" i="94"/>
  <c r="C12" i="94"/>
  <c r="B12" i="94"/>
  <c r="F11" i="94"/>
  <c r="E11" i="94"/>
  <c r="D11" i="94"/>
  <c r="C11" i="94"/>
  <c r="B11" i="94"/>
  <c r="F10" i="94"/>
  <c r="E10" i="94"/>
  <c r="D10" i="94"/>
  <c r="C10" i="94"/>
  <c r="B10" i="94"/>
  <c r="G10" i="94" s="1"/>
  <c r="F9" i="94"/>
  <c r="E9" i="94"/>
  <c r="D9" i="94"/>
  <c r="C9" i="94"/>
  <c r="G9" i="94" s="1"/>
  <c r="B9" i="94"/>
  <c r="F8" i="94"/>
  <c r="E8" i="94"/>
  <c r="D8" i="94"/>
  <c r="D61" i="94" s="1"/>
  <c r="C8" i="94"/>
  <c r="B8" i="94"/>
  <c r="F7" i="94"/>
  <c r="E7" i="94"/>
  <c r="E61" i="94" s="1"/>
  <c r="D7" i="94"/>
  <c r="C7" i="94"/>
  <c r="B7" i="94"/>
  <c r="F6" i="94"/>
  <c r="E6" i="94"/>
  <c r="D6" i="94"/>
  <c r="C6" i="94"/>
  <c r="B6" i="94"/>
  <c r="B61" i="94" s="1"/>
  <c r="F58" i="93"/>
  <c r="E58" i="93"/>
  <c r="D58" i="93"/>
  <c r="C58" i="93"/>
  <c r="C58" i="98" s="1"/>
  <c r="B58" i="93"/>
  <c r="F57" i="93"/>
  <c r="E57" i="93"/>
  <c r="D57" i="93"/>
  <c r="C57" i="93"/>
  <c r="B57" i="93"/>
  <c r="F56" i="93"/>
  <c r="E56" i="93"/>
  <c r="D56" i="93"/>
  <c r="C56" i="93"/>
  <c r="B56" i="93"/>
  <c r="F55" i="93"/>
  <c r="F55" i="98" s="1"/>
  <c r="E55" i="93"/>
  <c r="D55" i="93"/>
  <c r="C55" i="93"/>
  <c r="B55" i="93"/>
  <c r="B55" i="98" s="1"/>
  <c r="F54" i="93"/>
  <c r="E54" i="93"/>
  <c r="D54" i="93"/>
  <c r="C54" i="93"/>
  <c r="C54" i="98" s="1"/>
  <c r="B54" i="93"/>
  <c r="F53" i="93"/>
  <c r="E53" i="93"/>
  <c r="D53" i="93"/>
  <c r="C53" i="93"/>
  <c r="B53" i="93"/>
  <c r="F52" i="93"/>
  <c r="E52" i="93"/>
  <c r="D52" i="93"/>
  <c r="C52" i="93"/>
  <c r="B52" i="93"/>
  <c r="F51" i="93"/>
  <c r="F51" i="98" s="1"/>
  <c r="E51" i="93"/>
  <c r="D51" i="93"/>
  <c r="C51" i="93"/>
  <c r="B51" i="93"/>
  <c r="B51" i="98" s="1"/>
  <c r="F50" i="93"/>
  <c r="E50" i="93"/>
  <c r="D50" i="93"/>
  <c r="C50" i="93"/>
  <c r="C50" i="98" s="1"/>
  <c r="B50" i="93"/>
  <c r="F49" i="93"/>
  <c r="E49" i="93"/>
  <c r="D49" i="93"/>
  <c r="C49" i="93"/>
  <c r="B49" i="93"/>
  <c r="F48" i="93"/>
  <c r="E48" i="93"/>
  <c r="D48" i="93"/>
  <c r="C48" i="93"/>
  <c r="B48" i="93"/>
  <c r="F47" i="93"/>
  <c r="F47" i="98" s="1"/>
  <c r="E47" i="93"/>
  <c r="D47" i="93"/>
  <c r="C47" i="93"/>
  <c r="B47" i="93"/>
  <c r="B47" i="98" s="1"/>
  <c r="F46" i="93"/>
  <c r="E46" i="93"/>
  <c r="D46" i="93"/>
  <c r="C46" i="93"/>
  <c r="C46" i="98" s="1"/>
  <c r="B46" i="93"/>
  <c r="F45" i="93"/>
  <c r="E45" i="93"/>
  <c r="D45" i="93"/>
  <c r="C45" i="93"/>
  <c r="B45" i="93"/>
  <c r="F44" i="93"/>
  <c r="E44" i="93"/>
  <c r="D44" i="93"/>
  <c r="C44" i="93"/>
  <c r="B44" i="93"/>
  <c r="F43" i="93"/>
  <c r="F43" i="98" s="1"/>
  <c r="E43" i="93"/>
  <c r="D43" i="93"/>
  <c r="C43" i="93"/>
  <c r="B43" i="93"/>
  <c r="B43" i="98" s="1"/>
  <c r="F42" i="93"/>
  <c r="E42" i="93"/>
  <c r="D42" i="93"/>
  <c r="C42" i="93"/>
  <c r="C42" i="98" s="1"/>
  <c r="B42" i="93"/>
  <c r="F41" i="93"/>
  <c r="E41" i="93"/>
  <c r="D41" i="93"/>
  <c r="C41" i="93"/>
  <c r="B41" i="93"/>
  <c r="F40" i="93"/>
  <c r="E40" i="93"/>
  <c r="D40" i="93"/>
  <c r="C40" i="93"/>
  <c r="B40" i="93"/>
  <c r="F39" i="93"/>
  <c r="F39" i="98" s="1"/>
  <c r="E39" i="93"/>
  <c r="D39" i="93"/>
  <c r="C39" i="93"/>
  <c r="B39" i="93"/>
  <c r="B39" i="98" s="1"/>
  <c r="F38" i="93"/>
  <c r="E38" i="93"/>
  <c r="D38" i="93"/>
  <c r="C38" i="93"/>
  <c r="C38" i="98" s="1"/>
  <c r="B38" i="93"/>
  <c r="F37" i="93"/>
  <c r="E37" i="93"/>
  <c r="D37" i="93"/>
  <c r="C37" i="93"/>
  <c r="B37" i="93"/>
  <c r="F36" i="93"/>
  <c r="E36" i="93"/>
  <c r="D36" i="93"/>
  <c r="C36" i="93"/>
  <c r="B36" i="93"/>
  <c r="F35" i="93"/>
  <c r="F35" i="98" s="1"/>
  <c r="E35" i="93"/>
  <c r="D35" i="93"/>
  <c r="C35" i="93"/>
  <c r="B35" i="93"/>
  <c r="B35" i="98" s="1"/>
  <c r="F34" i="93"/>
  <c r="E34" i="93"/>
  <c r="D34" i="93"/>
  <c r="C34" i="93"/>
  <c r="C34" i="98" s="1"/>
  <c r="B34" i="93"/>
  <c r="F33" i="93"/>
  <c r="E33" i="93"/>
  <c r="D33" i="93"/>
  <c r="C33" i="93"/>
  <c r="B33" i="93"/>
  <c r="F32" i="93"/>
  <c r="E32" i="93"/>
  <c r="D32" i="93"/>
  <c r="C32" i="93"/>
  <c r="B32" i="93"/>
  <c r="F31" i="93"/>
  <c r="F31" i="98" s="1"/>
  <c r="E31" i="93"/>
  <c r="D31" i="93"/>
  <c r="C31" i="93"/>
  <c r="B31" i="93"/>
  <c r="B31" i="98" s="1"/>
  <c r="F30" i="93"/>
  <c r="E30" i="93"/>
  <c r="D30" i="93"/>
  <c r="C30" i="93"/>
  <c r="C30" i="98" s="1"/>
  <c r="B30" i="93"/>
  <c r="F29" i="93"/>
  <c r="E29" i="93"/>
  <c r="D29" i="93"/>
  <c r="C29" i="93"/>
  <c r="B29" i="93"/>
  <c r="F28" i="93"/>
  <c r="E28" i="93"/>
  <c r="D28" i="93"/>
  <c r="C28" i="93"/>
  <c r="B28" i="93"/>
  <c r="F27" i="93"/>
  <c r="F27" i="98" s="1"/>
  <c r="E27" i="93"/>
  <c r="D27" i="93"/>
  <c r="C27" i="93"/>
  <c r="B27" i="93"/>
  <c r="B27" i="98" s="1"/>
  <c r="F26" i="93"/>
  <c r="E26" i="93"/>
  <c r="D26" i="93"/>
  <c r="C26" i="93"/>
  <c r="C26" i="98" s="1"/>
  <c r="B26" i="93"/>
  <c r="F25" i="93"/>
  <c r="E25" i="93"/>
  <c r="D25" i="93"/>
  <c r="C25" i="93"/>
  <c r="B25" i="93"/>
  <c r="F24" i="93"/>
  <c r="E24" i="93"/>
  <c r="D24" i="93"/>
  <c r="C24" i="93"/>
  <c r="B24" i="93"/>
  <c r="F23" i="93"/>
  <c r="F23" i="98" s="1"/>
  <c r="E23" i="93"/>
  <c r="D23" i="93"/>
  <c r="C23" i="93"/>
  <c r="B23" i="93"/>
  <c r="B23" i="98" s="1"/>
  <c r="F22" i="93"/>
  <c r="E22" i="93"/>
  <c r="D22" i="93"/>
  <c r="C22" i="93"/>
  <c r="C22" i="98" s="1"/>
  <c r="B22" i="93"/>
  <c r="F21" i="93"/>
  <c r="E21" i="93"/>
  <c r="D21" i="93"/>
  <c r="C21" i="93"/>
  <c r="B21" i="93"/>
  <c r="F20" i="93"/>
  <c r="E20" i="93"/>
  <c r="D20" i="93"/>
  <c r="C20" i="93"/>
  <c r="B20" i="93"/>
  <c r="F19" i="93"/>
  <c r="F19" i="98" s="1"/>
  <c r="E19" i="93"/>
  <c r="D19" i="93"/>
  <c r="C19" i="93"/>
  <c r="B19" i="93"/>
  <c r="B19" i="98" s="1"/>
  <c r="F18" i="93"/>
  <c r="E18" i="93"/>
  <c r="D18" i="93"/>
  <c r="C18" i="93"/>
  <c r="C18" i="98" s="1"/>
  <c r="B18" i="93"/>
  <c r="F17" i="93"/>
  <c r="E17" i="93"/>
  <c r="D17" i="93"/>
  <c r="D17" i="98" s="1"/>
  <c r="C17" i="93"/>
  <c r="B17" i="93"/>
  <c r="F16" i="93"/>
  <c r="E16" i="93"/>
  <c r="E16" i="98" s="1"/>
  <c r="D16" i="93"/>
  <c r="C16" i="93"/>
  <c r="B16" i="93"/>
  <c r="F15" i="93"/>
  <c r="F15" i="98" s="1"/>
  <c r="E15" i="93"/>
  <c r="D15" i="93"/>
  <c r="C15" i="93"/>
  <c r="B15" i="93"/>
  <c r="B15" i="98" s="1"/>
  <c r="F14" i="93"/>
  <c r="E14" i="93"/>
  <c r="D14" i="93"/>
  <c r="C14" i="93"/>
  <c r="C14" i="98" s="1"/>
  <c r="B14" i="93"/>
  <c r="F13" i="93"/>
  <c r="E13" i="93"/>
  <c r="D13" i="93"/>
  <c r="D13" i="98" s="1"/>
  <c r="C13" i="93"/>
  <c r="B13" i="93"/>
  <c r="F12" i="93"/>
  <c r="E12" i="93"/>
  <c r="E12" i="98" s="1"/>
  <c r="D12" i="93"/>
  <c r="C12" i="93"/>
  <c r="B12" i="93"/>
  <c r="F11" i="93"/>
  <c r="F11" i="98" s="1"/>
  <c r="E11" i="93"/>
  <c r="D11" i="93"/>
  <c r="C11" i="93"/>
  <c r="B11" i="93"/>
  <c r="B11" i="98" s="1"/>
  <c r="F10" i="93"/>
  <c r="E10" i="93"/>
  <c r="D10" i="93"/>
  <c r="C10" i="93"/>
  <c r="C10" i="98" s="1"/>
  <c r="B10" i="93"/>
  <c r="F9" i="93"/>
  <c r="E9" i="93"/>
  <c r="D9" i="93"/>
  <c r="D9" i="98" s="1"/>
  <c r="C9" i="93"/>
  <c r="B9" i="93"/>
  <c r="F8" i="93"/>
  <c r="E8" i="93"/>
  <c r="E8" i="98" s="1"/>
  <c r="D8" i="93"/>
  <c r="C8" i="93"/>
  <c r="B8" i="93"/>
  <c r="F7" i="93"/>
  <c r="F7" i="98" s="1"/>
  <c r="E7" i="93"/>
  <c r="D7" i="93"/>
  <c r="C7" i="93"/>
  <c r="B7" i="93"/>
  <c r="B7" i="98" s="1"/>
  <c r="F6" i="93"/>
  <c r="E6" i="93"/>
  <c r="D6" i="93"/>
  <c r="C6" i="93"/>
  <c r="C6" i="98" s="1"/>
  <c r="B6" i="93"/>
  <c r="O121" i="92"/>
  <c r="O119" i="92"/>
  <c r="AC117" i="92"/>
  <c r="AB117" i="92"/>
  <c r="Z117" i="92"/>
  <c r="Y117" i="92"/>
  <c r="W117" i="92"/>
  <c r="V117" i="92"/>
  <c r="T117" i="92"/>
  <c r="S117" i="92"/>
  <c r="L117" i="92"/>
  <c r="K117" i="92"/>
  <c r="J117" i="92"/>
  <c r="I117" i="92"/>
  <c r="H117" i="92"/>
  <c r="AC116" i="92"/>
  <c r="AB116" i="92"/>
  <c r="Z116" i="92"/>
  <c r="Y116" i="92"/>
  <c r="W116" i="92"/>
  <c r="V116" i="92"/>
  <c r="T116" i="92"/>
  <c r="S116" i="92"/>
  <c r="L116" i="92"/>
  <c r="K116" i="92"/>
  <c r="J116" i="92"/>
  <c r="I116" i="92"/>
  <c r="M116" i="92" s="1"/>
  <c r="H116" i="92"/>
  <c r="AC115" i="92"/>
  <c r="AB115" i="92"/>
  <c r="Z115" i="92"/>
  <c r="Y115" i="92"/>
  <c r="W115" i="92"/>
  <c r="V115" i="92"/>
  <c r="T115" i="92"/>
  <c r="S115" i="92"/>
  <c r="L115" i="92"/>
  <c r="K115" i="92"/>
  <c r="J115" i="92"/>
  <c r="I115" i="92"/>
  <c r="H115" i="92"/>
  <c r="AC114" i="92"/>
  <c r="AB114" i="92"/>
  <c r="Z114" i="92"/>
  <c r="Y114" i="92"/>
  <c r="W114" i="92"/>
  <c r="V114" i="92"/>
  <c r="T114" i="92"/>
  <c r="S114" i="92"/>
  <c r="L114" i="92"/>
  <c r="K114" i="92"/>
  <c r="J114" i="92"/>
  <c r="I114" i="92"/>
  <c r="H114" i="92"/>
  <c r="AC113" i="92"/>
  <c r="AB113" i="92"/>
  <c r="Z113" i="92"/>
  <c r="Y113" i="92"/>
  <c r="W113" i="92"/>
  <c r="V113" i="92"/>
  <c r="T113" i="92"/>
  <c r="S113" i="92"/>
  <c r="L113" i="92"/>
  <c r="K113" i="92"/>
  <c r="J113" i="92"/>
  <c r="I113" i="92"/>
  <c r="H113" i="92"/>
  <c r="AC112" i="92"/>
  <c r="AB112" i="92"/>
  <c r="Z112" i="92"/>
  <c r="Y112" i="92"/>
  <c r="W112" i="92"/>
  <c r="V112" i="92"/>
  <c r="T112" i="92"/>
  <c r="S112" i="92"/>
  <c r="L112" i="92"/>
  <c r="K112" i="92"/>
  <c r="J112" i="92"/>
  <c r="I112" i="92"/>
  <c r="M112" i="92" s="1"/>
  <c r="H112" i="92"/>
  <c r="AC111" i="92"/>
  <c r="AB111" i="92"/>
  <c r="Z111" i="92"/>
  <c r="Z119" i="92" s="1"/>
  <c r="Y111" i="92"/>
  <c r="W111" i="92"/>
  <c r="V111" i="92"/>
  <c r="T111" i="92"/>
  <c r="T119" i="92" s="1"/>
  <c r="S111" i="92"/>
  <c r="L111" i="92"/>
  <c r="K111" i="92"/>
  <c r="J111" i="92"/>
  <c r="J119" i="92" s="1"/>
  <c r="I111" i="92"/>
  <c r="H111" i="92"/>
  <c r="O107" i="92"/>
  <c r="AC105" i="92"/>
  <c r="AB105" i="92"/>
  <c r="Z105" i="92"/>
  <c r="Y105" i="92"/>
  <c r="W105" i="92"/>
  <c r="V105" i="92"/>
  <c r="T105" i="92"/>
  <c r="S105" i="92"/>
  <c r="L105" i="92"/>
  <c r="K105" i="92"/>
  <c r="J105" i="92"/>
  <c r="I105" i="92"/>
  <c r="H105" i="92"/>
  <c r="M105" i="92" s="1"/>
  <c r="AC104" i="92"/>
  <c r="AB104" i="92"/>
  <c r="Z104" i="92"/>
  <c r="Y104" i="92"/>
  <c r="W104" i="92"/>
  <c r="V104" i="92"/>
  <c r="T104" i="92"/>
  <c r="S104" i="92"/>
  <c r="L104" i="92"/>
  <c r="K104" i="92"/>
  <c r="J104" i="92"/>
  <c r="I104" i="92"/>
  <c r="H104" i="92"/>
  <c r="AC103" i="92"/>
  <c r="AB103" i="92"/>
  <c r="Z103" i="92"/>
  <c r="Y103" i="92"/>
  <c r="W103" i="92"/>
  <c r="V103" i="92"/>
  <c r="T103" i="92"/>
  <c r="S103" i="92"/>
  <c r="L103" i="92"/>
  <c r="K103" i="92"/>
  <c r="J103" i="92"/>
  <c r="I103" i="92"/>
  <c r="H103" i="92"/>
  <c r="AC102" i="92"/>
  <c r="AB102" i="92"/>
  <c r="Z102" i="92"/>
  <c r="Y102" i="92"/>
  <c r="W102" i="92"/>
  <c r="V102" i="92"/>
  <c r="T102" i="92"/>
  <c r="S102" i="92"/>
  <c r="L102" i="92"/>
  <c r="K102" i="92"/>
  <c r="J102" i="92"/>
  <c r="I102" i="92"/>
  <c r="H102" i="92"/>
  <c r="AC101" i="92"/>
  <c r="AB101" i="92"/>
  <c r="Z101" i="92"/>
  <c r="Y101" i="92"/>
  <c r="W101" i="92"/>
  <c r="V101" i="92"/>
  <c r="T101" i="92"/>
  <c r="S101" i="92"/>
  <c r="L101" i="92"/>
  <c r="K101" i="92"/>
  <c r="J101" i="92"/>
  <c r="I101" i="92"/>
  <c r="H101" i="92"/>
  <c r="M101" i="92" s="1"/>
  <c r="AC100" i="92"/>
  <c r="AB100" i="92"/>
  <c r="Z100" i="92"/>
  <c r="Y100" i="92"/>
  <c r="W100" i="92"/>
  <c r="V100" i="92"/>
  <c r="T100" i="92"/>
  <c r="S100" i="92"/>
  <c r="L100" i="92"/>
  <c r="K100" i="92"/>
  <c r="J100" i="92"/>
  <c r="I100" i="92"/>
  <c r="H100" i="92"/>
  <c r="AC99" i="92"/>
  <c r="AB99" i="92"/>
  <c r="Z99" i="92"/>
  <c r="Y99" i="92"/>
  <c r="W99" i="92"/>
  <c r="V99" i="92"/>
  <c r="T99" i="92"/>
  <c r="S99" i="92"/>
  <c r="L99" i="92"/>
  <c r="K99" i="92"/>
  <c r="J99" i="92"/>
  <c r="I99" i="92"/>
  <c r="H99" i="92"/>
  <c r="AC98" i="92"/>
  <c r="AB98" i="92"/>
  <c r="Z98" i="92"/>
  <c r="Y98" i="92"/>
  <c r="W98" i="92"/>
  <c r="V98" i="92"/>
  <c r="T98" i="92"/>
  <c r="S98" i="92"/>
  <c r="L98" i="92"/>
  <c r="K98" i="92"/>
  <c r="J98" i="92"/>
  <c r="I98" i="92"/>
  <c r="H98" i="92"/>
  <c r="AC97" i="92"/>
  <c r="AB97" i="92"/>
  <c r="Z97" i="92"/>
  <c r="Y97" i="92"/>
  <c r="W97" i="92"/>
  <c r="V97" i="92"/>
  <c r="T97" i="92"/>
  <c r="S97" i="92"/>
  <c r="L97" i="92"/>
  <c r="K97" i="92"/>
  <c r="J97" i="92"/>
  <c r="I97" i="92"/>
  <c r="H97" i="92"/>
  <c r="M97" i="92" s="1"/>
  <c r="AC96" i="92"/>
  <c r="AB96" i="92"/>
  <c r="Z96" i="92"/>
  <c r="Y96" i="92"/>
  <c r="W96" i="92"/>
  <c r="V96" i="92"/>
  <c r="T96" i="92"/>
  <c r="S96" i="92"/>
  <c r="L96" i="92"/>
  <c r="K96" i="92"/>
  <c r="J96" i="92"/>
  <c r="I96" i="92"/>
  <c r="H96" i="92"/>
  <c r="AC95" i="92"/>
  <c r="AB95" i="92"/>
  <c r="Z95" i="92"/>
  <c r="Y95" i="92"/>
  <c r="W95" i="92"/>
  <c r="V95" i="92"/>
  <c r="T95" i="92"/>
  <c r="S95" i="92"/>
  <c r="L95" i="92"/>
  <c r="K95" i="92"/>
  <c r="J95" i="92"/>
  <c r="I95" i="92"/>
  <c r="H95" i="92"/>
  <c r="AC94" i="92"/>
  <c r="AB94" i="92"/>
  <c r="Z94" i="92"/>
  <c r="Y94" i="92"/>
  <c r="W94" i="92"/>
  <c r="V94" i="92"/>
  <c r="T94" i="92"/>
  <c r="S94" i="92"/>
  <c r="L94" i="92"/>
  <c r="K94" i="92"/>
  <c r="J94" i="92"/>
  <c r="I94" i="92"/>
  <c r="H94" i="92"/>
  <c r="AC93" i="92"/>
  <c r="AB93" i="92"/>
  <c r="Z93" i="92"/>
  <c r="Y93" i="92"/>
  <c r="W93" i="92"/>
  <c r="V93" i="92"/>
  <c r="T93" i="92"/>
  <c r="S93" i="92"/>
  <c r="L93" i="92"/>
  <c r="K93" i="92"/>
  <c r="J93" i="92"/>
  <c r="I93" i="92"/>
  <c r="H93" i="92"/>
  <c r="M93" i="92" s="1"/>
  <c r="AC92" i="92"/>
  <c r="AB92" i="92"/>
  <c r="Z92" i="92"/>
  <c r="Y92" i="92"/>
  <c r="W92" i="92"/>
  <c r="V92" i="92"/>
  <c r="T92" i="92"/>
  <c r="S92" i="92"/>
  <c r="L92" i="92"/>
  <c r="K92" i="92"/>
  <c r="J92" i="92"/>
  <c r="I92" i="92"/>
  <c r="H92" i="92"/>
  <c r="AC91" i="92"/>
  <c r="AB91" i="92"/>
  <c r="Z91" i="92"/>
  <c r="Y91" i="92"/>
  <c r="W91" i="92"/>
  <c r="V91" i="92"/>
  <c r="T91" i="92"/>
  <c r="S91" i="92"/>
  <c r="L91" i="92"/>
  <c r="K91" i="92"/>
  <c r="J91" i="92"/>
  <c r="I91" i="92"/>
  <c r="H91" i="92"/>
  <c r="AC90" i="92"/>
  <c r="AB90" i="92"/>
  <c r="Z90" i="92"/>
  <c r="Y90" i="92"/>
  <c r="W90" i="92"/>
  <c r="V90" i="92"/>
  <c r="T90" i="92"/>
  <c r="S90" i="92"/>
  <c r="L90" i="92"/>
  <c r="K90" i="92"/>
  <c r="J90" i="92"/>
  <c r="I90" i="92"/>
  <c r="H90" i="92"/>
  <c r="AC89" i="92"/>
  <c r="AB89" i="92"/>
  <c r="Z89" i="92"/>
  <c r="Y89" i="92"/>
  <c r="W89" i="92"/>
  <c r="V89" i="92"/>
  <c r="T89" i="92"/>
  <c r="S89" i="92"/>
  <c r="L89" i="92"/>
  <c r="K89" i="92"/>
  <c r="J89" i="92"/>
  <c r="I89" i="92"/>
  <c r="H89" i="92"/>
  <c r="M89" i="92" s="1"/>
  <c r="AC88" i="92"/>
  <c r="AB88" i="92"/>
  <c r="Z88" i="92"/>
  <c r="Y88" i="92"/>
  <c r="W88" i="92"/>
  <c r="V88" i="92"/>
  <c r="T88" i="92"/>
  <c r="S88" i="92"/>
  <c r="L88" i="92"/>
  <c r="K88" i="92"/>
  <c r="J88" i="92"/>
  <c r="I88" i="92"/>
  <c r="H88" i="92"/>
  <c r="AC87" i="92"/>
  <c r="AB87" i="92"/>
  <c r="Z87" i="92"/>
  <c r="Y87" i="92"/>
  <c r="W87" i="92"/>
  <c r="V87" i="92"/>
  <c r="T87" i="92"/>
  <c r="S87" i="92"/>
  <c r="L87" i="92"/>
  <c r="K87" i="92"/>
  <c r="J87" i="92"/>
  <c r="I87" i="92"/>
  <c r="H87" i="92"/>
  <c r="AC86" i="92"/>
  <c r="AB86" i="92"/>
  <c r="Z86" i="92"/>
  <c r="Y86" i="92"/>
  <c r="W86" i="92"/>
  <c r="V86" i="92"/>
  <c r="T86" i="92"/>
  <c r="S86" i="92"/>
  <c r="L86" i="92"/>
  <c r="K86" i="92"/>
  <c r="J86" i="92"/>
  <c r="I86" i="92"/>
  <c r="H86" i="92"/>
  <c r="AC85" i="92"/>
  <c r="AB85" i="92"/>
  <c r="Z85" i="92"/>
  <c r="Y85" i="92"/>
  <c r="W85" i="92"/>
  <c r="V85" i="92"/>
  <c r="T85" i="92"/>
  <c r="S85" i="92"/>
  <c r="L85" i="92"/>
  <c r="K85" i="92"/>
  <c r="J85" i="92"/>
  <c r="I85" i="92"/>
  <c r="H85" i="92"/>
  <c r="M85" i="92" s="1"/>
  <c r="AC84" i="92"/>
  <c r="AB84" i="92"/>
  <c r="Z84" i="92"/>
  <c r="Y84" i="92"/>
  <c r="W84" i="92"/>
  <c r="V84" i="92"/>
  <c r="T84" i="92"/>
  <c r="S84" i="92"/>
  <c r="L84" i="92"/>
  <c r="K84" i="92"/>
  <c r="J84" i="92"/>
  <c r="I84" i="92"/>
  <c r="H84" i="92"/>
  <c r="AC83" i="92"/>
  <c r="AB83" i="92"/>
  <c r="Z83" i="92"/>
  <c r="Y83" i="92"/>
  <c r="W83" i="92"/>
  <c r="V83" i="92"/>
  <c r="T83" i="92"/>
  <c r="S83" i="92"/>
  <c r="L83" i="92"/>
  <c r="K83" i="92"/>
  <c r="J83" i="92"/>
  <c r="I83" i="92"/>
  <c r="H83" i="92"/>
  <c r="AC82" i="92"/>
  <c r="AB82" i="92"/>
  <c r="Z82" i="92"/>
  <c r="Y82" i="92"/>
  <c r="W82" i="92"/>
  <c r="V82" i="92"/>
  <c r="T82" i="92"/>
  <c r="S82" i="92"/>
  <c r="L82" i="92"/>
  <c r="K82" i="92"/>
  <c r="J82" i="92"/>
  <c r="I82" i="92"/>
  <c r="H82" i="92"/>
  <c r="AC81" i="92"/>
  <c r="AB81" i="92"/>
  <c r="Z81" i="92"/>
  <c r="Y81" i="92"/>
  <c r="W81" i="92"/>
  <c r="V81" i="92"/>
  <c r="T81" i="92"/>
  <c r="S81" i="92"/>
  <c r="L81" i="92"/>
  <c r="K81" i="92"/>
  <c r="J81" i="92"/>
  <c r="I81" i="92"/>
  <c r="H81" i="92"/>
  <c r="M81" i="92" s="1"/>
  <c r="AC80" i="92"/>
  <c r="AB80" i="92"/>
  <c r="Z80" i="92"/>
  <c r="Y80" i="92"/>
  <c r="W80" i="92"/>
  <c r="V80" i="92"/>
  <c r="T80" i="92"/>
  <c r="S80" i="92"/>
  <c r="L80" i="92"/>
  <c r="K80" i="92"/>
  <c r="J80" i="92"/>
  <c r="I80" i="92"/>
  <c r="H80" i="92"/>
  <c r="AC79" i="92"/>
  <c r="AB79" i="92"/>
  <c r="Z79" i="92"/>
  <c r="Y79" i="92"/>
  <c r="W79" i="92"/>
  <c r="V79" i="92"/>
  <c r="T79" i="92"/>
  <c r="S79" i="92"/>
  <c r="L79" i="92"/>
  <c r="K79" i="92"/>
  <c r="J79" i="92"/>
  <c r="I79" i="92"/>
  <c r="H79" i="92"/>
  <c r="AC78" i="92"/>
  <c r="AB78" i="92"/>
  <c r="Z78" i="92"/>
  <c r="Y78" i="92"/>
  <c r="W78" i="92"/>
  <c r="V78" i="92"/>
  <c r="T78" i="92"/>
  <c r="S78" i="92"/>
  <c r="L78" i="92"/>
  <c r="K78" i="92"/>
  <c r="J78" i="92"/>
  <c r="I78" i="92"/>
  <c r="H78" i="92"/>
  <c r="AC77" i="92"/>
  <c r="AB77" i="92"/>
  <c r="Z77" i="92"/>
  <c r="Y77" i="92"/>
  <c r="W77" i="92"/>
  <c r="V77" i="92"/>
  <c r="T77" i="92"/>
  <c r="S77" i="92"/>
  <c r="L77" i="92"/>
  <c r="K77" i="92"/>
  <c r="J77" i="92"/>
  <c r="I77" i="92"/>
  <c r="H77" i="92"/>
  <c r="AC76" i="92"/>
  <c r="AB76" i="92"/>
  <c r="Z76" i="92"/>
  <c r="Y76" i="92"/>
  <c r="W76" i="92"/>
  <c r="V76" i="92"/>
  <c r="T76" i="92"/>
  <c r="S76" i="92"/>
  <c r="L76" i="92"/>
  <c r="K76" i="92"/>
  <c r="J76" i="92"/>
  <c r="I76" i="92"/>
  <c r="H76" i="92"/>
  <c r="AC75" i="92"/>
  <c r="AB75" i="92"/>
  <c r="Z75" i="92"/>
  <c r="Y75" i="92"/>
  <c r="W75" i="92"/>
  <c r="V75" i="92"/>
  <c r="T75" i="92"/>
  <c r="S75" i="92"/>
  <c r="L75" i="92"/>
  <c r="K75" i="92"/>
  <c r="J75" i="92"/>
  <c r="I75" i="92"/>
  <c r="H75" i="92"/>
  <c r="AC74" i="92"/>
  <c r="AB74" i="92"/>
  <c r="Z74" i="92"/>
  <c r="Y74" i="92"/>
  <c r="W74" i="92"/>
  <c r="V74" i="92"/>
  <c r="T74" i="92"/>
  <c r="S74" i="92"/>
  <c r="L74" i="92"/>
  <c r="K74" i="92"/>
  <c r="J74" i="92"/>
  <c r="I74" i="92"/>
  <c r="H74" i="92"/>
  <c r="AC73" i="92"/>
  <c r="AB73" i="92"/>
  <c r="Z73" i="92"/>
  <c r="Y73" i="92"/>
  <c r="W73" i="92"/>
  <c r="V73" i="92"/>
  <c r="T73" i="92"/>
  <c r="S73" i="92"/>
  <c r="L73" i="92"/>
  <c r="K73" i="92"/>
  <c r="J73" i="92"/>
  <c r="I73" i="92"/>
  <c r="H73" i="92"/>
  <c r="AC72" i="92"/>
  <c r="AB72" i="92"/>
  <c r="Z72" i="92"/>
  <c r="Y72" i="92"/>
  <c r="W72" i="92"/>
  <c r="V72" i="92"/>
  <c r="T72" i="92"/>
  <c r="S72" i="92"/>
  <c r="L72" i="92"/>
  <c r="K72" i="92"/>
  <c r="J72" i="92"/>
  <c r="I72" i="92"/>
  <c r="H72" i="92"/>
  <c r="AC71" i="92"/>
  <c r="AB71" i="92"/>
  <c r="Z71" i="92"/>
  <c r="Y71" i="92"/>
  <c r="W71" i="92"/>
  <c r="V71" i="92"/>
  <c r="T71" i="92"/>
  <c r="S71" i="92"/>
  <c r="L71" i="92"/>
  <c r="K71" i="92"/>
  <c r="J71" i="92"/>
  <c r="I71" i="92"/>
  <c r="H71" i="92"/>
  <c r="AC70" i="92"/>
  <c r="AB70" i="92"/>
  <c r="Z70" i="92"/>
  <c r="Y70" i="92"/>
  <c r="W70" i="92"/>
  <c r="V70" i="92"/>
  <c r="T70" i="92"/>
  <c r="S70" i="92"/>
  <c r="L70" i="92"/>
  <c r="K70" i="92"/>
  <c r="J70" i="92"/>
  <c r="I70" i="92"/>
  <c r="H70" i="92"/>
  <c r="AC69" i="92"/>
  <c r="AB69" i="92"/>
  <c r="Z69" i="92"/>
  <c r="Y69" i="92"/>
  <c r="W69" i="92"/>
  <c r="V69" i="92"/>
  <c r="T69" i="92"/>
  <c r="S69" i="92"/>
  <c r="L69" i="92"/>
  <c r="K69" i="92"/>
  <c r="J69" i="92"/>
  <c r="I69" i="92"/>
  <c r="H69" i="92"/>
  <c r="AC68" i="92"/>
  <c r="AB68" i="92"/>
  <c r="Z68" i="92"/>
  <c r="Y68" i="92"/>
  <c r="W68" i="92"/>
  <c r="V68" i="92"/>
  <c r="T68" i="92"/>
  <c r="S68" i="92"/>
  <c r="L68" i="92"/>
  <c r="K68" i="92"/>
  <c r="J68" i="92"/>
  <c r="I68" i="92"/>
  <c r="H68" i="92"/>
  <c r="AC67" i="92"/>
  <c r="AB67" i="92"/>
  <c r="Z67" i="92"/>
  <c r="Y67" i="92"/>
  <c r="W67" i="92"/>
  <c r="V67" i="92"/>
  <c r="T67" i="92"/>
  <c r="S67" i="92"/>
  <c r="L67" i="92"/>
  <c r="K67" i="92"/>
  <c r="J67" i="92"/>
  <c r="I67" i="92"/>
  <c r="H67" i="92"/>
  <c r="AC66" i="92"/>
  <c r="AB66" i="92"/>
  <c r="Z66" i="92"/>
  <c r="Y66" i="92"/>
  <c r="W66" i="92"/>
  <c r="V66" i="92"/>
  <c r="T66" i="92"/>
  <c r="S66" i="92"/>
  <c r="L66" i="92"/>
  <c r="K66" i="92"/>
  <c r="J66" i="92"/>
  <c r="I66" i="92"/>
  <c r="H66" i="92"/>
  <c r="AC65" i="92"/>
  <c r="AB65" i="92"/>
  <c r="Z65" i="92"/>
  <c r="Y65" i="92"/>
  <c r="W65" i="92"/>
  <c r="V65" i="92"/>
  <c r="T65" i="92"/>
  <c r="S65" i="92"/>
  <c r="L65" i="92"/>
  <c r="K65" i="92"/>
  <c r="J65" i="92"/>
  <c r="I65" i="92"/>
  <c r="H65" i="92"/>
  <c r="M65" i="92" s="1"/>
  <c r="AC64" i="92"/>
  <c r="AB64" i="92"/>
  <c r="Z64" i="92"/>
  <c r="Y64" i="92"/>
  <c r="W64" i="92"/>
  <c r="V64" i="92"/>
  <c r="T64" i="92"/>
  <c r="S64" i="92"/>
  <c r="L64" i="92"/>
  <c r="K64" i="92"/>
  <c r="J64" i="92"/>
  <c r="I64" i="92"/>
  <c r="H64" i="92"/>
  <c r="AC63" i="92"/>
  <c r="AB63" i="92"/>
  <c r="Z63" i="92"/>
  <c r="Y63" i="92"/>
  <c r="W63" i="92"/>
  <c r="V63" i="92"/>
  <c r="T63" i="92"/>
  <c r="S63" i="92"/>
  <c r="L63" i="92"/>
  <c r="K63" i="92"/>
  <c r="J63" i="92"/>
  <c r="I63" i="92"/>
  <c r="H63" i="92"/>
  <c r="AC62" i="92"/>
  <c r="AB62" i="92"/>
  <c r="Z62" i="92"/>
  <c r="Y62" i="92"/>
  <c r="W62" i="92"/>
  <c r="V62" i="92"/>
  <c r="T62" i="92"/>
  <c r="S62" i="92"/>
  <c r="L62" i="92"/>
  <c r="K62" i="92"/>
  <c r="J62" i="92"/>
  <c r="I62" i="92"/>
  <c r="H62" i="92"/>
  <c r="AC61" i="92"/>
  <c r="AB61" i="92"/>
  <c r="Z61" i="92"/>
  <c r="Y61" i="92"/>
  <c r="W61" i="92"/>
  <c r="V61" i="92"/>
  <c r="T61" i="92"/>
  <c r="S61" i="92"/>
  <c r="L61" i="92"/>
  <c r="K61" i="92"/>
  <c r="J61" i="92"/>
  <c r="I61" i="92"/>
  <c r="H61" i="92"/>
  <c r="AC60" i="92"/>
  <c r="AB60" i="92"/>
  <c r="Z60" i="92"/>
  <c r="Y60" i="92"/>
  <c r="W60" i="92"/>
  <c r="V60" i="92"/>
  <c r="T60" i="92"/>
  <c r="S60" i="92"/>
  <c r="L60" i="92"/>
  <c r="K60" i="92"/>
  <c r="J60" i="92"/>
  <c r="I60" i="92"/>
  <c r="H60" i="92"/>
  <c r="AC59" i="92"/>
  <c r="AB59" i="92"/>
  <c r="Z59" i="92"/>
  <c r="Y59" i="92"/>
  <c r="W59" i="92"/>
  <c r="V59" i="92"/>
  <c r="T59" i="92"/>
  <c r="S59" i="92"/>
  <c r="L59" i="92"/>
  <c r="K59" i="92"/>
  <c r="J59" i="92"/>
  <c r="I59" i="92"/>
  <c r="H59" i="92"/>
  <c r="AC58" i="92"/>
  <c r="AB58" i="92"/>
  <c r="Z58" i="92"/>
  <c r="Y58" i="92"/>
  <c r="W58" i="92"/>
  <c r="V58" i="92"/>
  <c r="T58" i="92"/>
  <c r="S58" i="92"/>
  <c r="L58" i="92"/>
  <c r="K58" i="92"/>
  <c r="J58" i="92"/>
  <c r="I58" i="92"/>
  <c r="H58" i="92"/>
  <c r="AC57" i="92"/>
  <c r="AB57" i="92"/>
  <c r="Z57" i="92"/>
  <c r="Y57" i="92"/>
  <c r="W57" i="92"/>
  <c r="V57" i="92"/>
  <c r="T57" i="92"/>
  <c r="S57" i="92"/>
  <c r="L57" i="92"/>
  <c r="K57" i="92"/>
  <c r="J57" i="92"/>
  <c r="I57" i="92"/>
  <c r="H57" i="92"/>
  <c r="AC56" i="92"/>
  <c r="AB56" i="92"/>
  <c r="Z56" i="92"/>
  <c r="Y56" i="92"/>
  <c r="W56" i="92"/>
  <c r="V56" i="92"/>
  <c r="T56" i="92"/>
  <c r="S56" i="92"/>
  <c r="L56" i="92"/>
  <c r="K56" i="92"/>
  <c r="J56" i="92"/>
  <c r="I56" i="92"/>
  <c r="H56" i="92"/>
  <c r="AC55" i="92"/>
  <c r="AB55" i="92"/>
  <c r="Z55" i="92"/>
  <c r="Y55" i="92"/>
  <c r="W55" i="92"/>
  <c r="V55" i="92"/>
  <c r="T55" i="92"/>
  <c r="S55" i="92"/>
  <c r="L55" i="92"/>
  <c r="K55" i="92"/>
  <c r="J55" i="92"/>
  <c r="I55" i="92"/>
  <c r="H55" i="92"/>
  <c r="AC54" i="92"/>
  <c r="AB54" i="92"/>
  <c r="Z54" i="92"/>
  <c r="Y54" i="92"/>
  <c r="W54" i="92"/>
  <c r="V54" i="92"/>
  <c r="T54" i="92"/>
  <c r="S54" i="92"/>
  <c r="L54" i="92"/>
  <c r="K54" i="92"/>
  <c r="J54" i="92"/>
  <c r="I54" i="92"/>
  <c r="H54" i="92"/>
  <c r="AC53" i="92"/>
  <c r="AB53" i="92"/>
  <c r="Z53" i="92"/>
  <c r="Y53" i="92"/>
  <c r="W53" i="92"/>
  <c r="V53" i="92"/>
  <c r="T53" i="92"/>
  <c r="S53" i="92"/>
  <c r="L53" i="92"/>
  <c r="K53" i="92"/>
  <c r="J53" i="92"/>
  <c r="I53" i="92"/>
  <c r="H53" i="92"/>
  <c r="AC52" i="92"/>
  <c r="AB52" i="92"/>
  <c r="Z52" i="92"/>
  <c r="Y52" i="92"/>
  <c r="W52" i="92"/>
  <c r="V52" i="92"/>
  <c r="T52" i="92"/>
  <c r="S52" i="92"/>
  <c r="L52" i="92"/>
  <c r="K52" i="92"/>
  <c r="J52" i="92"/>
  <c r="I52" i="92"/>
  <c r="H52" i="92"/>
  <c r="AC51" i="92"/>
  <c r="AB51" i="92"/>
  <c r="Z51" i="92"/>
  <c r="Y51" i="92"/>
  <c r="W51" i="92"/>
  <c r="V51" i="92"/>
  <c r="T51" i="92"/>
  <c r="S51" i="92"/>
  <c r="L51" i="92"/>
  <c r="K51" i="92"/>
  <c r="J51" i="92"/>
  <c r="I51" i="92"/>
  <c r="H51" i="92"/>
  <c r="AC50" i="92"/>
  <c r="AB50" i="92"/>
  <c r="AB107" i="92" s="1"/>
  <c r="Z50" i="92"/>
  <c r="Y50" i="92"/>
  <c r="W50" i="92"/>
  <c r="V50" i="92"/>
  <c r="V107" i="92" s="1"/>
  <c r="T50" i="92"/>
  <c r="S50" i="92"/>
  <c r="L50" i="92"/>
  <c r="K50" i="92"/>
  <c r="K107" i="92" s="1"/>
  <c r="J50" i="92"/>
  <c r="I50" i="92"/>
  <c r="H50" i="92"/>
  <c r="O46" i="92"/>
  <c r="AC44" i="92"/>
  <c r="AB44" i="92"/>
  <c r="Z44" i="92"/>
  <c r="Y44" i="92"/>
  <c r="W44" i="92"/>
  <c r="V44" i="92"/>
  <c r="T44" i="92"/>
  <c r="S44" i="92"/>
  <c r="L44" i="92"/>
  <c r="K44" i="92"/>
  <c r="J44" i="92"/>
  <c r="I44" i="92"/>
  <c r="H44" i="92"/>
  <c r="AC43" i="92"/>
  <c r="AB43" i="92"/>
  <c r="Z43" i="92"/>
  <c r="Y43" i="92"/>
  <c r="W43" i="92"/>
  <c r="V43" i="92"/>
  <c r="T43" i="92"/>
  <c r="S43" i="92"/>
  <c r="L43" i="92"/>
  <c r="K43" i="92"/>
  <c r="J43" i="92"/>
  <c r="I43" i="92"/>
  <c r="H43" i="92"/>
  <c r="AC42" i="92"/>
  <c r="AB42" i="92"/>
  <c r="Z42" i="92"/>
  <c r="Y42" i="92"/>
  <c r="W42" i="92"/>
  <c r="V42" i="92"/>
  <c r="T42" i="92"/>
  <c r="S42" i="92"/>
  <c r="L42" i="92"/>
  <c r="K42" i="92"/>
  <c r="J42" i="92"/>
  <c r="I42" i="92"/>
  <c r="H42" i="92"/>
  <c r="AC41" i="92"/>
  <c r="AB41" i="92"/>
  <c r="Z41" i="92"/>
  <c r="Y41" i="92"/>
  <c r="W41" i="92"/>
  <c r="V41" i="92"/>
  <c r="T41" i="92"/>
  <c r="S41" i="92"/>
  <c r="L41" i="92"/>
  <c r="K41" i="92"/>
  <c r="J41" i="92"/>
  <c r="I41" i="92"/>
  <c r="H41" i="92"/>
  <c r="AC40" i="92"/>
  <c r="AB40" i="92"/>
  <c r="Z40" i="92"/>
  <c r="Y40" i="92"/>
  <c r="W40" i="92"/>
  <c r="V40" i="92"/>
  <c r="T40" i="92"/>
  <c r="S40" i="92"/>
  <c r="L40" i="92"/>
  <c r="K40" i="92"/>
  <c r="J40" i="92"/>
  <c r="I40" i="92"/>
  <c r="H40" i="92"/>
  <c r="AC39" i="92"/>
  <c r="AB39" i="92"/>
  <c r="Z39" i="92"/>
  <c r="Y39" i="92"/>
  <c r="W39" i="92"/>
  <c r="V39" i="92"/>
  <c r="T39" i="92"/>
  <c r="S39" i="92"/>
  <c r="L39" i="92"/>
  <c r="K39" i="92"/>
  <c r="J39" i="92"/>
  <c r="I39" i="92"/>
  <c r="H39" i="92"/>
  <c r="AC38" i="92"/>
  <c r="AB38" i="92"/>
  <c r="Z38" i="92"/>
  <c r="Y38" i="92"/>
  <c r="W38" i="92"/>
  <c r="V38" i="92"/>
  <c r="T38" i="92"/>
  <c r="S38" i="92"/>
  <c r="L38" i="92"/>
  <c r="K38" i="92"/>
  <c r="J38" i="92"/>
  <c r="I38" i="92"/>
  <c r="H38" i="92"/>
  <c r="AC37" i="92"/>
  <c r="AB37" i="92"/>
  <c r="Z37" i="92"/>
  <c r="Y37" i="92"/>
  <c r="W37" i="92"/>
  <c r="V37" i="92"/>
  <c r="T37" i="92"/>
  <c r="S37" i="92"/>
  <c r="L37" i="92"/>
  <c r="K37" i="92"/>
  <c r="J37" i="92"/>
  <c r="I37" i="92"/>
  <c r="H37" i="92"/>
  <c r="AC36" i="92"/>
  <c r="AB36" i="92"/>
  <c r="Z36" i="92"/>
  <c r="Y36" i="92"/>
  <c r="W36" i="92"/>
  <c r="V36" i="92"/>
  <c r="T36" i="92"/>
  <c r="S36" i="92"/>
  <c r="L36" i="92"/>
  <c r="K36" i="92"/>
  <c r="J36" i="92"/>
  <c r="I36" i="92"/>
  <c r="H36" i="92"/>
  <c r="AC35" i="92"/>
  <c r="AB35" i="92"/>
  <c r="Z35" i="92"/>
  <c r="Y35" i="92"/>
  <c r="W35" i="92"/>
  <c r="V35" i="92"/>
  <c r="T35" i="92"/>
  <c r="S35" i="92"/>
  <c r="L35" i="92"/>
  <c r="K35" i="92"/>
  <c r="J35" i="92"/>
  <c r="I35" i="92"/>
  <c r="H35" i="92"/>
  <c r="AC34" i="92"/>
  <c r="AB34" i="92"/>
  <c r="Z34" i="92"/>
  <c r="Y34" i="92"/>
  <c r="W34" i="92"/>
  <c r="V34" i="92"/>
  <c r="T34" i="92"/>
  <c r="S34" i="92"/>
  <c r="L34" i="92"/>
  <c r="K34" i="92"/>
  <c r="J34" i="92"/>
  <c r="I34" i="92"/>
  <c r="H34" i="92"/>
  <c r="AC33" i="92"/>
  <c r="AB33" i="92"/>
  <c r="Z33" i="92"/>
  <c r="Y33" i="92"/>
  <c r="W33" i="92"/>
  <c r="V33" i="92"/>
  <c r="T33" i="92"/>
  <c r="S33" i="92"/>
  <c r="L33" i="92"/>
  <c r="K33" i="92"/>
  <c r="J33" i="92"/>
  <c r="I33" i="92"/>
  <c r="H33" i="92"/>
  <c r="AC32" i="92"/>
  <c r="AB32" i="92"/>
  <c r="Z32" i="92"/>
  <c r="Y32" i="92"/>
  <c r="W32" i="92"/>
  <c r="V32" i="92"/>
  <c r="T32" i="92"/>
  <c r="S32" i="92"/>
  <c r="L32" i="92"/>
  <c r="K32" i="92"/>
  <c r="J32" i="92"/>
  <c r="I32" i="92"/>
  <c r="H32" i="92"/>
  <c r="AC31" i="92"/>
  <c r="AB31" i="92"/>
  <c r="Z31" i="92"/>
  <c r="Y31" i="92"/>
  <c r="W31" i="92"/>
  <c r="V31" i="92"/>
  <c r="T31" i="92"/>
  <c r="S31" i="92"/>
  <c r="L31" i="92"/>
  <c r="K31" i="92"/>
  <c r="J31" i="92"/>
  <c r="I31" i="92"/>
  <c r="H31" i="92"/>
  <c r="AC30" i="92"/>
  <c r="AB30" i="92"/>
  <c r="Z30" i="92"/>
  <c r="Y30" i="92"/>
  <c r="W30" i="92"/>
  <c r="V30" i="92"/>
  <c r="T30" i="92"/>
  <c r="S30" i="92"/>
  <c r="L30" i="92"/>
  <c r="K30" i="92"/>
  <c r="J30" i="92"/>
  <c r="I30" i="92"/>
  <c r="H30" i="92"/>
  <c r="AC29" i="92"/>
  <c r="AB29" i="92"/>
  <c r="Z29" i="92"/>
  <c r="Y29" i="92"/>
  <c r="W29" i="92"/>
  <c r="V29" i="92"/>
  <c r="T29" i="92"/>
  <c r="S29" i="92"/>
  <c r="L29" i="92"/>
  <c r="K29" i="92"/>
  <c r="J29" i="92"/>
  <c r="I29" i="92"/>
  <c r="H29" i="92"/>
  <c r="AC28" i="92"/>
  <c r="AB28" i="92"/>
  <c r="Z28" i="92"/>
  <c r="Y28" i="92"/>
  <c r="W28" i="92"/>
  <c r="V28" i="92"/>
  <c r="T28" i="92"/>
  <c r="S28" i="92"/>
  <c r="L28" i="92"/>
  <c r="K28" i="92"/>
  <c r="J28" i="92"/>
  <c r="I28" i="92"/>
  <c r="H28" i="92"/>
  <c r="AC27" i="92"/>
  <c r="AB27" i="92"/>
  <c r="Z27" i="92"/>
  <c r="Y27" i="92"/>
  <c r="W27" i="92"/>
  <c r="V27" i="92"/>
  <c r="T27" i="92"/>
  <c r="S27" i="92"/>
  <c r="L27" i="92"/>
  <c r="K27" i="92"/>
  <c r="J27" i="92"/>
  <c r="I27" i="92"/>
  <c r="H27" i="92"/>
  <c r="AC26" i="92"/>
  <c r="AB26" i="92"/>
  <c r="Z26" i="92"/>
  <c r="Y26" i="92"/>
  <c r="W26" i="92"/>
  <c r="V26" i="92"/>
  <c r="T26" i="92"/>
  <c r="S26" i="92"/>
  <c r="L26" i="92"/>
  <c r="K26" i="92"/>
  <c r="J26" i="92"/>
  <c r="I26" i="92"/>
  <c r="H26" i="92"/>
  <c r="AC25" i="92"/>
  <c r="AB25" i="92"/>
  <c r="Z25" i="92"/>
  <c r="Y25" i="92"/>
  <c r="W25" i="92"/>
  <c r="V25" i="92"/>
  <c r="T25" i="92"/>
  <c r="S25" i="92"/>
  <c r="L25" i="92"/>
  <c r="K25" i="92"/>
  <c r="J25" i="92"/>
  <c r="I25" i="92"/>
  <c r="H25" i="92"/>
  <c r="O21" i="92"/>
  <c r="AC19" i="92"/>
  <c r="AB19" i="92"/>
  <c r="Z19" i="92"/>
  <c r="Y19" i="92"/>
  <c r="W19" i="92"/>
  <c r="V19" i="92"/>
  <c r="T19" i="92"/>
  <c r="S19" i="92"/>
  <c r="L19" i="92"/>
  <c r="K19" i="92"/>
  <c r="J19" i="92"/>
  <c r="I19" i="92"/>
  <c r="H19" i="92"/>
  <c r="AC18" i="92"/>
  <c r="AB18" i="92"/>
  <c r="Z18" i="92"/>
  <c r="Y18" i="92"/>
  <c r="W18" i="92"/>
  <c r="V18" i="92"/>
  <c r="T18" i="92"/>
  <c r="S18" i="92"/>
  <c r="L18" i="92"/>
  <c r="K18" i="92"/>
  <c r="J18" i="92"/>
  <c r="I18" i="92"/>
  <c r="H18" i="92"/>
  <c r="AC17" i="92"/>
  <c r="AB17" i="92"/>
  <c r="Z17" i="92"/>
  <c r="Y17" i="92"/>
  <c r="W17" i="92"/>
  <c r="V17" i="92"/>
  <c r="T17" i="92"/>
  <c r="S17" i="92"/>
  <c r="L17" i="92"/>
  <c r="K17" i="92"/>
  <c r="J17" i="92"/>
  <c r="I17" i="92"/>
  <c r="H17" i="92"/>
  <c r="AC16" i="92"/>
  <c r="AB16" i="92"/>
  <c r="Z16" i="92"/>
  <c r="Y16" i="92"/>
  <c r="W16" i="92"/>
  <c r="V16" i="92"/>
  <c r="T16" i="92"/>
  <c r="S16" i="92"/>
  <c r="L16" i="92"/>
  <c r="K16" i="92"/>
  <c r="J16" i="92"/>
  <c r="I16" i="92"/>
  <c r="H16" i="92"/>
  <c r="AC15" i="92"/>
  <c r="AB15" i="92"/>
  <c r="Z15" i="92"/>
  <c r="Y15" i="92"/>
  <c r="W15" i="92"/>
  <c r="V15" i="92"/>
  <c r="T15" i="92"/>
  <c r="S15" i="92"/>
  <c r="L15" i="92"/>
  <c r="K15" i="92"/>
  <c r="J15" i="92"/>
  <c r="I15" i="92"/>
  <c r="H15" i="92"/>
  <c r="AC14" i="92"/>
  <c r="AB14" i="92"/>
  <c r="Z14" i="92"/>
  <c r="Y14" i="92"/>
  <c r="W14" i="92"/>
  <c r="V14" i="92"/>
  <c r="T14" i="92"/>
  <c r="S14" i="92"/>
  <c r="L14" i="92"/>
  <c r="K14" i="92"/>
  <c r="J14" i="92"/>
  <c r="I14" i="92"/>
  <c r="H14" i="92"/>
  <c r="AC13" i="92"/>
  <c r="AB13" i="92"/>
  <c r="Z13" i="92"/>
  <c r="Y13" i="92"/>
  <c r="W13" i="92"/>
  <c r="V13" i="92"/>
  <c r="T13" i="92"/>
  <c r="S13" i="92"/>
  <c r="L13" i="92"/>
  <c r="K13" i="92"/>
  <c r="J13" i="92"/>
  <c r="I13" i="92"/>
  <c r="H13" i="92"/>
  <c r="V9" i="92"/>
  <c r="O9" i="92"/>
  <c r="AC7" i="92"/>
  <c r="AC9" i="92" s="1"/>
  <c r="AB7" i="92"/>
  <c r="AB9" i="92" s="1"/>
  <c r="Z7" i="92"/>
  <c r="Y7" i="92"/>
  <c r="W7" i="92"/>
  <c r="W9" i="92" s="1"/>
  <c r="V7" i="92"/>
  <c r="T7" i="92"/>
  <c r="S7" i="92"/>
  <c r="L7" i="92"/>
  <c r="K7" i="92"/>
  <c r="J7" i="92"/>
  <c r="I7" i="92"/>
  <c r="H7" i="92"/>
  <c r="V60" i="91"/>
  <c r="U60" i="91"/>
  <c r="S60" i="91"/>
  <c r="R60" i="91"/>
  <c r="P60" i="91"/>
  <c r="O60" i="91"/>
  <c r="M60" i="91"/>
  <c r="L60" i="91"/>
  <c r="F60" i="91"/>
  <c r="E60" i="91"/>
  <c r="D60" i="91"/>
  <c r="C60" i="91"/>
  <c r="B60" i="91"/>
  <c r="G58" i="91"/>
  <c r="G57" i="91"/>
  <c r="G56" i="91"/>
  <c r="G55" i="91"/>
  <c r="G54" i="91"/>
  <c r="G53" i="91"/>
  <c r="G52" i="91"/>
  <c r="G51" i="91"/>
  <c r="G50" i="91"/>
  <c r="G49" i="91"/>
  <c r="G48" i="91"/>
  <c r="G47" i="91"/>
  <c r="G46" i="91"/>
  <c r="G45" i="91"/>
  <c r="G44" i="91"/>
  <c r="G43" i="91"/>
  <c r="G42" i="91"/>
  <c r="G41" i="91"/>
  <c r="G40" i="91"/>
  <c r="G39" i="91"/>
  <c r="G38" i="91"/>
  <c r="G37" i="91"/>
  <c r="G36" i="91"/>
  <c r="G35" i="91"/>
  <c r="G34" i="91"/>
  <c r="G33" i="91"/>
  <c r="G32" i="91"/>
  <c r="G31" i="91"/>
  <c r="G30" i="91"/>
  <c r="G29" i="91"/>
  <c r="G28" i="91"/>
  <c r="G27" i="91"/>
  <c r="J26" i="91"/>
  <c r="G26" i="91"/>
  <c r="G25" i="91"/>
  <c r="G24" i="91"/>
  <c r="G23" i="91"/>
  <c r="G22" i="91"/>
  <c r="G21" i="91"/>
  <c r="G20" i="91"/>
  <c r="G19" i="91"/>
  <c r="G18" i="91"/>
  <c r="G17" i="91"/>
  <c r="G16" i="91"/>
  <c r="G15" i="91"/>
  <c r="G14" i="91"/>
  <c r="G13" i="91"/>
  <c r="G12" i="91"/>
  <c r="G11" i="91"/>
  <c r="G10" i="91"/>
  <c r="G9" i="91"/>
  <c r="G8" i="91"/>
  <c r="G7" i="91"/>
  <c r="G6" i="91"/>
  <c r="G60" i="91" s="1"/>
  <c r="V60" i="90"/>
  <c r="U60" i="90"/>
  <c r="S60" i="90"/>
  <c r="R60" i="90"/>
  <c r="P60" i="90"/>
  <c r="O60" i="90"/>
  <c r="M60" i="90"/>
  <c r="L60" i="90"/>
  <c r="F60" i="90"/>
  <c r="E60" i="90"/>
  <c r="D60" i="90"/>
  <c r="C60" i="90"/>
  <c r="B60" i="90"/>
  <c r="G58" i="90"/>
  <c r="G57" i="90"/>
  <c r="G56" i="90"/>
  <c r="G55" i="90"/>
  <c r="G54" i="90"/>
  <c r="G53" i="90"/>
  <c r="G52" i="90"/>
  <c r="G51" i="90"/>
  <c r="G50" i="90"/>
  <c r="G49" i="90"/>
  <c r="G48" i="90"/>
  <c r="G47" i="90"/>
  <c r="G46" i="90"/>
  <c r="G45" i="90"/>
  <c r="G44" i="90"/>
  <c r="G43" i="90"/>
  <c r="G42" i="90"/>
  <c r="G41" i="90"/>
  <c r="G40" i="90"/>
  <c r="G39" i="90"/>
  <c r="G38" i="90"/>
  <c r="G37" i="90"/>
  <c r="G36" i="90"/>
  <c r="G35" i="90"/>
  <c r="G34" i="90"/>
  <c r="G33" i="90"/>
  <c r="G32" i="90"/>
  <c r="G31" i="90"/>
  <c r="G30" i="90"/>
  <c r="G29" i="90"/>
  <c r="G28" i="90"/>
  <c r="G27" i="90"/>
  <c r="J26" i="90"/>
  <c r="G26" i="90"/>
  <c r="G25" i="90"/>
  <c r="G24" i="90"/>
  <c r="G23" i="90"/>
  <c r="G22" i="90"/>
  <c r="G21" i="90"/>
  <c r="G20" i="90"/>
  <c r="G19" i="90"/>
  <c r="G18" i="90"/>
  <c r="G17" i="90"/>
  <c r="G16" i="90"/>
  <c r="G15" i="90"/>
  <c r="G14" i="90"/>
  <c r="G13" i="90"/>
  <c r="G12" i="90"/>
  <c r="G11" i="90"/>
  <c r="G10" i="90"/>
  <c r="G9" i="90"/>
  <c r="G8" i="90"/>
  <c r="J27" i="90" s="1"/>
  <c r="G7" i="90"/>
  <c r="G6" i="90"/>
  <c r="G60" i="90" s="1"/>
  <c r="V60" i="89"/>
  <c r="U60" i="89"/>
  <c r="S60" i="89"/>
  <c r="R60" i="89"/>
  <c r="P60" i="89"/>
  <c r="O60" i="89"/>
  <c r="M60" i="89"/>
  <c r="L60" i="89"/>
  <c r="F60" i="89"/>
  <c r="E60" i="89"/>
  <c r="D60" i="89"/>
  <c r="C60" i="89"/>
  <c r="B60" i="89"/>
  <c r="G58" i="89"/>
  <c r="G57" i="89"/>
  <c r="G56" i="89"/>
  <c r="G55" i="89"/>
  <c r="G54" i="89"/>
  <c r="G53" i="89"/>
  <c r="G52" i="89"/>
  <c r="G51" i="89"/>
  <c r="G50" i="89"/>
  <c r="G49" i="89"/>
  <c r="G48" i="89"/>
  <c r="G47" i="89"/>
  <c r="G46" i="89"/>
  <c r="G45" i="89"/>
  <c r="G44" i="89"/>
  <c r="G43" i="89"/>
  <c r="G42" i="89"/>
  <c r="G41" i="89"/>
  <c r="G40" i="89"/>
  <c r="G39" i="89"/>
  <c r="G38" i="89"/>
  <c r="G37" i="89"/>
  <c r="G36" i="89"/>
  <c r="G35" i="89"/>
  <c r="G34" i="89"/>
  <c r="G33" i="89"/>
  <c r="G32" i="89"/>
  <c r="G31" i="89"/>
  <c r="G30" i="89"/>
  <c r="G29" i="89"/>
  <c r="G28" i="89"/>
  <c r="G27" i="89"/>
  <c r="J26" i="89"/>
  <c r="G26" i="89"/>
  <c r="G25" i="89"/>
  <c r="G24" i="89"/>
  <c r="G23" i="89"/>
  <c r="G22" i="89"/>
  <c r="G21" i="89"/>
  <c r="G20" i="89"/>
  <c r="G19" i="89"/>
  <c r="G18" i="89"/>
  <c r="G17" i="89"/>
  <c r="G16" i="89"/>
  <c r="G15" i="89"/>
  <c r="G14" i="89"/>
  <c r="G13" i="89"/>
  <c r="G12" i="89"/>
  <c r="G11" i="89"/>
  <c r="G10" i="89"/>
  <c r="G9" i="89"/>
  <c r="J27" i="89" s="1"/>
  <c r="G8" i="89"/>
  <c r="G7" i="89"/>
  <c r="G6" i="89"/>
  <c r="G60" i="89" s="1"/>
  <c r="V60" i="88"/>
  <c r="U60" i="88"/>
  <c r="S60" i="88"/>
  <c r="R60" i="88"/>
  <c r="P60" i="88"/>
  <c r="O60" i="88"/>
  <c r="M60" i="88"/>
  <c r="L60" i="88"/>
  <c r="F60" i="88"/>
  <c r="E60" i="88"/>
  <c r="D60" i="88"/>
  <c r="C60" i="88"/>
  <c r="B60" i="88"/>
  <c r="G58" i="88"/>
  <c r="G57" i="88"/>
  <c r="G56" i="88"/>
  <c r="G55" i="88"/>
  <c r="G54" i="88"/>
  <c r="G53" i="88"/>
  <c r="G52" i="88"/>
  <c r="G51" i="88"/>
  <c r="G50" i="88"/>
  <c r="G49" i="88"/>
  <c r="G48" i="88"/>
  <c r="G47" i="88"/>
  <c r="G46" i="88"/>
  <c r="G45" i="88"/>
  <c r="G44" i="88"/>
  <c r="G43" i="88"/>
  <c r="G42" i="88"/>
  <c r="G41" i="88"/>
  <c r="G40" i="88"/>
  <c r="G39" i="88"/>
  <c r="G38" i="88"/>
  <c r="G37" i="88"/>
  <c r="G36" i="88"/>
  <c r="G35" i="88"/>
  <c r="G34" i="88"/>
  <c r="G33" i="88"/>
  <c r="G32" i="88"/>
  <c r="G31" i="88"/>
  <c r="G30" i="88"/>
  <c r="G29" i="88"/>
  <c r="G28" i="88"/>
  <c r="G27" i="88"/>
  <c r="J26" i="88"/>
  <c r="G26" i="88"/>
  <c r="G25" i="88"/>
  <c r="G24" i="88"/>
  <c r="G23" i="88"/>
  <c r="G22" i="88"/>
  <c r="G21" i="88"/>
  <c r="G20" i="88"/>
  <c r="G19" i="88"/>
  <c r="G18" i="88"/>
  <c r="G17" i="88"/>
  <c r="G16" i="88"/>
  <c r="G15" i="88"/>
  <c r="G14" i="88"/>
  <c r="G13" i="88"/>
  <c r="G12" i="88"/>
  <c r="G11" i="88"/>
  <c r="G10" i="88"/>
  <c r="G9" i="88"/>
  <c r="G8" i="88"/>
  <c r="G7" i="88"/>
  <c r="G6" i="88"/>
  <c r="J27" i="88" s="1"/>
  <c r="V60" i="87"/>
  <c r="U60" i="87"/>
  <c r="S60" i="87"/>
  <c r="R60" i="87"/>
  <c r="P60" i="87"/>
  <c r="O60" i="87"/>
  <c r="M60" i="87"/>
  <c r="L60" i="87"/>
  <c r="F60" i="87"/>
  <c r="E60" i="87"/>
  <c r="D60" i="87"/>
  <c r="C60" i="87"/>
  <c r="B60" i="87"/>
  <c r="G58" i="87"/>
  <c r="G57" i="87"/>
  <c r="G56" i="87"/>
  <c r="G55" i="87"/>
  <c r="G54" i="87"/>
  <c r="G53" i="87"/>
  <c r="G52" i="87"/>
  <c r="G51" i="87"/>
  <c r="G50" i="87"/>
  <c r="G49" i="87"/>
  <c r="G48" i="87"/>
  <c r="G47" i="87"/>
  <c r="G46" i="87"/>
  <c r="G45" i="87"/>
  <c r="G44" i="87"/>
  <c r="G43" i="87"/>
  <c r="G42" i="87"/>
  <c r="G41" i="87"/>
  <c r="G40" i="87"/>
  <c r="G39" i="87"/>
  <c r="G38" i="87"/>
  <c r="G37" i="87"/>
  <c r="G36" i="87"/>
  <c r="G35" i="87"/>
  <c r="G34" i="87"/>
  <c r="G33" i="87"/>
  <c r="G32" i="87"/>
  <c r="G31" i="87"/>
  <c r="G30" i="87"/>
  <c r="G29" i="87"/>
  <c r="G28" i="87"/>
  <c r="G27" i="87"/>
  <c r="J26" i="87"/>
  <c r="G26" i="87"/>
  <c r="G25" i="87"/>
  <c r="G24" i="87"/>
  <c r="G23" i="87"/>
  <c r="G22" i="87"/>
  <c r="G21" i="87"/>
  <c r="G20" i="87"/>
  <c r="G19" i="87"/>
  <c r="G18" i="87"/>
  <c r="G17" i="87"/>
  <c r="G16" i="87"/>
  <c r="G15" i="87"/>
  <c r="G14" i="87"/>
  <c r="G13" i="87"/>
  <c r="G12" i="87"/>
  <c r="G11" i="87"/>
  <c r="G10" i="87"/>
  <c r="G9" i="87"/>
  <c r="G8" i="87"/>
  <c r="G7" i="87"/>
  <c r="G6" i="87"/>
  <c r="G60" i="87" s="1"/>
  <c r="V60" i="86"/>
  <c r="U60" i="86"/>
  <c r="S60" i="86"/>
  <c r="R60" i="86"/>
  <c r="P60" i="86"/>
  <c r="O60" i="86"/>
  <c r="M60" i="86"/>
  <c r="L60" i="86"/>
  <c r="F60" i="86"/>
  <c r="E60" i="86"/>
  <c r="D60" i="86"/>
  <c r="C60" i="86"/>
  <c r="B60" i="86"/>
  <c r="G58" i="86"/>
  <c r="G57" i="86"/>
  <c r="G56" i="86"/>
  <c r="G55" i="86"/>
  <c r="G54" i="86"/>
  <c r="G53" i="86"/>
  <c r="G52" i="86"/>
  <c r="G51" i="86"/>
  <c r="G50" i="86"/>
  <c r="G49" i="86"/>
  <c r="G48" i="86"/>
  <c r="G47" i="86"/>
  <c r="G46" i="86"/>
  <c r="G45" i="86"/>
  <c r="G44" i="86"/>
  <c r="G43" i="86"/>
  <c r="G42" i="86"/>
  <c r="G41" i="86"/>
  <c r="G40" i="86"/>
  <c r="G39" i="86"/>
  <c r="G38" i="86"/>
  <c r="G37" i="86"/>
  <c r="G36" i="86"/>
  <c r="G35" i="86"/>
  <c r="G34" i="86"/>
  <c r="G33" i="86"/>
  <c r="G32" i="86"/>
  <c r="G31" i="86"/>
  <c r="G30" i="86"/>
  <c r="G29" i="86"/>
  <c r="G28" i="86"/>
  <c r="G27" i="86"/>
  <c r="J26" i="86"/>
  <c r="G26" i="86"/>
  <c r="G25" i="86"/>
  <c r="G24" i="86"/>
  <c r="G23" i="86"/>
  <c r="G22" i="86"/>
  <c r="G21" i="86"/>
  <c r="G20" i="86"/>
  <c r="G19" i="86"/>
  <c r="G18" i="86"/>
  <c r="G17" i="86"/>
  <c r="G16" i="86"/>
  <c r="G15" i="86"/>
  <c r="G14" i="86"/>
  <c r="G13" i="86"/>
  <c r="G12" i="86"/>
  <c r="G11" i="86"/>
  <c r="G10" i="86"/>
  <c r="G9" i="86"/>
  <c r="G8" i="86"/>
  <c r="J27" i="86" s="1"/>
  <c r="G7" i="86"/>
  <c r="G6" i="86"/>
  <c r="G60" i="86" s="1"/>
  <c r="V60" i="85"/>
  <c r="U60" i="85"/>
  <c r="S60" i="85"/>
  <c r="R60" i="85"/>
  <c r="P60" i="85"/>
  <c r="O60" i="85"/>
  <c r="M60" i="85"/>
  <c r="L60" i="85"/>
  <c r="F60" i="85"/>
  <c r="E60" i="85"/>
  <c r="D60" i="85"/>
  <c r="C60" i="85"/>
  <c r="B60" i="85"/>
  <c r="G58" i="85"/>
  <c r="G57" i="85"/>
  <c r="G56" i="85"/>
  <c r="G55" i="85"/>
  <c r="G54" i="85"/>
  <c r="G53" i="85"/>
  <c r="G52" i="85"/>
  <c r="G51" i="85"/>
  <c r="G50" i="85"/>
  <c r="G49" i="85"/>
  <c r="G48" i="85"/>
  <c r="G47" i="85"/>
  <c r="G46" i="85"/>
  <c r="G45" i="85"/>
  <c r="G44" i="85"/>
  <c r="G43" i="85"/>
  <c r="G42" i="85"/>
  <c r="G41" i="85"/>
  <c r="G40" i="85"/>
  <c r="G39" i="85"/>
  <c r="G38" i="85"/>
  <c r="G37" i="85"/>
  <c r="G36" i="85"/>
  <c r="G35" i="85"/>
  <c r="G34" i="85"/>
  <c r="G33" i="85"/>
  <c r="G32" i="85"/>
  <c r="G31" i="85"/>
  <c r="G30" i="85"/>
  <c r="G29" i="85"/>
  <c r="G28" i="85"/>
  <c r="G27" i="85"/>
  <c r="J26" i="85"/>
  <c r="G26" i="85"/>
  <c r="G25" i="85"/>
  <c r="G24" i="85"/>
  <c r="G23" i="85"/>
  <c r="G22" i="85"/>
  <c r="G21" i="85"/>
  <c r="G20" i="85"/>
  <c r="G19" i="85"/>
  <c r="G18" i="85"/>
  <c r="G17" i="85"/>
  <c r="G16" i="85"/>
  <c r="G15" i="85"/>
  <c r="G14" i="85"/>
  <c r="G13" i="85"/>
  <c r="G12" i="85"/>
  <c r="G11" i="85"/>
  <c r="G10" i="85"/>
  <c r="G9" i="85"/>
  <c r="J27" i="85" s="1"/>
  <c r="G8" i="85"/>
  <c r="G7" i="85"/>
  <c r="G6" i="85"/>
  <c r="G60" i="85" s="1"/>
  <c r="V60" i="84"/>
  <c r="U60" i="84"/>
  <c r="S60" i="84"/>
  <c r="R60" i="84"/>
  <c r="P60" i="84"/>
  <c r="O60" i="84"/>
  <c r="M60" i="84"/>
  <c r="L60" i="84"/>
  <c r="F60" i="84"/>
  <c r="E60" i="84"/>
  <c r="D60" i="84"/>
  <c r="C60" i="84"/>
  <c r="B60" i="84"/>
  <c r="G58" i="84"/>
  <c r="G57" i="84"/>
  <c r="G56" i="84"/>
  <c r="G55" i="84"/>
  <c r="G54" i="84"/>
  <c r="G53" i="84"/>
  <c r="G52" i="84"/>
  <c r="G51" i="84"/>
  <c r="G50" i="84"/>
  <c r="G49" i="84"/>
  <c r="G48" i="84"/>
  <c r="G47" i="84"/>
  <c r="G46" i="84"/>
  <c r="G45" i="84"/>
  <c r="G44" i="84"/>
  <c r="G43" i="84"/>
  <c r="G42" i="84"/>
  <c r="G41" i="84"/>
  <c r="G40" i="84"/>
  <c r="G39" i="84"/>
  <c r="G38" i="84"/>
  <c r="G37" i="84"/>
  <c r="G36" i="84"/>
  <c r="G35" i="84"/>
  <c r="G34" i="84"/>
  <c r="G33" i="84"/>
  <c r="G32" i="84"/>
  <c r="G31" i="84"/>
  <c r="G30" i="84"/>
  <c r="G29" i="84"/>
  <c r="G28" i="84"/>
  <c r="G27" i="84"/>
  <c r="J26" i="84"/>
  <c r="G26" i="84"/>
  <c r="G25" i="84"/>
  <c r="G24" i="84"/>
  <c r="G23" i="84"/>
  <c r="G22" i="84"/>
  <c r="G21" i="84"/>
  <c r="G20" i="84"/>
  <c r="G19" i="84"/>
  <c r="G18" i="84"/>
  <c r="G17" i="84"/>
  <c r="G16" i="84"/>
  <c r="G15" i="84"/>
  <c r="G14" i="84"/>
  <c r="G13" i="84"/>
  <c r="G12" i="84"/>
  <c r="G11" i="84"/>
  <c r="G10" i="84"/>
  <c r="G9" i="84"/>
  <c r="G8" i="84"/>
  <c r="G7" i="84"/>
  <c r="G6" i="84"/>
  <c r="J27" i="84" s="1"/>
  <c r="V60" i="83"/>
  <c r="U60" i="83"/>
  <c r="S60" i="83"/>
  <c r="R60" i="83"/>
  <c r="P60" i="83"/>
  <c r="O60" i="83"/>
  <c r="M60" i="83"/>
  <c r="L60" i="83"/>
  <c r="F60" i="83"/>
  <c r="E60" i="83"/>
  <c r="D60" i="83"/>
  <c r="C60" i="83"/>
  <c r="B60" i="83"/>
  <c r="G58" i="83"/>
  <c r="G57" i="83"/>
  <c r="G56" i="83"/>
  <c r="G55" i="83"/>
  <c r="G54" i="83"/>
  <c r="G53" i="83"/>
  <c r="G52" i="83"/>
  <c r="G51" i="83"/>
  <c r="G50" i="83"/>
  <c r="G49" i="83"/>
  <c r="G48" i="83"/>
  <c r="G47" i="83"/>
  <c r="G46" i="83"/>
  <c r="G45" i="83"/>
  <c r="G44" i="83"/>
  <c r="G43" i="83"/>
  <c r="G42" i="83"/>
  <c r="G41" i="83"/>
  <c r="G40" i="83"/>
  <c r="G39" i="83"/>
  <c r="G38" i="83"/>
  <c r="G37" i="83"/>
  <c r="G36" i="83"/>
  <c r="G35" i="83"/>
  <c r="G34" i="83"/>
  <c r="G33" i="83"/>
  <c r="G32" i="83"/>
  <c r="G31" i="83"/>
  <c r="G30" i="83"/>
  <c r="G29" i="83"/>
  <c r="G28" i="83"/>
  <c r="G27" i="83"/>
  <c r="J26" i="83"/>
  <c r="G26" i="83"/>
  <c r="G25" i="83"/>
  <c r="G24" i="83"/>
  <c r="G23" i="83"/>
  <c r="G22" i="83"/>
  <c r="G21" i="83"/>
  <c r="G20" i="83"/>
  <c r="G19" i="83"/>
  <c r="G18" i="83"/>
  <c r="G17" i="83"/>
  <c r="G16" i="83"/>
  <c r="G15" i="83"/>
  <c r="G14" i="83"/>
  <c r="G13" i="83"/>
  <c r="G12" i="83"/>
  <c r="G11" i="83"/>
  <c r="G10" i="83"/>
  <c r="G9" i="83"/>
  <c r="G8" i="83"/>
  <c r="G7" i="83"/>
  <c r="G6" i="83"/>
  <c r="G60" i="83" s="1"/>
  <c r="V60" i="82"/>
  <c r="U60" i="82"/>
  <c r="S60" i="82"/>
  <c r="R60" i="82"/>
  <c r="P60" i="82"/>
  <c r="O60" i="82"/>
  <c r="M60" i="82"/>
  <c r="L60" i="82"/>
  <c r="F60" i="82"/>
  <c r="E60" i="82"/>
  <c r="D60" i="82"/>
  <c r="C60" i="82"/>
  <c r="B60" i="82"/>
  <c r="G58" i="82"/>
  <c r="G57" i="82"/>
  <c r="G56" i="82"/>
  <c r="G55" i="82"/>
  <c r="G54" i="82"/>
  <c r="G53" i="82"/>
  <c r="G52" i="82"/>
  <c r="G51" i="82"/>
  <c r="G50" i="82"/>
  <c r="G49" i="82"/>
  <c r="G48" i="82"/>
  <c r="G47" i="82"/>
  <c r="G46" i="82"/>
  <c r="G45" i="82"/>
  <c r="G44" i="82"/>
  <c r="G43" i="82"/>
  <c r="G42" i="82"/>
  <c r="G41" i="82"/>
  <c r="G40" i="82"/>
  <c r="G39" i="82"/>
  <c r="G38" i="82"/>
  <c r="G37" i="82"/>
  <c r="G36" i="82"/>
  <c r="G35" i="82"/>
  <c r="G34" i="82"/>
  <c r="G33" i="82"/>
  <c r="G32" i="82"/>
  <c r="G31" i="82"/>
  <c r="G30" i="82"/>
  <c r="G29" i="82"/>
  <c r="G28" i="82"/>
  <c r="G27" i="82"/>
  <c r="J26" i="82"/>
  <c r="G26" i="82"/>
  <c r="G25" i="82"/>
  <c r="G24" i="82"/>
  <c r="G23" i="82"/>
  <c r="G22" i="82"/>
  <c r="G21" i="82"/>
  <c r="G20" i="82"/>
  <c r="G19" i="82"/>
  <c r="G18" i="82"/>
  <c r="G17" i="82"/>
  <c r="G16" i="82"/>
  <c r="G15" i="82"/>
  <c r="G14" i="82"/>
  <c r="G13" i="82"/>
  <c r="G12" i="82"/>
  <c r="G11" i="82"/>
  <c r="G10" i="82"/>
  <c r="G9" i="82"/>
  <c r="G8" i="82"/>
  <c r="J27" i="82" s="1"/>
  <c r="G7" i="82"/>
  <c r="G6" i="82"/>
  <c r="G60" i="82" s="1"/>
  <c r="V60" i="81"/>
  <c r="U60" i="81"/>
  <c r="S60" i="81"/>
  <c r="R60" i="81"/>
  <c r="P60" i="81"/>
  <c r="O60" i="81"/>
  <c r="M60" i="81"/>
  <c r="L60" i="81"/>
  <c r="F60" i="81"/>
  <c r="E60" i="81"/>
  <c r="D60" i="81"/>
  <c r="C60" i="81"/>
  <c r="B60" i="81"/>
  <c r="G58" i="81"/>
  <c r="G57" i="81"/>
  <c r="G56" i="81"/>
  <c r="G55" i="81"/>
  <c r="G54" i="81"/>
  <c r="G53" i="81"/>
  <c r="G52" i="81"/>
  <c r="G51" i="81"/>
  <c r="G50" i="81"/>
  <c r="G49" i="81"/>
  <c r="G48" i="81"/>
  <c r="G47" i="81"/>
  <c r="G46" i="81"/>
  <c r="G45" i="81"/>
  <c r="G44" i="81"/>
  <c r="G43" i="81"/>
  <c r="G42" i="81"/>
  <c r="G41" i="81"/>
  <c r="G40" i="81"/>
  <c r="G39" i="81"/>
  <c r="G38" i="81"/>
  <c r="G37" i="81"/>
  <c r="G36" i="81"/>
  <c r="G35" i="81"/>
  <c r="G34" i="81"/>
  <c r="G33" i="81"/>
  <c r="G32" i="81"/>
  <c r="G31" i="81"/>
  <c r="G30" i="81"/>
  <c r="G29" i="81"/>
  <c r="G28" i="81"/>
  <c r="G27" i="81"/>
  <c r="J26" i="81"/>
  <c r="G26" i="81"/>
  <c r="G25" i="81"/>
  <c r="G24" i="81"/>
  <c r="G23" i="81"/>
  <c r="G22" i="81"/>
  <c r="G21" i="81"/>
  <c r="G20" i="81"/>
  <c r="G19" i="81"/>
  <c r="G18" i="81"/>
  <c r="G17" i="81"/>
  <c r="G16" i="81"/>
  <c r="G15" i="81"/>
  <c r="G14" i="81"/>
  <c r="G13" i="81"/>
  <c r="G12" i="81"/>
  <c r="G11" i="81"/>
  <c r="G10" i="81"/>
  <c r="G9" i="81"/>
  <c r="J27" i="81" s="1"/>
  <c r="G8" i="81"/>
  <c r="G7" i="81"/>
  <c r="G6" i="81"/>
  <c r="G60" i="81" s="1"/>
  <c r="V60" i="80"/>
  <c r="U60" i="80"/>
  <c r="S60" i="80"/>
  <c r="R60" i="80"/>
  <c r="P60" i="80"/>
  <c r="O60" i="80"/>
  <c r="M60" i="80"/>
  <c r="L60" i="80"/>
  <c r="F60" i="80"/>
  <c r="E60" i="80"/>
  <c r="D60" i="80"/>
  <c r="C60" i="80"/>
  <c r="B60" i="80"/>
  <c r="G58" i="80"/>
  <c r="G57" i="80"/>
  <c r="G56" i="80"/>
  <c r="G55" i="80"/>
  <c r="G54" i="80"/>
  <c r="G53" i="80"/>
  <c r="G52" i="80"/>
  <c r="G51" i="80"/>
  <c r="G50" i="80"/>
  <c r="G49" i="80"/>
  <c r="G48" i="80"/>
  <c r="G47" i="80"/>
  <c r="G46" i="80"/>
  <c r="G45" i="80"/>
  <c r="G44" i="80"/>
  <c r="G43" i="80"/>
  <c r="G42" i="80"/>
  <c r="G41" i="80"/>
  <c r="G40" i="80"/>
  <c r="G39" i="80"/>
  <c r="G38" i="80"/>
  <c r="G37" i="80"/>
  <c r="G36" i="80"/>
  <c r="G35" i="80"/>
  <c r="G34" i="80"/>
  <c r="G33" i="80"/>
  <c r="G32" i="80"/>
  <c r="G31" i="80"/>
  <c r="G30" i="80"/>
  <c r="G29" i="80"/>
  <c r="G28" i="80"/>
  <c r="G27" i="80"/>
  <c r="J26" i="80"/>
  <c r="G26" i="80"/>
  <c r="G25" i="80"/>
  <c r="G24" i="80"/>
  <c r="G23" i="80"/>
  <c r="G22" i="80"/>
  <c r="G21" i="80"/>
  <c r="G20" i="80"/>
  <c r="G19" i="80"/>
  <c r="G18" i="80"/>
  <c r="G17" i="80"/>
  <c r="G16" i="80"/>
  <c r="G15" i="80"/>
  <c r="G14" i="80"/>
  <c r="G13" i="80"/>
  <c r="G12" i="80"/>
  <c r="G11" i="80"/>
  <c r="G10" i="80"/>
  <c r="G9" i="80"/>
  <c r="G8" i="80"/>
  <c r="G7" i="80"/>
  <c r="G6" i="80"/>
  <c r="J27" i="80" s="1"/>
  <c r="V60" i="79"/>
  <c r="U60" i="79"/>
  <c r="S60" i="79"/>
  <c r="R60" i="79"/>
  <c r="P60" i="79"/>
  <c r="O60" i="79"/>
  <c r="M60" i="79"/>
  <c r="L60" i="79"/>
  <c r="F60" i="79"/>
  <c r="E60" i="79"/>
  <c r="D60" i="79"/>
  <c r="C60" i="79"/>
  <c r="B60" i="79"/>
  <c r="G58" i="79"/>
  <c r="G57" i="79"/>
  <c r="G56" i="79"/>
  <c r="G55" i="79"/>
  <c r="G54" i="79"/>
  <c r="G53" i="79"/>
  <c r="G52" i="79"/>
  <c r="G51" i="79"/>
  <c r="G50" i="79"/>
  <c r="G49" i="79"/>
  <c r="G48" i="79"/>
  <c r="G47" i="79"/>
  <c r="G46" i="79"/>
  <c r="G45" i="79"/>
  <c r="G44" i="79"/>
  <c r="G43" i="79"/>
  <c r="G42" i="79"/>
  <c r="G41" i="79"/>
  <c r="G40" i="79"/>
  <c r="G39" i="79"/>
  <c r="G38" i="79"/>
  <c r="G37" i="79"/>
  <c r="G36" i="79"/>
  <c r="G35" i="79"/>
  <c r="G34" i="79"/>
  <c r="G33" i="79"/>
  <c r="G32" i="79"/>
  <c r="G31" i="79"/>
  <c r="G30" i="79"/>
  <c r="G29" i="79"/>
  <c r="G28" i="79"/>
  <c r="G27" i="79"/>
  <c r="J26" i="79"/>
  <c r="G26" i="79"/>
  <c r="G25" i="79"/>
  <c r="G24" i="79"/>
  <c r="G23" i="79"/>
  <c r="G22" i="79"/>
  <c r="G21" i="79"/>
  <c r="G20" i="79"/>
  <c r="G19" i="79"/>
  <c r="G18" i="79"/>
  <c r="G17" i="79"/>
  <c r="G16" i="79"/>
  <c r="G15" i="79"/>
  <c r="G14" i="79"/>
  <c r="G13" i="79"/>
  <c r="G12" i="79"/>
  <c r="G11" i="79"/>
  <c r="G10" i="79"/>
  <c r="G9" i="79"/>
  <c r="G8" i="79"/>
  <c r="G7" i="79"/>
  <c r="G6" i="79"/>
  <c r="G60" i="79" s="1"/>
  <c r="V60" i="78"/>
  <c r="U60" i="78"/>
  <c r="S60" i="78"/>
  <c r="R60" i="78"/>
  <c r="P60" i="78"/>
  <c r="O60" i="78"/>
  <c r="M60" i="78"/>
  <c r="L60" i="78"/>
  <c r="F60" i="78"/>
  <c r="E60" i="78"/>
  <c r="D60" i="78"/>
  <c r="C60" i="78"/>
  <c r="B60" i="78"/>
  <c r="G58" i="78"/>
  <c r="G57" i="78"/>
  <c r="G56" i="78"/>
  <c r="G55" i="78"/>
  <c r="G54" i="78"/>
  <c r="G53" i="78"/>
  <c r="G52" i="78"/>
  <c r="G51" i="78"/>
  <c r="G50" i="78"/>
  <c r="G49" i="78"/>
  <c r="G48" i="78"/>
  <c r="G47" i="78"/>
  <c r="G46" i="78"/>
  <c r="G45" i="78"/>
  <c r="G44" i="78"/>
  <c r="G43" i="78"/>
  <c r="G42" i="78"/>
  <c r="G41" i="78"/>
  <c r="G40" i="78"/>
  <c r="G39" i="78"/>
  <c r="G38" i="78"/>
  <c r="G37" i="78"/>
  <c r="G36" i="78"/>
  <c r="G35" i="78"/>
  <c r="G34" i="78"/>
  <c r="G33" i="78"/>
  <c r="G32" i="78"/>
  <c r="G31" i="78"/>
  <c r="G30" i="78"/>
  <c r="G29" i="78"/>
  <c r="G28" i="78"/>
  <c r="G27" i="78"/>
  <c r="J26" i="78"/>
  <c r="G26" i="78"/>
  <c r="G25" i="78"/>
  <c r="G24" i="78"/>
  <c r="G23" i="78"/>
  <c r="G22" i="78"/>
  <c r="G21" i="78"/>
  <c r="G20" i="78"/>
  <c r="G19" i="78"/>
  <c r="G18" i="78"/>
  <c r="G17" i="78"/>
  <c r="G16" i="78"/>
  <c r="G15" i="78"/>
  <c r="G14" i="78"/>
  <c r="G13" i="78"/>
  <c r="G12" i="78"/>
  <c r="G11" i="78"/>
  <c r="G10" i="78"/>
  <c r="G9" i="78"/>
  <c r="G8" i="78"/>
  <c r="J27" i="78" s="1"/>
  <c r="G7" i="78"/>
  <c r="G6" i="78"/>
  <c r="G60" i="78" s="1"/>
  <c r="V60" i="77"/>
  <c r="U60" i="77"/>
  <c r="S60" i="77"/>
  <c r="R60" i="77"/>
  <c r="P60" i="77"/>
  <c r="O60" i="77"/>
  <c r="M60" i="77"/>
  <c r="L60" i="77"/>
  <c r="F60" i="77"/>
  <c r="E60" i="77"/>
  <c r="D60" i="77"/>
  <c r="C60" i="77"/>
  <c r="B60" i="77"/>
  <c r="G58" i="77"/>
  <c r="G57" i="77"/>
  <c r="G56" i="77"/>
  <c r="G55" i="77"/>
  <c r="G54" i="77"/>
  <c r="G53" i="77"/>
  <c r="G52" i="77"/>
  <c r="G51" i="77"/>
  <c r="G50" i="77"/>
  <c r="G49" i="77"/>
  <c r="G48" i="77"/>
  <c r="G47" i="77"/>
  <c r="G46" i="77"/>
  <c r="G45" i="77"/>
  <c r="G44" i="77"/>
  <c r="G43" i="77"/>
  <c r="G42" i="77"/>
  <c r="G41" i="77"/>
  <c r="G40" i="77"/>
  <c r="G39" i="77"/>
  <c r="G38" i="77"/>
  <c r="G37" i="77"/>
  <c r="G36" i="77"/>
  <c r="G35" i="77"/>
  <c r="G34" i="77"/>
  <c r="G33" i="77"/>
  <c r="G32" i="77"/>
  <c r="G31" i="77"/>
  <c r="G30" i="77"/>
  <c r="G29" i="77"/>
  <c r="G28" i="77"/>
  <c r="G27" i="77"/>
  <c r="J26" i="77"/>
  <c r="G26" i="77"/>
  <c r="G25" i="77"/>
  <c r="G24" i="77"/>
  <c r="G23" i="77"/>
  <c r="G22" i="77"/>
  <c r="G21" i="77"/>
  <c r="G20" i="77"/>
  <c r="G19" i="77"/>
  <c r="G18" i="77"/>
  <c r="G17" i="77"/>
  <c r="G16" i="77"/>
  <c r="G15" i="77"/>
  <c r="G14" i="77"/>
  <c r="G13" i="77"/>
  <c r="G12" i="77"/>
  <c r="G11" i="77"/>
  <c r="G10" i="77"/>
  <c r="G9" i="77"/>
  <c r="J27" i="77" s="1"/>
  <c r="G8" i="77"/>
  <c r="G7" i="77"/>
  <c r="G6" i="77"/>
  <c r="G60" i="77" s="1"/>
  <c r="V60" i="76"/>
  <c r="U60" i="76"/>
  <c r="S60" i="76"/>
  <c r="R60" i="76"/>
  <c r="P60" i="76"/>
  <c r="O60" i="76"/>
  <c r="M60" i="76"/>
  <c r="L60" i="76"/>
  <c r="F60" i="76"/>
  <c r="E60" i="76"/>
  <c r="D60" i="76"/>
  <c r="C60" i="76"/>
  <c r="B60" i="76"/>
  <c r="G58" i="76"/>
  <c r="G57" i="76"/>
  <c r="G56" i="76"/>
  <c r="G55" i="76"/>
  <c r="G54" i="76"/>
  <c r="G53" i="76"/>
  <c r="G52" i="76"/>
  <c r="G51" i="76"/>
  <c r="G50" i="76"/>
  <c r="G49" i="76"/>
  <c r="G48" i="76"/>
  <c r="G47" i="76"/>
  <c r="G46" i="76"/>
  <c r="G45" i="76"/>
  <c r="G44" i="76"/>
  <c r="G43" i="76"/>
  <c r="G42" i="76"/>
  <c r="G41" i="76"/>
  <c r="G40" i="76"/>
  <c r="G39" i="76"/>
  <c r="G38" i="76"/>
  <c r="G37" i="76"/>
  <c r="G36" i="76"/>
  <c r="G35" i="76"/>
  <c r="G34" i="76"/>
  <c r="G33" i="76"/>
  <c r="G32" i="76"/>
  <c r="G31" i="76"/>
  <c r="G30" i="76"/>
  <c r="G29" i="76"/>
  <c r="G28" i="76"/>
  <c r="G27" i="76"/>
  <c r="J26" i="76"/>
  <c r="G26" i="76"/>
  <c r="G25" i="76"/>
  <c r="G24" i="76"/>
  <c r="G23" i="76"/>
  <c r="G22" i="76"/>
  <c r="G21" i="76"/>
  <c r="G20" i="76"/>
  <c r="G19" i="76"/>
  <c r="G18" i="76"/>
  <c r="G17" i="76"/>
  <c r="G16" i="76"/>
  <c r="G15" i="76"/>
  <c r="G14" i="76"/>
  <c r="G13" i="76"/>
  <c r="G12" i="76"/>
  <c r="G11" i="76"/>
  <c r="G10" i="76"/>
  <c r="G9" i="76"/>
  <c r="G8" i="76"/>
  <c r="G7" i="76"/>
  <c r="G6" i="76"/>
  <c r="J27" i="76" s="1"/>
  <c r="V60" i="75"/>
  <c r="U60" i="75"/>
  <c r="S60" i="75"/>
  <c r="R60" i="75"/>
  <c r="P60" i="75"/>
  <c r="O60" i="75"/>
  <c r="M60" i="75"/>
  <c r="L60" i="75"/>
  <c r="F60" i="75"/>
  <c r="E60" i="75"/>
  <c r="D60" i="75"/>
  <c r="C60" i="75"/>
  <c r="B60" i="75"/>
  <c r="G58" i="75"/>
  <c r="G57" i="75"/>
  <c r="G56" i="75"/>
  <c r="G55" i="75"/>
  <c r="G54" i="75"/>
  <c r="G53" i="75"/>
  <c r="G52" i="75"/>
  <c r="G51" i="75"/>
  <c r="G50" i="75"/>
  <c r="G49" i="75"/>
  <c r="G48" i="75"/>
  <c r="G47" i="75"/>
  <c r="G46" i="75"/>
  <c r="G45" i="75"/>
  <c r="G44" i="75"/>
  <c r="G43" i="75"/>
  <c r="G42" i="75"/>
  <c r="G41" i="75"/>
  <c r="G40" i="75"/>
  <c r="G39" i="75"/>
  <c r="G38" i="75"/>
  <c r="G37" i="75"/>
  <c r="G36" i="75"/>
  <c r="G35" i="75"/>
  <c r="G34" i="75"/>
  <c r="G33" i="75"/>
  <c r="G32" i="75"/>
  <c r="G31" i="75"/>
  <c r="G30" i="75"/>
  <c r="G29" i="75"/>
  <c r="G28" i="75"/>
  <c r="G27" i="75"/>
  <c r="J26" i="75"/>
  <c r="G26" i="75"/>
  <c r="G25" i="75"/>
  <c r="G24" i="75"/>
  <c r="G23" i="75"/>
  <c r="G22" i="75"/>
  <c r="G21" i="75"/>
  <c r="G20" i="75"/>
  <c r="G19" i="75"/>
  <c r="G18" i="75"/>
  <c r="G17" i="75"/>
  <c r="G16" i="75"/>
  <c r="G15" i="75"/>
  <c r="G14" i="75"/>
  <c r="G13" i="75"/>
  <c r="G12" i="75"/>
  <c r="G11" i="75"/>
  <c r="G10" i="75"/>
  <c r="G9" i="75"/>
  <c r="G8" i="75"/>
  <c r="G7" i="75"/>
  <c r="G6" i="75"/>
  <c r="G60" i="75" s="1"/>
  <c r="V60" i="74"/>
  <c r="U60" i="74"/>
  <c r="S60" i="74"/>
  <c r="R60" i="74"/>
  <c r="P60" i="74"/>
  <c r="O60" i="74"/>
  <c r="M60" i="74"/>
  <c r="L60" i="74"/>
  <c r="F60" i="74"/>
  <c r="E60" i="74"/>
  <c r="D60" i="74"/>
  <c r="C60" i="74"/>
  <c r="B60" i="74"/>
  <c r="G58" i="74"/>
  <c r="G57" i="74"/>
  <c r="G56" i="74"/>
  <c r="G55" i="74"/>
  <c r="G54" i="74"/>
  <c r="G53" i="74"/>
  <c r="G52" i="74"/>
  <c r="G51" i="74"/>
  <c r="G50" i="74"/>
  <c r="G49" i="74"/>
  <c r="G48" i="74"/>
  <c r="G47" i="74"/>
  <c r="G46" i="74"/>
  <c r="G45" i="74"/>
  <c r="G44" i="74"/>
  <c r="G43" i="74"/>
  <c r="G42" i="74"/>
  <c r="G41" i="74"/>
  <c r="G40" i="74"/>
  <c r="G39" i="74"/>
  <c r="G38" i="74"/>
  <c r="G37" i="74"/>
  <c r="G36" i="74"/>
  <c r="G35" i="74"/>
  <c r="G34" i="74"/>
  <c r="G33" i="74"/>
  <c r="G32" i="74"/>
  <c r="G31" i="74"/>
  <c r="G30" i="74"/>
  <c r="G29" i="74"/>
  <c r="G28" i="74"/>
  <c r="G27" i="74"/>
  <c r="J26" i="74"/>
  <c r="G26" i="74"/>
  <c r="G25" i="74"/>
  <c r="G24" i="74"/>
  <c r="G23" i="74"/>
  <c r="G22" i="74"/>
  <c r="G21" i="74"/>
  <c r="G20" i="74"/>
  <c r="G19" i="74"/>
  <c r="G18" i="74"/>
  <c r="G17" i="74"/>
  <c r="G16" i="74"/>
  <c r="G15" i="74"/>
  <c r="G14" i="74"/>
  <c r="G13" i="74"/>
  <c r="G12" i="74"/>
  <c r="G11" i="74"/>
  <c r="G10" i="74"/>
  <c r="G9" i="74"/>
  <c r="G8" i="74"/>
  <c r="J27" i="74" s="1"/>
  <c r="G7" i="74"/>
  <c r="G6" i="74"/>
  <c r="G60" i="74" s="1"/>
  <c r="V60" i="73"/>
  <c r="U60" i="73"/>
  <c r="S60" i="73"/>
  <c r="R60" i="73"/>
  <c r="P60" i="73"/>
  <c r="O60" i="73"/>
  <c r="M60" i="73"/>
  <c r="L60" i="73"/>
  <c r="F60" i="73"/>
  <c r="E60" i="73"/>
  <c r="D60" i="73"/>
  <c r="C60" i="73"/>
  <c r="B60" i="73"/>
  <c r="G58" i="73"/>
  <c r="G57" i="73"/>
  <c r="G56" i="73"/>
  <c r="G55" i="73"/>
  <c r="G54" i="73"/>
  <c r="G53" i="73"/>
  <c r="G52" i="73"/>
  <c r="G51" i="73"/>
  <c r="G50" i="73"/>
  <c r="G49" i="73"/>
  <c r="G48" i="73"/>
  <c r="G47" i="73"/>
  <c r="G46" i="73"/>
  <c r="G45" i="73"/>
  <c r="G44" i="73"/>
  <c r="G43" i="73"/>
  <c r="G42" i="73"/>
  <c r="G41" i="73"/>
  <c r="G40" i="73"/>
  <c r="G39" i="73"/>
  <c r="G38" i="73"/>
  <c r="G37" i="73"/>
  <c r="G36" i="73"/>
  <c r="G35" i="73"/>
  <c r="G34" i="73"/>
  <c r="G33" i="73"/>
  <c r="G32" i="73"/>
  <c r="G31" i="73"/>
  <c r="G30" i="73"/>
  <c r="G29" i="73"/>
  <c r="G28" i="73"/>
  <c r="G27" i="73"/>
  <c r="J26" i="73"/>
  <c r="G26" i="73"/>
  <c r="G25" i="73"/>
  <c r="G24" i="73"/>
  <c r="G23" i="73"/>
  <c r="G22" i="73"/>
  <c r="G21" i="73"/>
  <c r="G20" i="73"/>
  <c r="G19" i="73"/>
  <c r="G18" i="73"/>
  <c r="G17" i="73"/>
  <c r="G16" i="73"/>
  <c r="G15" i="73"/>
  <c r="G14" i="73"/>
  <c r="G13" i="73"/>
  <c r="G12" i="73"/>
  <c r="G11" i="73"/>
  <c r="G10" i="73"/>
  <c r="G9" i="73"/>
  <c r="J27" i="73" s="1"/>
  <c r="G8" i="73"/>
  <c r="G7" i="73"/>
  <c r="G6" i="73"/>
  <c r="G60" i="73" s="1"/>
  <c r="V60" i="72"/>
  <c r="U60" i="72"/>
  <c r="S60" i="72"/>
  <c r="R60" i="72"/>
  <c r="P60" i="72"/>
  <c r="O60" i="72"/>
  <c r="M60" i="72"/>
  <c r="L60" i="72"/>
  <c r="F60" i="72"/>
  <c r="E60" i="72"/>
  <c r="D60" i="72"/>
  <c r="C60" i="72"/>
  <c r="B60" i="72"/>
  <c r="G58" i="72"/>
  <c r="G57" i="72"/>
  <c r="G56" i="72"/>
  <c r="G55" i="72"/>
  <c r="G54" i="72"/>
  <c r="G53" i="72"/>
  <c r="G52" i="72"/>
  <c r="G51" i="72"/>
  <c r="G50" i="72"/>
  <c r="G49" i="72"/>
  <c r="G48" i="72"/>
  <c r="G47" i="72"/>
  <c r="G46" i="72"/>
  <c r="G45" i="72"/>
  <c r="G44" i="72"/>
  <c r="G43" i="72"/>
  <c r="G42" i="72"/>
  <c r="G41" i="72"/>
  <c r="G40" i="72"/>
  <c r="G39" i="72"/>
  <c r="G38" i="72"/>
  <c r="G37" i="72"/>
  <c r="G36" i="72"/>
  <c r="G35" i="72"/>
  <c r="G34" i="72"/>
  <c r="G33" i="72"/>
  <c r="G32" i="72"/>
  <c r="G31" i="72"/>
  <c r="G30" i="72"/>
  <c r="G29" i="72"/>
  <c r="G28" i="72"/>
  <c r="G27" i="72"/>
  <c r="J26" i="72"/>
  <c r="G26" i="72"/>
  <c r="G25" i="72"/>
  <c r="G24" i="72"/>
  <c r="G23" i="72"/>
  <c r="G22" i="72"/>
  <c r="G21" i="72"/>
  <c r="G20" i="72"/>
  <c r="G19" i="72"/>
  <c r="G18" i="72"/>
  <c r="G17" i="72"/>
  <c r="G16" i="72"/>
  <c r="G15" i="72"/>
  <c r="G14" i="72"/>
  <c r="G13" i="72"/>
  <c r="G12" i="72"/>
  <c r="G11" i="72"/>
  <c r="G10" i="72"/>
  <c r="G9" i="72"/>
  <c r="G8" i="72"/>
  <c r="G7" i="72"/>
  <c r="G6" i="72"/>
  <c r="J27" i="72" s="1"/>
  <c r="V60" i="71"/>
  <c r="U60" i="71"/>
  <c r="S60" i="71"/>
  <c r="R60" i="71"/>
  <c r="P60" i="71"/>
  <c r="O60" i="71"/>
  <c r="M60" i="71"/>
  <c r="L60" i="71"/>
  <c r="F60" i="71"/>
  <c r="E60" i="71"/>
  <c r="D60" i="71"/>
  <c r="C60" i="71"/>
  <c r="B60" i="71"/>
  <c r="G58" i="71"/>
  <c r="G57" i="71"/>
  <c r="G56" i="71"/>
  <c r="G55" i="71"/>
  <c r="G54" i="71"/>
  <c r="G53" i="71"/>
  <c r="G52" i="71"/>
  <c r="G51" i="71"/>
  <c r="G50" i="71"/>
  <c r="G49" i="71"/>
  <c r="G48" i="71"/>
  <c r="G47" i="71"/>
  <c r="G46" i="71"/>
  <c r="G45" i="71"/>
  <c r="G44" i="71"/>
  <c r="G43" i="71"/>
  <c r="G42" i="71"/>
  <c r="G41" i="71"/>
  <c r="G40" i="71"/>
  <c r="G39" i="71"/>
  <c r="G38" i="71"/>
  <c r="G37" i="71"/>
  <c r="G36" i="71"/>
  <c r="G35" i="71"/>
  <c r="G34" i="71"/>
  <c r="G33" i="71"/>
  <c r="G32" i="71"/>
  <c r="G31" i="71"/>
  <c r="G30" i="71"/>
  <c r="G29" i="71"/>
  <c r="G28" i="71"/>
  <c r="G27" i="71"/>
  <c r="J26" i="71"/>
  <c r="G26" i="71"/>
  <c r="G25" i="71"/>
  <c r="G24" i="71"/>
  <c r="G23" i="71"/>
  <c r="G22" i="71"/>
  <c r="G21" i="71"/>
  <c r="G20" i="71"/>
  <c r="G19" i="71"/>
  <c r="G18" i="71"/>
  <c r="G17" i="71"/>
  <c r="G16" i="71"/>
  <c r="G15" i="71"/>
  <c r="G14" i="71"/>
  <c r="G13" i="71"/>
  <c r="G12" i="71"/>
  <c r="G11" i="71"/>
  <c r="G10" i="71"/>
  <c r="G9" i="71"/>
  <c r="G8" i="71"/>
  <c r="G7" i="71"/>
  <c r="G6" i="71"/>
  <c r="G60" i="71" s="1"/>
  <c r="V60" i="70"/>
  <c r="U60" i="70"/>
  <c r="S60" i="70"/>
  <c r="R60" i="70"/>
  <c r="P60" i="70"/>
  <c r="O60" i="70"/>
  <c r="M60" i="70"/>
  <c r="L60" i="70"/>
  <c r="F60" i="70"/>
  <c r="E60" i="70"/>
  <c r="D60" i="70"/>
  <c r="C60" i="70"/>
  <c r="B60" i="70"/>
  <c r="G58" i="70"/>
  <c r="G57" i="70"/>
  <c r="G56" i="70"/>
  <c r="G55" i="70"/>
  <c r="G54" i="70"/>
  <c r="G53" i="70"/>
  <c r="G52" i="70"/>
  <c r="G51" i="70"/>
  <c r="G50" i="70"/>
  <c r="G49" i="70"/>
  <c r="G48" i="70"/>
  <c r="G47" i="70"/>
  <c r="G46" i="70"/>
  <c r="G45" i="70"/>
  <c r="G44" i="70"/>
  <c r="G43" i="70"/>
  <c r="G42" i="70"/>
  <c r="G41" i="70"/>
  <c r="G40" i="70"/>
  <c r="G39" i="70"/>
  <c r="G38" i="70"/>
  <c r="G37" i="70"/>
  <c r="G36" i="70"/>
  <c r="G35" i="70"/>
  <c r="G34" i="70"/>
  <c r="G33" i="70"/>
  <c r="G32" i="70"/>
  <c r="G31" i="70"/>
  <c r="G30" i="70"/>
  <c r="G29" i="70"/>
  <c r="G28" i="70"/>
  <c r="G27" i="70"/>
  <c r="J26" i="70"/>
  <c r="G26" i="70"/>
  <c r="G25" i="70"/>
  <c r="G24" i="70"/>
  <c r="G23" i="70"/>
  <c r="G22" i="70"/>
  <c r="G21" i="70"/>
  <c r="G20" i="70"/>
  <c r="G19" i="70"/>
  <c r="G18" i="70"/>
  <c r="G17" i="70"/>
  <c r="G16" i="70"/>
  <c r="G15" i="70"/>
  <c r="G14" i="70"/>
  <c r="G13" i="70"/>
  <c r="G12" i="70"/>
  <c r="G11" i="70"/>
  <c r="G10" i="70"/>
  <c r="G9" i="70"/>
  <c r="G8" i="70"/>
  <c r="J27" i="70" s="1"/>
  <c r="G7" i="70"/>
  <c r="G6" i="70"/>
  <c r="G60" i="70" s="1"/>
  <c r="V60" i="69"/>
  <c r="U60" i="69"/>
  <c r="S60" i="69"/>
  <c r="R60" i="69"/>
  <c r="P60" i="69"/>
  <c r="O60" i="69"/>
  <c r="M60" i="69"/>
  <c r="L60" i="69"/>
  <c r="F60" i="69"/>
  <c r="E60" i="69"/>
  <c r="D60" i="69"/>
  <c r="C60" i="69"/>
  <c r="B60" i="69"/>
  <c r="G58" i="69"/>
  <c r="G57" i="69"/>
  <c r="G56" i="69"/>
  <c r="G55" i="69"/>
  <c r="G54" i="69"/>
  <c r="G53" i="69"/>
  <c r="G52" i="69"/>
  <c r="G51" i="69"/>
  <c r="G50" i="69"/>
  <c r="G49" i="69"/>
  <c r="G48" i="69"/>
  <c r="G47" i="69"/>
  <c r="G46" i="69"/>
  <c r="G45" i="69"/>
  <c r="G44" i="69"/>
  <c r="G43" i="69"/>
  <c r="G42" i="69"/>
  <c r="G41" i="69"/>
  <c r="G40" i="69"/>
  <c r="G39" i="69"/>
  <c r="G38" i="69"/>
  <c r="G37" i="69"/>
  <c r="G36" i="69"/>
  <c r="G35" i="69"/>
  <c r="G34" i="69"/>
  <c r="G33" i="69"/>
  <c r="G32" i="69"/>
  <c r="G31" i="69"/>
  <c r="G30" i="69"/>
  <c r="G29" i="69"/>
  <c r="G28" i="69"/>
  <c r="G27" i="69"/>
  <c r="J26" i="69"/>
  <c r="G26" i="69"/>
  <c r="G25" i="69"/>
  <c r="G24" i="69"/>
  <c r="G23" i="69"/>
  <c r="G22" i="69"/>
  <c r="G21" i="69"/>
  <c r="G20" i="69"/>
  <c r="G19" i="69"/>
  <c r="G18" i="69"/>
  <c r="G17" i="69"/>
  <c r="G16" i="69"/>
  <c r="G15" i="69"/>
  <c r="G14" i="69"/>
  <c r="G13" i="69"/>
  <c r="G12" i="69"/>
  <c r="G11" i="69"/>
  <c r="G10" i="69"/>
  <c r="G9" i="69"/>
  <c r="J27" i="69" s="1"/>
  <c r="G8" i="69"/>
  <c r="G7" i="69"/>
  <c r="G6" i="69"/>
  <c r="G60" i="69" s="1"/>
  <c r="V60" i="68"/>
  <c r="U60" i="68"/>
  <c r="S60" i="68"/>
  <c r="R60" i="68"/>
  <c r="P60" i="68"/>
  <c r="O60" i="68"/>
  <c r="M60" i="68"/>
  <c r="L60" i="68"/>
  <c r="F60" i="68"/>
  <c r="E60" i="68"/>
  <c r="D60" i="68"/>
  <c r="C60" i="68"/>
  <c r="B60" i="68"/>
  <c r="G58" i="68"/>
  <c r="G57" i="68"/>
  <c r="G56" i="68"/>
  <c r="G55" i="68"/>
  <c r="G54" i="68"/>
  <c r="G53" i="68"/>
  <c r="G52" i="68"/>
  <c r="G51" i="68"/>
  <c r="G50" i="68"/>
  <c r="G49" i="68"/>
  <c r="G48" i="68"/>
  <c r="G47" i="68"/>
  <c r="G46" i="68"/>
  <c r="G45" i="68"/>
  <c r="G44" i="68"/>
  <c r="G43" i="68"/>
  <c r="G42" i="68"/>
  <c r="G41" i="68"/>
  <c r="G40" i="68"/>
  <c r="G39" i="68"/>
  <c r="G38" i="68"/>
  <c r="G37" i="68"/>
  <c r="G36" i="68"/>
  <c r="G35" i="68"/>
  <c r="G34" i="68"/>
  <c r="G33" i="68"/>
  <c r="G32" i="68"/>
  <c r="G31" i="68"/>
  <c r="G30" i="68"/>
  <c r="G29" i="68"/>
  <c r="G28" i="68"/>
  <c r="G27" i="68"/>
  <c r="J26" i="68"/>
  <c r="G26" i="68"/>
  <c r="G25" i="68"/>
  <c r="G24" i="68"/>
  <c r="G23" i="68"/>
  <c r="G22" i="68"/>
  <c r="G21" i="68"/>
  <c r="G20" i="68"/>
  <c r="G19" i="68"/>
  <c r="G18" i="68"/>
  <c r="G17" i="68"/>
  <c r="G16" i="68"/>
  <c r="G15" i="68"/>
  <c r="G14" i="68"/>
  <c r="G13" i="68"/>
  <c r="G12" i="68"/>
  <c r="G11" i="68"/>
  <c r="G10" i="68"/>
  <c r="G9" i="68"/>
  <c r="G8" i="68"/>
  <c r="G7" i="68"/>
  <c r="G6" i="68"/>
  <c r="J27" i="68" s="1"/>
  <c r="V60" i="67"/>
  <c r="U60" i="67"/>
  <c r="S60" i="67"/>
  <c r="R60" i="67"/>
  <c r="P60" i="67"/>
  <c r="O60" i="67"/>
  <c r="M60" i="67"/>
  <c r="L60" i="67"/>
  <c r="F60" i="67"/>
  <c r="E60" i="67"/>
  <c r="D60" i="67"/>
  <c r="C60" i="67"/>
  <c r="B60" i="67"/>
  <c r="G58" i="67"/>
  <c r="G57" i="67"/>
  <c r="G56" i="67"/>
  <c r="G55" i="67"/>
  <c r="G54" i="67"/>
  <c r="G53" i="67"/>
  <c r="G52" i="67"/>
  <c r="G51" i="67"/>
  <c r="G50" i="67"/>
  <c r="G49" i="67"/>
  <c r="G48" i="67"/>
  <c r="G47" i="67"/>
  <c r="G46" i="67"/>
  <c r="G45" i="67"/>
  <c r="G44" i="67"/>
  <c r="G43" i="67"/>
  <c r="G42" i="67"/>
  <c r="G41" i="67"/>
  <c r="G40" i="67"/>
  <c r="G39" i="67"/>
  <c r="G38" i="67"/>
  <c r="G37" i="67"/>
  <c r="G36" i="67"/>
  <c r="G35" i="67"/>
  <c r="G34" i="67"/>
  <c r="G33" i="67"/>
  <c r="G32" i="67"/>
  <c r="G31" i="67"/>
  <c r="G30" i="67"/>
  <c r="G29" i="67"/>
  <c r="G28" i="67"/>
  <c r="G27" i="67"/>
  <c r="J26" i="67"/>
  <c r="G26" i="67"/>
  <c r="G25" i="67"/>
  <c r="G24" i="67"/>
  <c r="G23" i="67"/>
  <c r="G22" i="67"/>
  <c r="G21" i="67"/>
  <c r="G20" i="67"/>
  <c r="G19" i="67"/>
  <c r="G18" i="67"/>
  <c r="G17" i="67"/>
  <c r="G16" i="67"/>
  <c r="G15" i="67"/>
  <c r="G14" i="67"/>
  <c r="G13" i="67"/>
  <c r="G12" i="67"/>
  <c r="G11" i="67"/>
  <c r="G10" i="67"/>
  <c r="G9" i="67"/>
  <c r="G8" i="67"/>
  <c r="G7" i="67"/>
  <c r="G6" i="67"/>
  <c r="G60" i="67" s="1"/>
  <c r="V60" i="66"/>
  <c r="U60" i="66"/>
  <c r="S60" i="66"/>
  <c r="R60" i="66"/>
  <c r="P60" i="66"/>
  <c r="O60" i="66"/>
  <c r="M60" i="66"/>
  <c r="L60" i="66"/>
  <c r="F60" i="66"/>
  <c r="E60" i="66"/>
  <c r="D60" i="66"/>
  <c r="C60" i="66"/>
  <c r="B60" i="66"/>
  <c r="G58" i="66"/>
  <c r="G57" i="66"/>
  <c r="G56" i="66"/>
  <c r="G55" i="66"/>
  <c r="G54" i="66"/>
  <c r="G53" i="66"/>
  <c r="G52" i="66"/>
  <c r="G51" i="66"/>
  <c r="G50" i="66"/>
  <c r="G49" i="66"/>
  <c r="G48" i="66"/>
  <c r="G47" i="66"/>
  <c r="G46" i="66"/>
  <c r="G45" i="66"/>
  <c r="G44" i="66"/>
  <c r="G43" i="66"/>
  <c r="G42" i="66"/>
  <c r="G41" i="66"/>
  <c r="G40" i="66"/>
  <c r="G39" i="66"/>
  <c r="G38" i="66"/>
  <c r="G37" i="66"/>
  <c r="G36" i="66"/>
  <c r="G35" i="66"/>
  <c r="G34" i="66"/>
  <c r="G33" i="66"/>
  <c r="G32" i="66"/>
  <c r="G31" i="66"/>
  <c r="G30" i="66"/>
  <c r="G29" i="66"/>
  <c r="G28" i="66"/>
  <c r="G27" i="66"/>
  <c r="J26" i="66"/>
  <c r="G26" i="66"/>
  <c r="G25" i="66"/>
  <c r="G24" i="66"/>
  <c r="G23" i="66"/>
  <c r="G22" i="66"/>
  <c r="G21" i="66"/>
  <c r="G20" i="66"/>
  <c r="G19" i="66"/>
  <c r="G18" i="66"/>
  <c r="G17" i="66"/>
  <c r="G16" i="66"/>
  <c r="G15" i="66"/>
  <c r="G14" i="66"/>
  <c r="G13" i="66"/>
  <c r="G12" i="66"/>
  <c r="G11" i="66"/>
  <c r="G10" i="66"/>
  <c r="G9" i="66"/>
  <c r="G8" i="66"/>
  <c r="J27" i="66" s="1"/>
  <c r="G7" i="66"/>
  <c r="G6" i="66"/>
  <c r="G60" i="66" s="1"/>
  <c r="V60" i="65"/>
  <c r="U60" i="65"/>
  <c r="S60" i="65"/>
  <c r="R60" i="65"/>
  <c r="P60" i="65"/>
  <c r="O60" i="65"/>
  <c r="M60" i="65"/>
  <c r="L60" i="65"/>
  <c r="F60" i="65"/>
  <c r="E60" i="65"/>
  <c r="D60" i="65"/>
  <c r="C60" i="65"/>
  <c r="B60" i="65"/>
  <c r="G58" i="65"/>
  <c r="G57" i="65"/>
  <c r="G56" i="65"/>
  <c r="G55" i="65"/>
  <c r="G54" i="65"/>
  <c r="G53" i="65"/>
  <c r="G52" i="65"/>
  <c r="G51" i="65"/>
  <c r="G50" i="65"/>
  <c r="G49" i="65"/>
  <c r="G48" i="65"/>
  <c r="G47" i="65"/>
  <c r="G46" i="65"/>
  <c r="G45" i="65"/>
  <c r="G44" i="65"/>
  <c r="G43" i="65"/>
  <c r="G42" i="65"/>
  <c r="G41" i="65"/>
  <c r="G40" i="65"/>
  <c r="G39" i="65"/>
  <c r="G38" i="65"/>
  <c r="G37" i="65"/>
  <c r="G36" i="65"/>
  <c r="G35" i="65"/>
  <c r="G34" i="65"/>
  <c r="G33" i="65"/>
  <c r="G32" i="65"/>
  <c r="G31" i="65"/>
  <c r="G30" i="65"/>
  <c r="G29" i="65"/>
  <c r="G28" i="65"/>
  <c r="G27" i="65"/>
  <c r="J26" i="65"/>
  <c r="G26" i="65"/>
  <c r="G25" i="65"/>
  <c r="G24" i="65"/>
  <c r="G23" i="65"/>
  <c r="G22" i="65"/>
  <c r="G21" i="65"/>
  <c r="G20" i="65"/>
  <c r="G19" i="65"/>
  <c r="G18" i="65"/>
  <c r="G17" i="65"/>
  <c r="G16" i="65"/>
  <c r="G15" i="65"/>
  <c r="G14" i="65"/>
  <c r="G13" i="65"/>
  <c r="G12" i="65"/>
  <c r="G11" i="65"/>
  <c r="G10" i="65"/>
  <c r="G9" i="65"/>
  <c r="G8" i="65"/>
  <c r="G7" i="65"/>
  <c r="G6" i="65"/>
  <c r="G60" i="65" s="1"/>
  <c r="V60" i="64"/>
  <c r="U60" i="64"/>
  <c r="S60" i="64"/>
  <c r="R60" i="64"/>
  <c r="P60" i="64"/>
  <c r="O60" i="64"/>
  <c r="M60" i="64"/>
  <c r="L60" i="64"/>
  <c r="F60" i="64"/>
  <c r="E60" i="64"/>
  <c r="D60" i="64"/>
  <c r="C60" i="64"/>
  <c r="B60" i="64"/>
  <c r="G58" i="64"/>
  <c r="G57" i="64"/>
  <c r="G56" i="64"/>
  <c r="G55" i="64"/>
  <c r="G54" i="64"/>
  <c r="G53" i="64"/>
  <c r="G52" i="64"/>
  <c r="G51" i="64"/>
  <c r="G50" i="64"/>
  <c r="G49" i="64"/>
  <c r="G48" i="64"/>
  <c r="G47" i="64"/>
  <c r="G46" i="64"/>
  <c r="G45" i="64"/>
  <c r="G44" i="64"/>
  <c r="G43" i="64"/>
  <c r="G42" i="64"/>
  <c r="G41" i="64"/>
  <c r="G40" i="64"/>
  <c r="G39" i="64"/>
  <c r="G38" i="64"/>
  <c r="G37" i="64"/>
  <c r="G36" i="64"/>
  <c r="G35" i="64"/>
  <c r="G34" i="64"/>
  <c r="G33" i="64"/>
  <c r="G32" i="64"/>
  <c r="G31" i="64"/>
  <c r="G30" i="64"/>
  <c r="G29" i="64"/>
  <c r="G28" i="64"/>
  <c r="G27" i="64"/>
  <c r="J26" i="64"/>
  <c r="G26" i="64"/>
  <c r="G25" i="64"/>
  <c r="G24" i="64"/>
  <c r="G23" i="64"/>
  <c r="G22" i="64"/>
  <c r="G21" i="64"/>
  <c r="G20" i="64"/>
  <c r="G19" i="64"/>
  <c r="G18" i="64"/>
  <c r="G17" i="64"/>
  <c r="G16" i="64"/>
  <c r="G15" i="64"/>
  <c r="G14" i="64"/>
  <c r="G13" i="64"/>
  <c r="G12" i="64"/>
  <c r="G11" i="64"/>
  <c r="G10" i="64"/>
  <c r="G9" i="64"/>
  <c r="G8" i="64"/>
  <c r="G7" i="64"/>
  <c r="G6" i="64"/>
  <c r="J27" i="64" s="1"/>
  <c r="V60" i="63"/>
  <c r="U60" i="63"/>
  <c r="S60" i="63"/>
  <c r="R60" i="63"/>
  <c r="P60" i="63"/>
  <c r="O60" i="63"/>
  <c r="M60" i="63"/>
  <c r="L60" i="63"/>
  <c r="F60" i="63"/>
  <c r="E60" i="63"/>
  <c r="D60" i="63"/>
  <c r="C60" i="63"/>
  <c r="B60" i="63"/>
  <c r="G58" i="63"/>
  <c r="G57" i="63"/>
  <c r="G56" i="63"/>
  <c r="G55" i="63"/>
  <c r="G54" i="63"/>
  <c r="G53" i="63"/>
  <c r="G52" i="63"/>
  <c r="G51" i="63"/>
  <c r="G50" i="63"/>
  <c r="G49" i="63"/>
  <c r="G48" i="63"/>
  <c r="G47" i="63"/>
  <c r="G46" i="63"/>
  <c r="G45" i="63"/>
  <c r="G44" i="63"/>
  <c r="G43" i="63"/>
  <c r="G42" i="63"/>
  <c r="G41" i="63"/>
  <c r="G40" i="63"/>
  <c r="G39" i="63"/>
  <c r="G38" i="63"/>
  <c r="G37" i="63"/>
  <c r="G36" i="63"/>
  <c r="G35" i="63"/>
  <c r="G34" i="63"/>
  <c r="G33" i="63"/>
  <c r="G32" i="63"/>
  <c r="G31" i="63"/>
  <c r="G30" i="63"/>
  <c r="G29" i="63"/>
  <c r="G28" i="63"/>
  <c r="G27" i="63"/>
  <c r="J26" i="63"/>
  <c r="G26" i="63"/>
  <c r="G25" i="63"/>
  <c r="G24" i="63"/>
  <c r="G23" i="63"/>
  <c r="G22" i="63"/>
  <c r="G21" i="63"/>
  <c r="G20" i="63"/>
  <c r="G19" i="63"/>
  <c r="G18" i="63"/>
  <c r="G17" i="63"/>
  <c r="G16" i="63"/>
  <c r="G15" i="63"/>
  <c r="G14" i="63"/>
  <c r="G13" i="63"/>
  <c r="G12" i="63"/>
  <c r="G11" i="63"/>
  <c r="G10" i="63"/>
  <c r="G9" i="63"/>
  <c r="G8" i="63"/>
  <c r="G7" i="63"/>
  <c r="G6" i="63"/>
  <c r="G60" i="63" s="1"/>
  <c r="V60" i="62"/>
  <c r="U60" i="62"/>
  <c r="S60" i="62"/>
  <c r="R60" i="62"/>
  <c r="P60" i="62"/>
  <c r="O60" i="62"/>
  <c r="M60" i="62"/>
  <c r="L60" i="62"/>
  <c r="F60" i="62"/>
  <c r="E60" i="62"/>
  <c r="D60" i="62"/>
  <c r="C60" i="62"/>
  <c r="B60" i="62"/>
  <c r="G58" i="62"/>
  <c r="G57" i="62"/>
  <c r="G56" i="62"/>
  <c r="G55" i="62"/>
  <c r="G54" i="62"/>
  <c r="G53" i="62"/>
  <c r="G52" i="62"/>
  <c r="G51" i="62"/>
  <c r="G50" i="62"/>
  <c r="G49" i="62"/>
  <c r="G48" i="62"/>
  <c r="G47" i="62"/>
  <c r="G46" i="62"/>
  <c r="G45" i="62"/>
  <c r="G44" i="62"/>
  <c r="G43" i="62"/>
  <c r="G42" i="62"/>
  <c r="G41" i="62"/>
  <c r="G40" i="62"/>
  <c r="G39" i="62"/>
  <c r="G38" i="62"/>
  <c r="G37" i="62"/>
  <c r="G36" i="62"/>
  <c r="G35" i="62"/>
  <c r="G34" i="62"/>
  <c r="G33" i="62"/>
  <c r="G32" i="62"/>
  <c r="G31" i="62"/>
  <c r="G30" i="62"/>
  <c r="G29" i="62"/>
  <c r="G28" i="62"/>
  <c r="G27" i="62"/>
  <c r="J26" i="62"/>
  <c r="G26" i="62"/>
  <c r="G25" i="62"/>
  <c r="G24" i="62"/>
  <c r="G23" i="62"/>
  <c r="G22" i="62"/>
  <c r="G21" i="62"/>
  <c r="G20" i="62"/>
  <c r="G19" i="62"/>
  <c r="G18" i="62"/>
  <c r="G17" i="62"/>
  <c r="G16" i="62"/>
  <c r="G15" i="62"/>
  <c r="G14" i="62"/>
  <c r="G13" i="62"/>
  <c r="G12" i="62"/>
  <c r="G11" i="62"/>
  <c r="G10" i="62"/>
  <c r="G9" i="62"/>
  <c r="G8" i="62"/>
  <c r="G7" i="62"/>
  <c r="G6" i="62"/>
  <c r="V60" i="61"/>
  <c r="U60" i="61"/>
  <c r="S60" i="61"/>
  <c r="R60" i="61"/>
  <c r="P60" i="61"/>
  <c r="O60" i="61"/>
  <c r="M60" i="61"/>
  <c r="L60" i="61"/>
  <c r="F60" i="61"/>
  <c r="E60" i="61"/>
  <c r="D60" i="61"/>
  <c r="C60" i="61"/>
  <c r="B60" i="61"/>
  <c r="G58" i="61"/>
  <c r="G57" i="61"/>
  <c r="G56" i="61"/>
  <c r="G55" i="61"/>
  <c r="G54" i="61"/>
  <c r="G53" i="61"/>
  <c r="G52" i="61"/>
  <c r="G51" i="61"/>
  <c r="G50" i="61"/>
  <c r="G49" i="61"/>
  <c r="G48" i="61"/>
  <c r="G47" i="61"/>
  <c r="G46" i="61"/>
  <c r="G45" i="61"/>
  <c r="G44" i="61"/>
  <c r="G43" i="61"/>
  <c r="G42" i="61"/>
  <c r="G41" i="61"/>
  <c r="G40" i="61"/>
  <c r="G39" i="61"/>
  <c r="G38" i="61"/>
  <c r="G37" i="61"/>
  <c r="G36" i="61"/>
  <c r="G35" i="61"/>
  <c r="G34" i="61"/>
  <c r="G33" i="61"/>
  <c r="G32" i="61"/>
  <c r="G31" i="61"/>
  <c r="G30" i="61"/>
  <c r="G29" i="61"/>
  <c r="G28" i="61"/>
  <c r="G27" i="61"/>
  <c r="J26" i="61"/>
  <c r="G26" i="61"/>
  <c r="G25" i="61"/>
  <c r="G24" i="61"/>
  <c r="G23" i="61"/>
  <c r="G22" i="61"/>
  <c r="G21" i="61"/>
  <c r="G20" i="61"/>
  <c r="G19" i="61"/>
  <c r="G18" i="61"/>
  <c r="G17" i="61"/>
  <c r="G16" i="61"/>
  <c r="G15" i="61"/>
  <c r="G14" i="61"/>
  <c r="G13" i="61"/>
  <c r="G12" i="61"/>
  <c r="G11" i="61"/>
  <c r="G10" i="61"/>
  <c r="G9" i="61"/>
  <c r="G8" i="61"/>
  <c r="G7" i="61"/>
  <c r="G6" i="61"/>
  <c r="G60" i="61" s="1"/>
  <c r="V60" i="60"/>
  <c r="U60" i="60"/>
  <c r="S60" i="60"/>
  <c r="R60" i="60"/>
  <c r="P60" i="60"/>
  <c r="O60" i="60"/>
  <c r="M60" i="60"/>
  <c r="L60" i="60"/>
  <c r="F60" i="60"/>
  <c r="E60" i="60"/>
  <c r="D60" i="60"/>
  <c r="C60" i="60"/>
  <c r="B60" i="60"/>
  <c r="G58" i="60"/>
  <c r="G57" i="60"/>
  <c r="G56" i="60"/>
  <c r="G55" i="60"/>
  <c r="G54" i="60"/>
  <c r="G53" i="60"/>
  <c r="G52" i="60"/>
  <c r="G51" i="60"/>
  <c r="G50" i="60"/>
  <c r="G49" i="60"/>
  <c r="G48" i="60"/>
  <c r="G47" i="60"/>
  <c r="G46" i="60"/>
  <c r="G45" i="60"/>
  <c r="G44" i="60"/>
  <c r="G43" i="60"/>
  <c r="G42" i="60"/>
  <c r="G41" i="60"/>
  <c r="G40" i="60"/>
  <c r="G39" i="60"/>
  <c r="G38" i="60"/>
  <c r="G37" i="60"/>
  <c r="G36" i="60"/>
  <c r="G35" i="60"/>
  <c r="G34" i="60"/>
  <c r="G33" i="60"/>
  <c r="G32" i="60"/>
  <c r="G31" i="60"/>
  <c r="G30" i="60"/>
  <c r="G29" i="60"/>
  <c r="G28" i="60"/>
  <c r="G27" i="60"/>
  <c r="J26" i="60"/>
  <c r="G26" i="60"/>
  <c r="G25" i="60"/>
  <c r="G24" i="60"/>
  <c r="G23" i="60"/>
  <c r="G22" i="60"/>
  <c r="G21" i="60"/>
  <c r="G20" i="60"/>
  <c r="G19" i="60"/>
  <c r="G18" i="60"/>
  <c r="G17" i="60"/>
  <c r="G16" i="60"/>
  <c r="G15" i="60"/>
  <c r="G14" i="60"/>
  <c r="G13" i="60"/>
  <c r="G12" i="60"/>
  <c r="G11" i="60"/>
  <c r="G10" i="60"/>
  <c r="G9" i="60"/>
  <c r="G8" i="60"/>
  <c r="G7" i="60"/>
  <c r="G6" i="60"/>
  <c r="J27" i="60" s="1"/>
  <c r="V60" i="59"/>
  <c r="U60" i="59"/>
  <c r="S60" i="59"/>
  <c r="R60" i="59"/>
  <c r="P60" i="59"/>
  <c r="O60" i="59"/>
  <c r="M60" i="59"/>
  <c r="L60" i="59"/>
  <c r="F60" i="59"/>
  <c r="E60" i="59"/>
  <c r="D60" i="59"/>
  <c r="C60" i="59"/>
  <c r="B60" i="59"/>
  <c r="G58" i="59"/>
  <c r="G57" i="59"/>
  <c r="G56" i="59"/>
  <c r="G55" i="59"/>
  <c r="G54" i="59"/>
  <c r="G53" i="59"/>
  <c r="G52" i="59"/>
  <c r="G51" i="59"/>
  <c r="G50" i="59"/>
  <c r="G49" i="59"/>
  <c r="G48" i="59"/>
  <c r="G47" i="59"/>
  <c r="G46" i="59"/>
  <c r="G45" i="59"/>
  <c r="G44" i="59"/>
  <c r="G43" i="59"/>
  <c r="G42" i="59"/>
  <c r="G41" i="59"/>
  <c r="G40" i="59"/>
  <c r="G39" i="59"/>
  <c r="G38" i="59"/>
  <c r="G37" i="59"/>
  <c r="G36" i="59"/>
  <c r="G35" i="59"/>
  <c r="G34" i="59"/>
  <c r="G33" i="59"/>
  <c r="G32" i="59"/>
  <c r="G31" i="59"/>
  <c r="G30" i="59"/>
  <c r="G29" i="59"/>
  <c r="G28" i="59"/>
  <c r="G27" i="59"/>
  <c r="J26" i="59"/>
  <c r="G26" i="59"/>
  <c r="G25" i="59"/>
  <c r="G24" i="59"/>
  <c r="G23" i="59"/>
  <c r="G22" i="59"/>
  <c r="G21" i="59"/>
  <c r="G20" i="59"/>
  <c r="G19" i="59"/>
  <c r="G18" i="59"/>
  <c r="G17" i="59"/>
  <c r="G16" i="59"/>
  <c r="G15" i="59"/>
  <c r="G14" i="59"/>
  <c r="G13" i="59"/>
  <c r="G12" i="59"/>
  <c r="G11" i="59"/>
  <c r="G10" i="59"/>
  <c r="G9" i="59"/>
  <c r="G8" i="59"/>
  <c r="G7" i="59"/>
  <c r="G6" i="59"/>
  <c r="G60" i="59" s="1"/>
  <c r="V60" i="58"/>
  <c r="U60" i="58"/>
  <c r="S60" i="58"/>
  <c r="R60" i="58"/>
  <c r="P60" i="58"/>
  <c r="O60" i="58"/>
  <c r="M60" i="58"/>
  <c r="L60" i="58"/>
  <c r="F60" i="58"/>
  <c r="E60" i="58"/>
  <c r="D60" i="58"/>
  <c r="C60" i="58"/>
  <c r="B60" i="58"/>
  <c r="G58" i="58"/>
  <c r="G57" i="58"/>
  <c r="G56" i="58"/>
  <c r="G55" i="58"/>
  <c r="G54" i="58"/>
  <c r="G53" i="58"/>
  <c r="G52" i="58"/>
  <c r="G51" i="58"/>
  <c r="G50" i="58"/>
  <c r="G49" i="58"/>
  <c r="G48" i="58"/>
  <c r="G47" i="58"/>
  <c r="G46" i="58"/>
  <c r="G45" i="58"/>
  <c r="G44" i="58"/>
  <c r="G43" i="58"/>
  <c r="G42" i="58"/>
  <c r="G41" i="58"/>
  <c r="G40" i="58"/>
  <c r="G39" i="58"/>
  <c r="G38" i="58"/>
  <c r="G37" i="58"/>
  <c r="G36" i="58"/>
  <c r="G35" i="58"/>
  <c r="G34" i="58"/>
  <c r="G33" i="58"/>
  <c r="G32" i="58"/>
  <c r="G31" i="58"/>
  <c r="G30" i="58"/>
  <c r="G29" i="58"/>
  <c r="G28" i="58"/>
  <c r="G27" i="58"/>
  <c r="J26" i="58"/>
  <c r="G26" i="58"/>
  <c r="G25" i="58"/>
  <c r="G24" i="58"/>
  <c r="G23" i="58"/>
  <c r="G22" i="58"/>
  <c r="G21" i="58"/>
  <c r="G20" i="58"/>
  <c r="G19" i="58"/>
  <c r="G18" i="58"/>
  <c r="G17" i="58"/>
  <c r="G16" i="58"/>
  <c r="G15" i="58"/>
  <c r="G14" i="58"/>
  <c r="G13" i="58"/>
  <c r="G12" i="58"/>
  <c r="G11" i="58"/>
  <c r="G10" i="58"/>
  <c r="G9" i="58"/>
  <c r="G8" i="58"/>
  <c r="J27" i="58" s="1"/>
  <c r="G7" i="58"/>
  <c r="G6" i="58"/>
  <c r="G60" i="58" s="1"/>
  <c r="V60" i="57"/>
  <c r="U60" i="57"/>
  <c r="S60" i="57"/>
  <c r="R60" i="57"/>
  <c r="P60" i="57"/>
  <c r="O60" i="57"/>
  <c r="M60" i="57"/>
  <c r="L60" i="57"/>
  <c r="F60" i="57"/>
  <c r="E60" i="57"/>
  <c r="D60" i="57"/>
  <c r="C60" i="57"/>
  <c r="B60" i="57"/>
  <c r="G58" i="57"/>
  <c r="G57" i="57"/>
  <c r="G56" i="57"/>
  <c r="G55" i="57"/>
  <c r="G54" i="57"/>
  <c r="G53" i="57"/>
  <c r="G52" i="57"/>
  <c r="G51" i="57"/>
  <c r="G50" i="57"/>
  <c r="G49" i="57"/>
  <c r="G48" i="57"/>
  <c r="G47" i="57"/>
  <c r="G46" i="57"/>
  <c r="G45" i="57"/>
  <c r="G44" i="57"/>
  <c r="G43" i="57"/>
  <c r="G42" i="57"/>
  <c r="G41" i="57"/>
  <c r="G40" i="57"/>
  <c r="G39" i="57"/>
  <c r="G38" i="57"/>
  <c r="G37" i="57"/>
  <c r="G36" i="57"/>
  <c r="G35" i="57"/>
  <c r="G34" i="57"/>
  <c r="G33" i="57"/>
  <c r="G32" i="57"/>
  <c r="G31" i="57"/>
  <c r="G30" i="57"/>
  <c r="G29" i="57"/>
  <c r="G28" i="57"/>
  <c r="G27" i="57"/>
  <c r="J26" i="57"/>
  <c r="G26" i="57"/>
  <c r="G25" i="57"/>
  <c r="G24" i="57"/>
  <c r="G23" i="57"/>
  <c r="G22" i="57"/>
  <c r="G21" i="57"/>
  <c r="G20" i="57"/>
  <c r="G19" i="57"/>
  <c r="G18" i="57"/>
  <c r="G17" i="57"/>
  <c r="G16" i="57"/>
  <c r="G15" i="57"/>
  <c r="G14" i="57"/>
  <c r="G13" i="57"/>
  <c r="G12" i="57"/>
  <c r="G11" i="57"/>
  <c r="G10" i="57"/>
  <c r="G9" i="57"/>
  <c r="G8" i="57"/>
  <c r="G7" i="57"/>
  <c r="G6" i="57"/>
  <c r="G60" i="57" s="1"/>
  <c r="V60" i="56"/>
  <c r="U60" i="56"/>
  <c r="S60" i="56"/>
  <c r="R60" i="56"/>
  <c r="P60" i="56"/>
  <c r="O60" i="56"/>
  <c r="M60" i="56"/>
  <c r="L60" i="56"/>
  <c r="F60" i="56"/>
  <c r="E60" i="56"/>
  <c r="D60" i="56"/>
  <c r="C60" i="56"/>
  <c r="B60" i="56"/>
  <c r="G58" i="56"/>
  <c r="G57" i="56"/>
  <c r="G56" i="56"/>
  <c r="G55" i="56"/>
  <c r="G54" i="56"/>
  <c r="G53" i="56"/>
  <c r="G52" i="56"/>
  <c r="G51" i="56"/>
  <c r="G50" i="56"/>
  <c r="G49" i="56"/>
  <c r="G48" i="56"/>
  <c r="G47" i="56"/>
  <c r="G46" i="56"/>
  <c r="G45" i="56"/>
  <c r="G44" i="56"/>
  <c r="G43" i="56"/>
  <c r="G42" i="56"/>
  <c r="G41" i="56"/>
  <c r="G40" i="56"/>
  <c r="G39" i="56"/>
  <c r="G38" i="56"/>
  <c r="G37" i="56"/>
  <c r="G36" i="56"/>
  <c r="G35" i="56"/>
  <c r="G34" i="56"/>
  <c r="G33" i="56"/>
  <c r="G32" i="56"/>
  <c r="G31" i="56"/>
  <c r="G30" i="56"/>
  <c r="G29" i="56"/>
  <c r="G28" i="56"/>
  <c r="G27" i="56"/>
  <c r="J26" i="56"/>
  <c r="G26" i="56"/>
  <c r="G25" i="56"/>
  <c r="G24" i="56"/>
  <c r="G23" i="56"/>
  <c r="G22" i="56"/>
  <c r="G21" i="56"/>
  <c r="G20" i="56"/>
  <c r="G19" i="56"/>
  <c r="G18" i="56"/>
  <c r="G17" i="56"/>
  <c r="G16" i="56"/>
  <c r="G15" i="56"/>
  <c r="G14" i="56"/>
  <c r="G13" i="56"/>
  <c r="G12" i="56"/>
  <c r="G11" i="56"/>
  <c r="G10" i="56"/>
  <c r="G9" i="56"/>
  <c r="G8" i="56"/>
  <c r="G7" i="56"/>
  <c r="G6" i="56"/>
  <c r="J27" i="56" s="1"/>
  <c r="V60" i="55"/>
  <c r="U60" i="55"/>
  <c r="S60" i="55"/>
  <c r="R60" i="55"/>
  <c r="P60" i="55"/>
  <c r="O60" i="55"/>
  <c r="M60" i="55"/>
  <c r="L60" i="55"/>
  <c r="F60" i="55"/>
  <c r="E60" i="55"/>
  <c r="D60" i="55"/>
  <c r="C60" i="55"/>
  <c r="B60" i="55"/>
  <c r="G58" i="55"/>
  <c r="G57" i="55"/>
  <c r="G56" i="55"/>
  <c r="G55" i="55"/>
  <c r="G54" i="55"/>
  <c r="G53" i="55"/>
  <c r="G52" i="55"/>
  <c r="G51" i="55"/>
  <c r="G50" i="55"/>
  <c r="G49" i="55"/>
  <c r="G48" i="55"/>
  <c r="G47" i="55"/>
  <c r="G46" i="55"/>
  <c r="G45" i="55"/>
  <c r="G44" i="55"/>
  <c r="G43" i="55"/>
  <c r="G42" i="55"/>
  <c r="G41" i="55"/>
  <c r="G40" i="55"/>
  <c r="G39" i="55"/>
  <c r="G38" i="55"/>
  <c r="G37" i="55"/>
  <c r="G36" i="55"/>
  <c r="G35" i="55"/>
  <c r="G34" i="55"/>
  <c r="G33" i="55"/>
  <c r="G32" i="55"/>
  <c r="G31" i="55"/>
  <c r="G30" i="55"/>
  <c r="G29" i="55"/>
  <c r="G28" i="55"/>
  <c r="G27" i="55"/>
  <c r="J26" i="55"/>
  <c r="G26" i="55"/>
  <c r="G25" i="55"/>
  <c r="G24" i="55"/>
  <c r="G23" i="55"/>
  <c r="G22" i="55"/>
  <c r="G21" i="55"/>
  <c r="G20" i="55"/>
  <c r="G19" i="55"/>
  <c r="G18" i="55"/>
  <c r="G17" i="55"/>
  <c r="G16" i="55"/>
  <c r="G15" i="55"/>
  <c r="G14" i="55"/>
  <c r="G13" i="55"/>
  <c r="G12" i="55"/>
  <c r="G11" i="55"/>
  <c r="G10" i="55"/>
  <c r="G9" i="55"/>
  <c r="G8" i="55"/>
  <c r="G7" i="55"/>
  <c r="G6" i="55"/>
  <c r="G60" i="55" s="1"/>
  <c r="V60" i="54"/>
  <c r="U60" i="54"/>
  <c r="S60" i="54"/>
  <c r="R60" i="54"/>
  <c r="P60" i="54"/>
  <c r="O60" i="54"/>
  <c r="M60" i="54"/>
  <c r="L60" i="54"/>
  <c r="F60" i="54"/>
  <c r="E60" i="54"/>
  <c r="D60" i="54"/>
  <c r="C60" i="54"/>
  <c r="B60" i="54"/>
  <c r="G58" i="54"/>
  <c r="G57" i="54"/>
  <c r="G56" i="54"/>
  <c r="G55" i="54"/>
  <c r="G54" i="54"/>
  <c r="G53" i="54"/>
  <c r="G52" i="54"/>
  <c r="G51" i="54"/>
  <c r="G50" i="54"/>
  <c r="G49" i="54"/>
  <c r="G48" i="54"/>
  <c r="G47" i="54"/>
  <c r="G46" i="54"/>
  <c r="G45" i="54"/>
  <c r="G44" i="54"/>
  <c r="G43" i="54"/>
  <c r="G42" i="54"/>
  <c r="G41" i="54"/>
  <c r="G40" i="54"/>
  <c r="G39" i="54"/>
  <c r="G38" i="54"/>
  <c r="G37" i="54"/>
  <c r="G36" i="54"/>
  <c r="G35" i="54"/>
  <c r="G34" i="54"/>
  <c r="G33" i="54"/>
  <c r="G32" i="54"/>
  <c r="G31" i="54"/>
  <c r="G30" i="54"/>
  <c r="G29" i="54"/>
  <c r="G28" i="54"/>
  <c r="G27" i="54"/>
  <c r="J26" i="54"/>
  <c r="G26" i="54"/>
  <c r="G25" i="54"/>
  <c r="G24" i="54"/>
  <c r="G23" i="54"/>
  <c r="G22" i="54"/>
  <c r="G21" i="54"/>
  <c r="G20" i="54"/>
  <c r="G19" i="54"/>
  <c r="G18" i="54"/>
  <c r="G17" i="54"/>
  <c r="G16" i="54"/>
  <c r="G15" i="54"/>
  <c r="G14" i="54"/>
  <c r="G13" i="54"/>
  <c r="G12" i="54"/>
  <c r="G11" i="54"/>
  <c r="G10" i="54"/>
  <c r="G9" i="54"/>
  <c r="G8" i="54"/>
  <c r="J27" i="54" s="1"/>
  <c r="G7" i="54"/>
  <c r="G6" i="54"/>
  <c r="G60" i="54" s="1"/>
  <c r="V60" i="53"/>
  <c r="U60" i="53"/>
  <c r="S60" i="53"/>
  <c r="R60" i="53"/>
  <c r="P60" i="53"/>
  <c r="O60" i="53"/>
  <c r="M60" i="53"/>
  <c r="L60" i="53"/>
  <c r="F60" i="53"/>
  <c r="E60" i="53"/>
  <c r="D60" i="53"/>
  <c r="C60" i="53"/>
  <c r="B60" i="53"/>
  <c r="G58" i="53"/>
  <c r="G57" i="53"/>
  <c r="G56" i="53"/>
  <c r="G55" i="53"/>
  <c r="G54" i="53"/>
  <c r="G53" i="53"/>
  <c r="G52" i="53"/>
  <c r="G51" i="53"/>
  <c r="G50" i="53"/>
  <c r="G49" i="53"/>
  <c r="G48" i="53"/>
  <c r="G47" i="53"/>
  <c r="G46" i="53"/>
  <c r="G45" i="53"/>
  <c r="G44" i="53"/>
  <c r="G43" i="53"/>
  <c r="G42" i="53"/>
  <c r="G41" i="53"/>
  <c r="G40" i="53"/>
  <c r="G39" i="53"/>
  <c r="G38" i="53"/>
  <c r="G37" i="53"/>
  <c r="G36" i="53"/>
  <c r="G35" i="53"/>
  <c r="G34" i="53"/>
  <c r="G33" i="53"/>
  <c r="G32" i="53"/>
  <c r="G31" i="53"/>
  <c r="G30" i="53"/>
  <c r="G29" i="53"/>
  <c r="G28" i="53"/>
  <c r="G27" i="53"/>
  <c r="J26" i="53"/>
  <c r="G26" i="53"/>
  <c r="G25" i="53"/>
  <c r="G24" i="53"/>
  <c r="G23" i="53"/>
  <c r="G22" i="53"/>
  <c r="G21" i="53"/>
  <c r="G20" i="53"/>
  <c r="G19" i="53"/>
  <c r="G18" i="53"/>
  <c r="G17" i="53"/>
  <c r="G16" i="53"/>
  <c r="G15" i="53"/>
  <c r="G14" i="53"/>
  <c r="G13" i="53"/>
  <c r="G12" i="53"/>
  <c r="G11" i="53"/>
  <c r="G10" i="53"/>
  <c r="G9" i="53"/>
  <c r="G8" i="53"/>
  <c r="G7" i="53"/>
  <c r="G6" i="53"/>
  <c r="G60" i="53" s="1"/>
  <c r="V60" i="52"/>
  <c r="U60" i="52"/>
  <c r="S60" i="52"/>
  <c r="R60" i="52"/>
  <c r="P60" i="52"/>
  <c r="O60" i="52"/>
  <c r="M60" i="52"/>
  <c r="L60" i="52"/>
  <c r="F60" i="52"/>
  <c r="E60" i="52"/>
  <c r="D60" i="52"/>
  <c r="C60" i="52"/>
  <c r="B60" i="52"/>
  <c r="G58" i="52"/>
  <c r="G57" i="52"/>
  <c r="G56" i="52"/>
  <c r="G55" i="52"/>
  <c r="G54" i="52"/>
  <c r="G53" i="52"/>
  <c r="G52" i="52"/>
  <c r="G51" i="52"/>
  <c r="G50" i="52"/>
  <c r="G49" i="52"/>
  <c r="G48" i="52"/>
  <c r="G47" i="52"/>
  <c r="G46" i="52"/>
  <c r="G45" i="52"/>
  <c r="G44" i="52"/>
  <c r="G43" i="52"/>
  <c r="G42" i="52"/>
  <c r="G41" i="52"/>
  <c r="G40" i="52"/>
  <c r="G39" i="52"/>
  <c r="G38" i="52"/>
  <c r="G37" i="52"/>
  <c r="G36" i="52"/>
  <c r="G35" i="52"/>
  <c r="G34" i="52"/>
  <c r="G33" i="52"/>
  <c r="G32" i="52"/>
  <c r="G31" i="52"/>
  <c r="G30" i="52"/>
  <c r="G29" i="52"/>
  <c r="G28" i="52"/>
  <c r="G27" i="52"/>
  <c r="J26" i="52"/>
  <c r="G26" i="52"/>
  <c r="G25" i="52"/>
  <c r="G24" i="52"/>
  <c r="G23" i="52"/>
  <c r="G22" i="52"/>
  <c r="G21" i="52"/>
  <c r="G20" i="52"/>
  <c r="G19" i="52"/>
  <c r="G18" i="52"/>
  <c r="G17" i="52"/>
  <c r="G16" i="52"/>
  <c r="G15" i="52"/>
  <c r="G14" i="52"/>
  <c r="G13" i="52"/>
  <c r="G12" i="52"/>
  <c r="G11" i="52"/>
  <c r="G10" i="52"/>
  <c r="G9" i="52"/>
  <c r="G8" i="52"/>
  <c r="G7" i="52"/>
  <c r="G6" i="52"/>
  <c r="J27" i="52" s="1"/>
  <c r="V60" i="51"/>
  <c r="U60" i="51"/>
  <c r="S60" i="51"/>
  <c r="R60" i="51"/>
  <c r="P60" i="51"/>
  <c r="O60" i="51"/>
  <c r="M60" i="51"/>
  <c r="L60" i="51"/>
  <c r="F60" i="51"/>
  <c r="E60" i="51"/>
  <c r="D60" i="51"/>
  <c r="C60" i="51"/>
  <c r="B60" i="51"/>
  <c r="G58" i="51"/>
  <c r="G57" i="51"/>
  <c r="G56" i="51"/>
  <c r="G55" i="51"/>
  <c r="G54" i="51"/>
  <c r="G53" i="51"/>
  <c r="G52" i="51"/>
  <c r="G51" i="51"/>
  <c r="G50" i="51"/>
  <c r="G49" i="51"/>
  <c r="G48" i="51"/>
  <c r="G47" i="51"/>
  <c r="G46" i="51"/>
  <c r="G45" i="51"/>
  <c r="G44" i="51"/>
  <c r="G43" i="51"/>
  <c r="G42" i="51"/>
  <c r="G41" i="51"/>
  <c r="G40" i="51"/>
  <c r="G39" i="51"/>
  <c r="G38" i="51"/>
  <c r="G37" i="51"/>
  <c r="G36" i="51"/>
  <c r="G35" i="51"/>
  <c r="G34" i="51"/>
  <c r="G33" i="51"/>
  <c r="G32" i="51"/>
  <c r="G31" i="51"/>
  <c r="G30" i="51"/>
  <c r="G29" i="51"/>
  <c r="G28" i="51"/>
  <c r="G27" i="51"/>
  <c r="J26" i="51"/>
  <c r="G26" i="51"/>
  <c r="G25" i="51"/>
  <c r="G24" i="51"/>
  <c r="G23" i="51"/>
  <c r="G22" i="51"/>
  <c r="G21" i="51"/>
  <c r="G20" i="51"/>
  <c r="G19" i="51"/>
  <c r="G18" i="51"/>
  <c r="G17" i="51"/>
  <c r="G16" i="51"/>
  <c r="G15" i="51"/>
  <c r="G14" i="51"/>
  <c r="G13" i="51"/>
  <c r="G12" i="51"/>
  <c r="G11" i="51"/>
  <c r="G10" i="51"/>
  <c r="G9" i="51"/>
  <c r="G8" i="51"/>
  <c r="G7" i="51"/>
  <c r="G6" i="51"/>
  <c r="G60" i="51" s="1"/>
  <c r="V60" i="50"/>
  <c r="U60" i="50"/>
  <c r="S60" i="50"/>
  <c r="R60" i="50"/>
  <c r="P60" i="50"/>
  <c r="O60" i="50"/>
  <c r="M60" i="50"/>
  <c r="L60" i="50"/>
  <c r="F60" i="50"/>
  <c r="E60" i="50"/>
  <c r="D60" i="50"/>
  <c r="C60" i="50"/>
  <c r="B60" i="50"/>
  <c r="G58" i="50"/>
  <c r="G57" i="50"/>
  <c r="G56" i="50"/>
  <c r="G55" i="50"/>
  <c r="G54" i="50"/>
  <c r="G53" i="50"/>
  <c r="G52" i="50"/>
  <c r="G51" i="50"/>
  <c r="G50" i="50"/>
  <c r="G49" i="50"/>
  <c r="G48" i="50"/>
  <c r="G47" i="50"/>
  <c r="G46" i="50"/>
  <c r="G45" i="50"/>
  <c r="G44" i="50"/>
  <c r="G43" i="50"/>
  <c r="G42" i="50"/>
  <c r="G41" i="50"/>
  <c r="G40" i="50"/>
  <c r="G39" i="50"/>
  <c r="G38" i="50"/>
  <c r="G37" i="50"/>
  <c r="G36" i="50"/>
  <c r="G35" i="50"/>
  <c r="G34" i="50"/>
  <c r="G33" i="50"/>
  <c r="G32" i="50"/>
  <c r="G31" i="50"/>
  <c r="G30" i="50"/>
  <c r="G29" i="50"/>
  <c r="G28" i="50"/>
  <c r="G27" i="50"/>
  <c r="J26" i="50"/>
  <c r="G26" i="50"/>
  <c r="G25" i="50"/>
  <c r="G24" i="50"/>
  <c r="G23" i="50"/>
  <c r="G22" i="50"/>
  <c r="G21" i="50"/>
  <c r="G20" i="50"/>
  <c r="G19" i="50"/>
  <c r="G18" i="50"/>
  <c r="G17" i="50"/>
  <c r="G16" i="50"/>
  <c r="G15" i="50"/>
  <c r="G14" i="50"/>
  <c r="G13" i="50"/>
  <c r="G12" i="50"/>
  <c r="G11" i="50"/>
  <c r="G10" i="50"/>
  <c r="G9" i="50"/>
  <c r="G8" i="50"/>
  <c r="G7" i="50"/>
  <c r="G6" i="50"/>
  <c r="G60" i="50" s="1"/>
  <c r="V60" i="49"/>
  <c r="U60" i="49"/>
  <c r="S60" i="49"/>
  <c r="R60" i="49"/>
  <c r="P60" i="49"/>
  <c r="O60" i="49"/>
  <c r="M60" i="49"/>
  <c r="L60" i="49"/>
  <c r="F60" i="49"/>
  <c r="E60" i="49"/>
  <c r="D60" i="49"/>
  <c r="C60" i="49"/>
  <c r="B60" i="49"/>
  <c r="G58" i="49"/>
  <c r="G57" i="49"/>
  <c r="G56" i="49"/>
  <c r="G55" i="49"/>
  <c r="G54" i="49"/>
  <c r="G53" i="49"/>
  <c r="G52" i="49"/>
  <c r="G51" i="49"/>
  <c r="G50" i="49"/>
  <c r="G49" i="49"/>
  <c r="G48" i="49"/>
  <c r="G47" i="49"/>
  <c r="G46" i="49"/>
  <c r="G45" i="49"/>
  <c r="G44" i="49"/>
  <c r="G43" i="49"/>
  <c r="G42" i="49"/>
  <c r="G41" i="49"/>
  <c r="G40" i="49"/>
  <c r="G39" i="49"/>
  <c r="G38" i="49"/>
  <c r="G37" i="49"/>
  <c r="G36" i="49"/>
  <c r="G35" i="49"/>
  <c r="G34" i="49"/>
  <c r="G33" i="49"/>
  <c r="G32" i="49"/>
  <c r="G31" i="49"/>
  <c r="G30" i="49"/>
  <c r="G29" i="49"/>
  <c r="G28" i="49"/>
  <c r="G27" i="49"/>
  <c r="J26" i="49"/>
  <c r="G26" i="49"/>
  <c r="G25" i="49"/>
  <c r="G24" i="49"/>
  <c r="G23" i="49"/>
  <c r="G22" i="49"/>
  <c r="G21" i="49"/>
  <c r="G20" i="49"/>
  <c r="G19" i="49"/>
  <c r="G18" i="49"/>
  <c r="G17" i="49"/>
  <c r="G16" i="49"/>
  <c r="G15" i="49"/>
  <c r="G14" i="49"/>
  <c r="G13" i="49"/>
  <c r="G12" i="49"/>
  <c r="G11" i="49"/>
  <c r="G10" i="49"/>
  <c r="G9" i="49"/>
  <c r="G8" i="49"/>
  <c r="G7" i="49"/>
  <c r="G6" i="49"/>
  <c r="G60" i="49" s="1"/>
  <c r="V60" i="48"/>
  <c r="U60" i="48"/>
  <c r="S60" i="48"/>
  <c r="R60" i="48"/>
  <c r="P60" i="48"/>
  <c r="O60" i="48"/>
  <c r="M60" i="48"/>
  <c r="L60" i="48"/>
  <c r="F60" i="48"/>
  <c r="E60" i="48"/>
  <c r="D60" i="48"/>
  <c r="C60" i="48"/>
  <c r="B60" i="48"/>
  <c r="G58" i="48"/>
  <c r="G57" i="48"/>
  <c r="G56" i="48"/>
  <c r="G55" i="48"/>
  <c r="G54" i="48"/>
  <c r="G53" i="48"/>
  <c r="G52" i="48"/>
  <c r="G51" i="48"/>
  <c r="G50" i="48"/>
  <c r="G49" i="48"/>
  <c r="G48" i="48"/>
  <c r="G47" i="48"/>
  <c r="G46" i="48"/>
  <c r="G45" i="48"/>
  <c r="G44" i="48"/>
  <c r="G43" i="48"/>
  <c r="G42" i="48"/>
  <c r="G41" i="48"/>
  <c r="G40" i="48"/>
  <c r="G39" i="48"/>
  <c r="G38" i="48"/>
  <c r="G37" i="48"/>
  <c r="G36" i="48"/>
  <c r="G35" i="48"/>
  <c r="G34" i="48"/>
  <c r="G33" i="48"/>
  <c r="G32" i="48"/>
  <c r="G31" i="48"/>
  <c r="G30" i="48"/>
  <c r="G29" i="48"/>
  <c r="G28" i="48"/>
  <c r="G27" i="48"/>
  <c r="J26" i="48"/>
  <c r="G26" i="48"/>
  <c r="G25" i="48"/>
  <c r="G24" i="48"/>
  <c r="G23" i="48"/>
  <c r="G22" i="48"/>
  <c r="G21" i="48"/>
  <c r="G20" i="48"/>
  <c r="G19" i="48"/>
  <c r="G18" i="48"/>
  <c r="G17" i="48"/>
  <c r="G16" i="48"/>
  <c r="G15" i="48"/>
  <c r="G14" i="48"/>
  <c r="G13" i="48"/>
  <c r="G12" i="48"/>
  <c r="G11" i="48"/>
  <c r="G10" i="48"/>
  <c r="G9" i="48"/>
  <c r="G8" i="48"/>
  <c r="G7" i="48"/>
  <c r="G6" i="48"/>
  <c r="J27" i="48" s="1"/>
  <c r="V60" i="47"/>
  <c r="U60" i="47"/>
  <c r="S60" i="47"/>
  <c r="R60" i="47"/>
  <c r="P60" i="47"/>
  <c r="O60" i="47"/>
  <c r="M60" i="47"/>
  <c r="L60" i="47"/>
  <c r="F60" i="47"/>
  <c r="E60" i="47"/>
  <c r="D60" i="47"/>
  <c r="C60" i="47"/>
  <c r="B60" i="47"/>
  <c r="G58" i="47"/>
  <c r="G57" i="47"/>
  <c r="G56" i="47"/>
  <c r="G55" i="47"/>
  <c r="G54" i="47"/>
  <c r="G53" i="47"/>
  <c r="G52" i="47"/>
  <c r="G51" i="47"/>
  <c r="G50" i="47"/>
  <c r="G49" i="47"/>
  <c r="G48" i="47"/>
  <c r="G47" i="47"/>
  <c r="G46" i="47"/>
  <c r="G45" i="47"/>
  <c r="G44" i="47"/>
  <c r="G43" i="47"/>
  <c r="G42" i="47"/>
  <c r="G41" i="47"/>
  <c r="G40" i="47"/>
  <c r="G39" i="47"/>
  <c r="G38" i="47"/>
  <c r="G37" i="47"/>
  <c r="G36" i="47"/>
  <c r="G35" i="47"/>
  <c r="G34" i="47"/>
  <c r="G33" i="47"/>
  <c r="G32" i="47"/>
  <c r="G31" i="47"/>
  <c r="G30" i="47"/>
  <c r="G29" i="47"/>
  <c r="G28" i="47"/>
  <c r="G27" i="47"/>
  <c r="J26" i="47"/>
  <c r="G26" i="47"/>
  <c r="G25" i="47"/>
  <c r="G24" i="47"/>
  <c r="G23" i="47"/>
  <c r="G22" i="47"/>
  <c r="G21" i="47"/>
  <c r="G20" i="47"/>
  <c r="G19" i="47"/>
  <c r="G18" i="47"/>
  <c r="G17" i="47"/>
  <c r="G16" i="47"/>
  <c r="G15" i="47"/>
  <c r="G14" i="47"/>
  <c r="G13" i="47"/>
  <c r="G12" i="47"/>
  <c r="G11" i="47"/>
  <c r="G10" i="47"/>
  <c r="G9" i="47"/>
  <c r="G8" i="47"/>
  <c r="G7" i="47"/>
  <c r="G6" i="47"/>
  <c r="G60" i="47" s="1"/>
  <c r="V60" i="46"/>
  <c r="U60" i="46"/>
  <c r="S60" i="46"/>
  <c r="R60" i="46"/>
  <c r="P60" i="46"/>
  <c r="O60" i="46"/>
  <c r="M60" i="46"/>
  <c r="L60" i="46"/>
  <c r="F60" i="46"/>
  <c r="E60" i="46"/>
  <c r="D60" i="46"/>
  <c r="C60" i="46"/>
  <c r="B60" i="46"/>
  <c r="G58" i="46"/>
  <c r="G57" i="46"/>
  <c r="G56" i="46"/>
  <c r="G55" i="46"/>
  <c r="G54" i="46"/>
  <c r="G53" i="46"/>
  <c r="G52" i="46"/>
  <c r="G51" i="46"/>
  <c r="G50" i="46"/>
  <c r="G49" i="46"/>
  <c r="G48" i="46"/>
  <c r="G47" i="46"/>
  <c r="G46" i="46"/>
  <c r="G45" i="46"/>
  <c r="G44" i="46"/>
  <c r="G43" i="46"/>
  <c r="G42" i="46"/>
  <c r="G41" i="46"/>
  <c r="G40" i="46"/>
  <c r="G39" i="46"/>
  <c r="G38" i="46"/>
  <c r="G37" i="46"/>
  <c r="G36" i="46"/>
  <c r="G35" i="46"/>
  <c r="G34" i="46"/>
  <c r="G33" i="46"/>
  <c r="G32" i="46"/>
  <c r="G31" i="46"/>
  <c r="G30" i="46"/>
  <c r="G29" i="46"/>
  <c r="G28" i="46"/>
  <c r="G27" i="46"/>
  <c r="J26" i="46"/>
  <c r="G26" i="46"/>
  <c r="G25" i="46"/>
  <c r="G24" i="46"/>
  <c r="G23" i="46"/>
  <c r="G22" i="46"/>
  <c r="G21" i="46"/>
  <c r="G20" i="46"/>
  <c r="G19" i="46"/>
  <c r="G18" i="46"/>
  <c r="G17" i="46"/>
  <c r="G16" i="46"/>
  <c r="G15" i="46"/>
  <c r="G14" i="46"/>
  <c r="G13" i="46"/>
  <c r="G12" i="46"/>
  <c r="G11" i="46"/>
  <c r="G10" i="46"/>
  <c r="G9" i="46"/>
  <c r="G8" i="46"/>
  <c r="G7" i="46"/>
  <c r="G6" i="46"/>
  <c r="G60" i="46" s="1"/>
  <c r="V60" i="45"/>
  <c r="U60" i="45"/>
  <c r="S60" i="45"/>
  <c r="R60" i="45"/>
  <c r="P60" i="45"/>
  <c r="O60" i="45"/>
  <c r="M60" i="45"/>
  <c r="L60" i="45"/>
  <c r="F60" i="45"/>
  <c r="E60" i="45"/>
  <c r="D60" i="45"/>
  <c r="C60" i="45"/>
  <c r="B60" i="45"/>
  <c r="G58" i="45"/>
  <c r="G57" i="45"/>
  <c r="G56" i="45"/>
  <c r="G55" i="45"/>
  <c r="G54" i="45"/>
  <c r="G53" i="45"/>
  <c r="G52" i="45"/>
  <c r="G51" i="45"/>
  <c r="G50" i="45"/>
  <c r="G49" i="45"/>
  <c r="G48" i="45"/>
  <c r="G47" i="45"/>
  <c r="G46" i="45"/>
  <c r="G45" i="45"/>
  <c r="G44" i="45"/>
  <c r="G43" i="45"/>
  <c r="G42" i="45"/>
  <c r="G41" i="45"/>
  <c r="G40" i="45"/>
  <c r="G39" i="45"/>
  <c r="G38" i="45"/>
  <c r="G37" i="45"/>
  <c r="G36" i="45"/>
  <c r="G35" i="45"/>
  <c r="G34" i="45"/>
  <c r="G33" i="45"/>
  <c r="G32" i="45"/>
  <c r="G31" i="45"/>
  <c r="G30" i="45"/>
  <c r="G29" i="45"/>
  <c r="G28" i="45"/>
  <c r="G27" i="45"/>
  <c r="J26" i="45"/>
  <c r="G26" i="45"/>
  <c r="G25" i="45"/>
  <c r="G24" i="45"/>
  <c r="G23" i="45"/>
  <c r="G22" i="45"/>
  <c r="G21" i="45"/>
  <c r="G20" i="45"/>
  <c r="G19" i="45"/>
  <c r="G18" i="45"/>
  <c r="G17" i="45"/>
  <c r="G16" i="45"/>
  <c r="G15" i="45"/>
  <c r="G14" i="45"/>
  <c r="G13" i="45"/>
  <c r="G12" i="45"/>
  <c r="G11" i="45"/>
  <c r="G10" i="45"/>
  <c r="G9" i="45"/>
  <c r="G8" i="45"/>
  <c r="G7" i="45"/>
  <c r="G6" i="45"/>
  <c r="G60" i="45" s="1"/>
  <c r="V60" i="44"/>
  <c r="U60" i="44"/>
  <c r="S60" i="44"/>
  <c r="R60" i="44"/>
  <c r="P60" i="44"/>
  <c r="O60" i="44"/>
  <c r="M60" i="44"/>
  <c r="L60" i="44"/>
  <c r="F60" i="44"/>
  <c r="E60" i="44"/>
  <c r="D60" i="44"/>
  <c r="C60" i="44"/>
  <c r="B60" i="44"/>
  <c r="G58" i="44"/>
  <c r="G57" i="44"/>
  <c r="G56" i="44"/>
  <c r="G55" i="44"/>
  <c r="G54" i="44"/>
  <c r="G53" i="44"/>
  <c r="G52" i="44"/>
  <c r="G51" i="44"/>
  <c r="G50" i="44"/>
  <c r="G49" i="44"/>
  <c r="G48" i="44"/>
  <c r="G47" i="44"/>
  <c r="G46" i="44"/>
  <c r="G45" i="44"/>
  <c r="G44" i="44"/>
  <c r="G43" i="44"/>
  <c r="G42" i="44"/>
  <c r="G41" i="44"/>
  <c r="G40" i="44"/>
  <c r="G39" i="44"/>
  <c r="G38" i="44"/>
  <c r="G37" i="44"/>
  <c r="G36" i="44"/>
  <c r="G35" i="44"/>
  <c r="G34" i="44"/>
  <c r="G33" i="44"/>
  <c r="G32" i="44"/>
  <c r="G31" i="44"/>
  <c r="G30" i="44"/>
  <c r="G29" i="44"/>
  <c r="G28" i="44"/>
  <c r="G27" i="44"/>
  <c r="J26" i="44"/>
  <c r="G26" i="44"/>
  <c r="G25" i="44"/>
  <c r="G24" i="44"/>
  <c r="G23" i="44"/>
  <c r="G22" i="44"/>
  <c r="G21" i="44"/>
  <c r="G20" i="44"/>
  <c r="G19" i="44"/>
  <c r="G18" i="44"/>
  <c r="G17" i="44"/>
  <c r="G16" i="44"/>
  <c r="G15" i="44"/>
  <c r="G14" i="44"/>
  <c r="G13" i="44"/>
  <c r="G12" i="44"/>
  <c r="G11" i="44"/>
  <c r="G10" i="44"/>
  <c r="G9" i="44"/>
  <c r="G8" i="44"/>
  <c r="G7" i="44"/>
  <c r="G6" i="44"/>
  <c r="J27" i="44" s="1"/>
  <c r="V60" i="43"/>
  <c r="U60" i="43"/>
  <c r="S60" i="43"/>
  <c r="R60" i="43"/>
  <c r="P60" i="43"/>
  <c r="O60" i="43"/>
  <c r="M60" i="43"/>
  <c r="L60" i="43"/>
  <c r="F60" i="43"/>
  <c r="E60" i="43"/>
  <c r="D60" i="43"/>
  <c r="C60" i="43"/>
  <c r="B60" i="43"/>
  <c r="G58" i="43"/>
  <c r="G57" i="43"/>
  <c r="G56" i="43"/>
  <c r="G55" i="43"/>
  <c r="G54" i="43"/>
  <c r="G53" i="43"/>
  <c r="G52" i="43"/>
  <c r="G51" i="43"/>
  <c r="G50" i="43"/>
  <c r="G49" i="43"/>
  <c r="G48" i="43"/>
  <c r="G47" i="43"/>
  <c r="G46" i="43"/>
  <c r="G45" i="43"/>
  <c r="G44" i="43"/>
  <c r="G43" i="43"/>
  <c r="G42" i="43"/>
  <c r="G41" i="43"/>
  <c r="G40" i="43"/>
  <c r="G39" i="43"/>
  <c r="G38" i="43"/>
  <c r="G37" i="43"/>
  <c r="G36" i="43"/>
  <c r="G35" i="43"/>
  <c r="G34" i="43"/>
  <c r="G33" i="43"/>
  <c r="G32" i="43"/>
  <c r="G31" i="43"/>
  <c r="G30" i="43"/>
  <c r="G29" i="43"/>
  <c r="G28" i="43"/>
  <c r="G27" i="43"/>
  <c r="J26" i="43"/>
  <c r="G26" i="43"/>
  <c r="G25" i="43"/>
  <c r="G24" i="43"/>
  <c r="G23" i="43"/>
  <c r="G22" i="43"/>
  <c r="G21" i="43"/>
  <c r="G20" i="43"/>
  <c r="G19" i="43"/>
  <c r="G18" i="43"/>
  <c r="G17" i="43"/>
  <c r="G16" i="43"/>
  <c r="G15" i="43"/>
  <c r="G14" i="43"/>
  <c r="G13" i="43"/>
  <c r="G12" i="43"/>
  <c r="G11" i="43"/>
  <c r="G10" i="43"/>
  <c r="G9" i="43"/>
  <c r="G8" i="43"/>
  <c r="G7" i="43"/>
  <c r="G6" i="43"/>
  <c r="G60" i="43" s="1"/>
  <c r="V60" i="42"/>
  <c r="U60" i="42"/>
  <c r="S60" i="42"/>
  <c r="R60" i="42"/>
  <c r="P60" i="42"/>
  <c r="O60" i="42"/>
  <c r="M60" i="42"/>
  <c r="L60" i="42"/>
  <c r="F60" i="42"/>
  <c r="E60" i="42"/>
  <c r="D60" i="42"/>
  <c r="C60" i="42"/>
  <c r="B60" i="42"/>
  <c r="G58" i="42"/>
  <c r="G57" i="42"/>
  <c r="G56" i="42"/>
  <c r="G55" i="42"/>
  <c r="G54" i="42"/>
  <c r="G53" i="42"/>
  <c r="G52" i="42"/>
  <c r="G51" i="42"/>
  <c r="G50" i="42"/>
  <c r="G49" i="42"/>
  <c r="G48" i="42"/>
  <c r="G47" i="42"/>
  <c r="G46" i="42"/>
  <c r="G45" i="42"/>
  <c r="G44" i="42"/>
  <c r="G43" i="42"/>
  <c r="G42" i="42"/>
  <c r="G41" i="42"/>
  <c r="G40" i="42"/>
  <c r="G39" i="42"/>
  <c r="G38" i="42"/>
  <c r="G37" i="42"/>
  <c r="G36" i="42"/>
  <c r="G35" i="42"/>
  <c r="G34" i="42"/>
  <c r="G33" i="42"/>
  <c r="G32" i="42"/>
  <c r="G31" i="42"/>
  <c r="G30" i="42"/>
  <c r="G29" i="42"/>
  <c r="G28" i="42"/>
  <c r="G27" i="42"/>
  <c r="J26" i="42"/>
  <c r="G26" i="42"/>
  <c r="G25" i="42"/>
  <c r="G24" i="42"/>
  <c r="G23" i="42"/>
  <c r="G22" i="42"/>
  <c r="G21" i="42"/>
  <c r="G20" i="42"/>
  <c r="G19" i="42"/>
  <c r="G18" i="42"/>
  <c r="G17" i="42"/>
  <c r="G16" i="42"/>
  <c r="G15" i="42"/>
  <c r="G14" i="42"/>
  <c r="G13" i="42"/>
  <c r="G12" i="42"/>
  <c r="G11" i="42"/>
  <c r="G10" i="42"/>
  <c r="G9" i="42"/>
  <c r="G8" i="42"/>
  <c r="G7" i="42"/>
  <c r="G6" i="42"/>
  <c r="G60" i="42" s="1"/>
  <c r="V60" i="41"/>
  <c r="U60" i="41"/>
  <c r="S60" i="41"/>
  <c r="R60" i="41"/>
  <c r="P60" i="41"/>
  <c r="O60" i="41"/>
  <c r="M60" i="41"/>
  <c r="L60" i="41"/>
  <c r="F60" i="41"/>
  <c r="E60" i="41"/>
  <c r="D60" i="41"/>
  <c r="C60" i="41"/>
  <c r="B60" i="41"/>
  <c r="G58" i="41"/>
  <c r="G57" i="41"/>
  <c r="G56" i="41"/>
  <c r="G55" i="41"/>
  <c r="G54" i="41"/>
  <c r="G53" i="41"/>
  <c r="G52" i="41"/>
  <c r="G51" i="41"/>
  <c r="G50" i="41"/>
  <c r="G49" i="41"/>
  <c r="G48" i="41"/>
  <c r="G47" i="41"/>
  <c r="G46" i="41"/>
  <c r="G45" i="41"/>
  <c r="G44" i="41"/>
  <c r="G43" i="41"/>
  <c r="G42" i="41"/>
  <c r="G41" i="41"/>
  <c r="G40" i="41"/>
  <c r="G39" i="41"/>
  <c r="G38" i="41"/>
  <c r="G37" i="41"/>
  <c r="G36" i="41"/>
  <c r="G35" i="41"/>
  <c r="G34" i="41"/>
  <c r="G33" i="41"/>
  <c r="G32" i="41"/>
  <c r="G31" i="41"/>
  <c r="G30" i="41"/>
  <c r="G29" i="41"/>
  <c r="G28" i="41"/>
  <c r="G27" i="41"/>
  <c r="J26" i="41"/>
  <c r="G26" i="41"/>
  <c r="G25" i="41"/>
  <c r="G24" i="41"/>
  <c r="G23" i="41"/>
  <c r="G22" i="41"/>
  <c r="G21" i="41"/>
  <c r="G20" i="41"/>
  <c r="G19" i="41"/>
  <c r="G18" i="41"/>
  <c r="G17" i="41"/>
  <c r="G16" i="41"/>
  <c r="G15" i="41"/>
  <c r="G14" i="41"/>
  <c r="G13" i="41"/>
  <c r="G12" i="41"/>
  <c r="G11" i="41"/>
  <c r="G10" i="41"/>
  <c r="G9" i="41"/>
  <c r="G8" i="41"/>
  <c r="G7" i="41"/>
  <c r="G6" i="41"/>
  <c r="G60" i="41" s="1"/>
  <c r="V60" i="40"/>
  <c r="U60" i="40"/>
  <c r="S60" i="40"/>
  <c r="R60" i="40"/>
  <c r="P60" i="40"/>
  <c r="O60" i="40"/>
  <c r="M60" i="40"/>
  <c r="L60" i="40"/>
  <c r="F60" i="40"/>
  <c r="E60" i="40"/>
  <c r="D60" i="40"/>
  <c r="C60" i="40"/>
  <c r="B60" i="40"/>
  <c r="G58" i="40"/>
  <c r="G57" i="40"/>
  <c r="G56" i="40"/>
  <c r="G55" i="40"/>
  <c r="G54" i="40"/>
  <c r="G53" i="40"/>
  <c r="G52" i="40"/>
  <c r="G51" i="40"/>
  <c r="G50" i="40"/>
  <c r="G49" i="40"/>
  <c r="G48" i="40"/>
  <c r="G47" i="40"/>
  <c r="G46" i="40"/>
  <c r="G45" i="40"/>
  <c r="G44" i="40"/>
  <c r="G43" i="40"/>
  <c r="G42" i="40"/>
  <c r="G41" i="40"/>
  <c r="G40" i="40"/>
  <c r="G39" i="40"/>
  <c r="G38" i="40"/>
  <c r="G37" i="40"/>
  <c r="G36" i="40"/>
  <c r="G35" i="40"/>
  <c r="G34" i="40"/>
  <c r="G33" i="40"/>
  <c r="G32" i="40"/>
  <c r="G31" i="40"/>
  <c r="G30" i="40"/>
  <c r="G29" i="40"/>
  <c r="G28" i="40"/>
  <c r="G27" i="40"/>
  <c r="J26" i="40"/>
  <c r="G26" i="40"/>
  <c r="G25" i="40"/>
  <c r="G24" i="40"/>
  <c r="G23" i="40"/>
  <c r="G22" i="40"/>
  <c r="G21" i="40"/>
  <c r="G20" i="40"/>
  <c r="G19" i="40"/>
  <c r="G18" i="40"/>
  <c r="G17" i="40"/>
  <c r="G16" i="40"/>
  <c r="G15" i="40"/>
  <c r="G14" i="40"/>
  <c r="G13" i="40"/>
  <c r="G12" i="40"/>
  <c r="G11" i="40"/>
  <c r="G10" i="40"/>
  <c r="G9" i="40"/>
  <c r="G8" i="40"/>
  <c r="G7" i="40"/>
  <c r="G6" i="40"/>
  <c r="J27" i="40" s="1"/>
  <c r="V60" i="39"/>
  <c r="U60" i="39"/>
  <c r="S60" i="39"/>
  <c r="R60" i="39"/>
  <c r="P60" i="39"/>
  <c r="O60" i="39"/>
  <c r="M60" i="39"/>
  <c r="L60" i="39"/>
  <c r="F60" i="39"/>
  <c r="E60" i="39"/>
  <c r="D60" i="39"/>
  <c r="C60" i="39"/>
  <c r="B60" i="39"/>
  <c r="G58" i="39"/>
  <c r="G57" i="39"/>
  <c r="G56" i="39"/>
  <c r="G55" i="39"/>
  <c r="G54" i="39"/>
  <c r="G53" i="39"/>
  <c r="G52" i="39"/>
  <c r="G51" i="39"/>
  <c r="G50" i="39"/>
  <c r="G49" i="39"/>
  <c r="G48" i="39"/>
  <c r="G47" i="39"/>
  <c r="G46" i="39"/>
  <c r="G45" i="39"/>
  <c r="G44" i="39"/>
  <c r="G43" i="39"/>
  <c r="G42" i="39"/>
  <c r="G41" i="39"/>
  <c r="G40" i="39"/>
  <c r="G39" i="39"/>
  <c r="G38" i="39"/>
  <c r="G37" i="39"/>
  <c r="G36" i="39"/>
  <c r="G35" i="39"/>
  <c r="G34" i="39"/>
  <c r="G33" i="39"/>
  <c r="G32" i="39"/>
  <c r="G31" i="39"/>
  <c r="G30" i="39"/>
  <c r="G29" i="39"/>
  <c r="G28" i="39"/>
  <c r="G27" i="39"/>
  <c r="J26" i="39"/>
  <c r="G26" i="39"/>
  <c r="G25" i="39"/>
  <c r="G24" i="39"/>
  <c r="G23" i="39"/>
  <c r="G22" i="39"/>
  <c r="G21" i="39"/>
  <c r="G20" i="39"/>
  <c r="G19" i="39"/>
  <c r="G18" i="39"/>
  <c r="G17" i="39"/>
  <c r="G16" i="39"/>
  <c r="G15" i="39"/>
  <c r="G14" i="39"/>
  <c r="G13" i="39"/>
  <c r="G12" i="39"/>
  <c r="G11" i="39"/>
  <c r="G10" i="39"/>
  <c r="G9" i="39"/>
  <c r="G8" i="39"/>
  <c r="G7" i="39"/>
  <c r="G6" i="39"/>
  <c r="G60" i="39" s="1"/>
  <c r="V60" i="38"/>
  <c r="U60" i="38"/>
  <c r="S60" i="38"/>
  <c r="R60" i="38"/>
  <c r="P60" i="38"/>
  <c r="O60" i="38"/>
  <c r="M60" i="38"/>
  <c r="L60" i="38"/>
  <c r="F60" i="38"/>
  <c r="E60" i="38"/>
  <c r="D60" i="38"/>
  <c r="C60" i="38"/>
  <c r="B60" i="38"/>
  <c r="G58" i="38"/>
  <c r="G57" i="38"/>
  <c r="G56" i="38"/>
  <c r="G55" i="38"/>
  <c r="G54" i="38"/>
  <c r="G53" i="38"/>
  <c r="G52" i="38"/>
  <c r="G51" i="38"/>
  <c r="G50" i="38"/>
  <c r="G49" i="38"/>
  <c r="G48" i="38"/>
  <c r="G47" i="38"/>
  <c r="G46" i="38"/>
  <c r="G45" i="38"/>
  <c r="G44" i="38"/>
  <c r="G43" i="38"/>
  <c r="G42" i="38"/>
  <c r="G41" i="38"/>
  <c r="G40" i="38"/>
  <c r="G39" i="38"/>
  <c r="G38" i="38"/>
  <c r="G37" i="38"/>
  <c r="G36" i="38"/>
  <c r="G35" i="38"/>
  <c r="G34" i="38"/>
  <c r="G33" i="38"/>
  <c r="G32" i="38"/>
  <c r="G31" i="38"/>
  <c r="G30" i="38"/>
  <c r="G29" i="38"/>
  <c r="G28" i="38"/>
  <c r="G27" i="38"/>
  <c r="J26" i="38"/>
  <c r="G26" i="38"/>
  <c r="G25" i="38"/>
  <c r="G24" i="38"/>
  <c r="G23" i="38"/>
  <c r="G22" i="38"/>
  <c r="G21" i="38"/>
  <c r="G20" i="38"/>
  <c r="G19" i="38"/>
  <c r="G18" i="38"/>
  <c r="G17" i="38"/>
  <c r="G16" i="38"/>
  <c r="G15" i="38"/>
  <c r="G14" i="38"/>
  <c r="G13" i="38"/>
  <c r="G12" i="38"/>
  <c r="G11" i="38"/>
  <c r="G10" i="38"/>
  <c r="G9" i="38"/>
  <c r="G8" i="38"/>
  <c r="G7" i="38"/>
  <c r="G6" i="38"/>
  <c r="G60" i="38" s="1"/>
  <c r="V60" i="37"/>
  <c r="U60" i="37"/>
  <c r="S60" i="37"/>
  <c r="R60" i="37"/>
  <c r="P60" i="37"/>
  <c r="O60" i="37"/>
  <c r="M60" i="37"/>
  <c r="L60" i="37"/>
  <c r="F60" i="37"/>
  <c r="E60" i="37"/>
  <c r="D60" i="37"/>
  <c r="C60" i="37"/>
  <c r="B60" i="37"/>
  <c r="G58" i="37"/>
  <c r="G57" i="37"/>
  <c r="G56" i="37"/>
  <c r="G55" i="37"/>
  <c r="G54" i="37"/>
  <c r="G53" i="37"/>
  <c r="G52" i="37"/>
  <c r="G51" i="37"/>
  <c r="G50" i="37"/>
  <c r="G49" i="37"/>
  <c r="G48" i="37"/>
  <c r="G47" i="37"/>
  <c r="G46" i="37"/>
  <c r="G45" i="37"/>
  <c r="G44" i="37"/>
  <c r="G43" i="37"/>
  <c r="G42" i="37"/>
  <c r="G41" i="37"/>
  <c r="G40" i="37"/>
  <c r="G39" i="37"/>
  <c r="G38" i="37"/>
  <c r="G37" i="37"/>
  <c r="G36" i="37"/>
  <c r="G35" i="37"/>
  <c r="G34" i="37"/>
  <c r="G33" i="37"/>
  <c r="G32" i="37"/>
  <c r="G31" i="37"/>
  <c r="G30" i="37"/>
  <c r="G29" i="37"/>
  <c r="G28" i="37"/>
  <c r="G27" i="37"/>
  <c r="J26" i="37"/>
  <c r="G26" i="37"/>
  <c r="G25" i="37"/>
  <c r="G24" i="37"/>
  <c r="G23" i="37"/>
  <c r="G22" i="37"/>
  <c r="G21" i="37"/>
  <c r="G20" i="37"/>
  <c r="G19" i="37"/>
  <c r="G18" i="37"/>
  <c r="G17" i="37"/>
  <c r="G16" i="37"/>
  <c r="G15" i="37"/>
  <c r="G14" i="37"/>
  <c r="G13" i="37"/>
  <c r="G12" i="37"/>
  <c r="G11" i="37"/>
  <c r="G10" i="37"/>
  <c r="G9" i="37"/>
  <c r="G8" i="37"/>
  <c r="G7" i="37"/>
  <c r="G6" i="37"/>
  <c r="G60" i="37" s="1"/>
  <c r="V60" i="36"/>
  <c r="U60" i="36"/>
  <c r="S60" i="36"/>
  <c r="R60" i="36"/>
  <c r="P60" i="36"/>
  <c r="O60" i="36"/>
  <c r="M60" i="36"/>
  <c r="L60" i="36"/>
  <c r="F60" i="36"/>
  <c r="E60" i="36"/>
  <c r="D60" i="36"/>
  <c r="C60" i="36"/>
  <c r="B60" i="36"/>
  <c r="G58" i="36"/>
  <c r="G57" i="36"/>
  <c r="G56" i="36"/>
  <c r="G55" i="36"/>
  <c r="G54" i="36"/>
  <c r="G53" i="36"/>
  <c r="G52" i="36"/>
  <c r="G51" i="36"/>
  <c r="G50" i="36"/>
  <c r="G49" i="36"/>
  <c r="G48" i="36"/>
  <c r="G47" i="36"/>
  <c r="G46" i="36"/>
  <c r="G45" i="36"/>
  <c r="G44" i="36"/>
  <c r="G43" i="36"/>
  <c r="G42" i="36"/>
  <c r="G41" i="36"/>
  <c r="G40" i="36"/>
  <c r="G39" i="36"/>
  <c r="G38" i="36"/>
  <c r="G37" i="36"/>
  <c r="G36" i="36"/>
  <c r="G35" i="36"/>
  <c r="G34" i="36"/>
  <c r="G33" i="36"/>
  <c r="G32" i="36"/>
  <c r="G31" i="36"/>
  <c r="G30" i="36"/>
  <c r="G29" i="36"/>
  <c r="G28" i="36"/>
  <c r="G27" i="36"/>
  <c r="J26" i="36"/>
  <c r="G26" i="36"/>
  <c r="G25" i="36"/>
  <c r="G24" i="36"/>
  <c r="G23" i="36"/>
  <c r="G22" i="36"/>
  <c r="G21" i="36"/>
  <c r="G20" i="36"/>
  <c r="G19" i="36"/>
  <c r="G18" i="36"/>
  <c r="G17" i="36"/>
  <c r="G16" i="36"/>
  <c r="G15" i="36"/>
  <c r="G14" i="36"/>
  <c r="G13" i="36"/>
  <c r="G12" i="36"/>
  <c r="G11" i="36"/>
  <c r="G10" i="36"/>
  <c r="G9" i="36"/>
  <c r="G8" i="36"/>
  <c r="G7" i="36"/>
  <c r="G6" i="36"/>
  <c r="J27" i="36" s="1"/>
  <c r="V60" i="35"/>
  <c r="U60" i="35"/>
  <c r="S60" i="35"/>
  <c r="R60" i="35"/>
  <c r="P60" i="35"/>
  <c r="O60" i="35"/>
  <c r="M60" i="35"/>
  <c r="L60" i="35"/>
  <c r="F60" i="35"/>
  <c r="E60" i="35"/>
  <c r="D60" i="35"/>
  <c r="C60" i="35"/>
  <c r="B60" i="35"/>
  <c r="G58" i="35"/>
  <c r="G57" i="35"/>
  <c r="G56" i="35"/>
  <c r="G55" i="35"/>
  <c r="G54" i="35"/>
  <c r="G53" i="35"/>
  <c r="G52" i="35"/>
  <c r="G51" i="35"/>
  <c r="G50" i="35"/>
  <c r="G49" i="35"/>
  <c r="G48" i="35"/>
  <c r="G47" i="35"/>
  <c r="G46" i="35"/>
  <c r="G45" i="35"/>
  <c r="G44" i="35"/>
  <c r="G43" i="35"/>
  <c r="G42" i="35"/>
  <c r="G41" i="35"/>
  <c r="G40" i="35"/>
  <c r="G39" i="35"/>
  <c r="G38" i="35"/>
  <c r="G37" i="35"/>
  <c r="G36" i="35"/>
  <c r="G35" i="35"/>
  <c r="G34" i="35"/>
  <c r="G33" i="35"/>
  <c r="G32" i="35"/>
  <c r="G31" i="35"/>
  <c r="G30" i="35"/>
  <c r="G29" i="35"/>
  <c r="G28" i="35"/>
  <c r="G27" i="35"/>
  <c r="J26" i="35"/>
  <c r="G26" i="35"/>
  <c r="G25" i="35"/>
  <c r="G24" i="35"/>
  <c r="G23" i="35"/>
  <c r="G22" i="35"/>
  <c r="G21" i="35"/>
  <c r="G20" i="35"/>
  <c r="G19" i="35"/>
  <c r="G18" i="35"/>
  <c r="G17" i="35"/>
  <c r="G16" i="35"/>
  <c r="G15" i="35"/>
  <c r="G14" i="35"/>
  <c r="G13" i="35"/>
  <c r="G12" i="35"/>
  <c r="G11" i="35"/>
  <c r="G10" i="35"/>
  <c r="G9" i="35"/>
  <c r="G8" i="35"/>
  <c r="G7" i="35"/>
  <c r="G6" i="35"/>
  <c r="G60" i="35" s="1"/>
  <c r="V60" i="34"/>
  <c r="U60" i="34"/>
  <c r="S60" i="34"/>
  <c r="R60" i="34"/>
  <c r="P60" i="34"/>
  <c r="O60" i="34"/>
  <c r="M60" i="34"/>
  <c r="L60" i="34"/>
  <c r="F60" i="34"/>
  <c r="E60" i="34"/>
  <c r="D60" i="34"/>
  <c r="C60" i="34"/>
  <c r="B60" i="34"/>
  <c r="G58" i="34"/>
  <c r="G57" i="34"/>
  <c r="G56" i="34"/>
  <c r="G55" i="34"/>
  <c r="G54" i="34"/>
  <c r="G53" i="34"/>
  <c r="G52" i="34"/>
  <c r="G51" i="34"/>
  <c r="G50" i="34"/>
  <c r="G49" i="34"/>
  <c r="G48" i="34"/>
  <c r="G47" i="34"/>
  <c r="G46" i="34"/>
  <c r="G45" i="34"/>
  <c r="G44" i="34"/>
  <c r="G43" i="34"/>
  <c r="G42" i="34"/>
  <c r="G41" i="34"/>
  <c r="G40" i="34"/>
  <c r="G39" i="34"/>
  <c r="G38" i="34"/>
  <c r="G37" i="34"/>
  <c r="G36" i="34"/>
  <c r="G35" i="34"/>
  <c r="G34" i="34"/>
  <c r="G33" i="34"/>
  <c r="G32" i="34"/>
  <c r="G31" i="34"/>
  <c r="G30" i="34"/>
  <c r="G29" i="34"/>
  <c r="G28" i="34"/>
  <c r="G27" i="34"/>
  <c r="J26" i="34"/>
  <c r="G26" i="34"/>
  <c r="G25" i="34"/>
  <c r="G24" i="34"/>
  <c r="G23" i="34"/>
  <c r="G22" i="34"/>
  <c r="G21" i="34"/>
  <c r="G20" i="34"/>
  <c r="G19" i="34"/>
  <c r="G18" i="34"/>
  <c r="G17" i="34"/>
  <c r="G16" i="34"/>
  <c r="G15" i="34"/>
  <c r="G14" i="34"/>
  <c r="G13" i="34"/>
  <c r="G12" i="34"/>
  <c r="G11" i="34"/>
  <c r="G10" i="34"/>
  <c r="G9" i="34"/>
  <c r="G8" i="34"/>
  <c r="G7" i="34"/>
  <c r="G6" i="34"/>
  <c r="G60" i="34" s="1"/>
  <c r="V60" i="33"/>
  <c r="U60" i="33"/>
  <c r="S60" i="33"/>
  <c r="R60" i="33"/>
  <c r="P60" i="33"/>
  <c r="O60" i="33"/>
  <c r="M60" i="33"/>
  <c r="L60" i="33"/>
  <c r="F60" i="33"/>
  <c r="E60" i="33"/>
  <c r="D60" i="33"/>
  <c r="C60" i="33"/>
  <c r="B60" i="33"/>
  <c r="G58" i="33"/>
  <c r="G57" i="33"/>
  <c r="G56" i="33"/>
  <c r="G55" i="33"/>
  <c r="G54" i="33"/>
  <c r="G53" i="33"/>
  <c r="G52" i="33"/>
  <c r="G51" i="33"/>
  <c r="G50" i="33"/>
  <c r="G49" i="33"/>
  <c r="G48" i="33"/>
  <c r="G47" i="33"/>
  <c r="G46" i="33"/>
  <c r="G45" i="33"/>
  <c r="G44" i="33"/>
  <c r="G43" i="33"/>
  <c r="G42" i="33"/>
  <c r="G41" i="33"/>
  <c r="G40" i="33"/>
  <c r="G39" i="33"/>
  <c r="G38" i="33"/>
  <c r="G37" i="33"/>
  <c r="G36" i="33"/>
  <c r="G35" i="33"/>
  <c r="G34" i="33"/>
  <c r="G33" i="33"/>
  <c r="G32" i="33"/>
  <c r="G31" i="33"/>
  <c r="G30" i="33"/>
  <c r="G29" i="33"/>
  <c r="G28" i="33"/>
  <c r="G27" i="33"/>
  <c r="J26" i="33"/>
  <c r="G26" i="33"/>
  <c r="G25" i="33"/>
  <c r="G24" i="33"/>
  <c r="G23" i="33"/>
  <c r="G22" i="33"/>
  <c r="G21" i="33"/>
  <c r="G20" i="33"/>
  <c r="G19" i="33"/>
  <c r="G18" i="33"/>
  <c r="G17" i="33"/>
  <c r="G16" i="33"/>
  <c r="G15" i="33"/>
  <c r="G14" i="33"/>
  <c r="G13" i="33"/>
  <c r="G12" i="33"/>
  <c r="G11" i="33"/>
  <c r="G10" i="33"/>
  <c r="G9" i="33"/>
  <c r="G8" i="33"/>
  <c r="G7" i="33"/>
  <c r="G6" i="33"/>
  <c r="G60" i="33" s="1"/>
  <c r="V60" i="32"/>
  <c r="U60" i="32"/>
  <c r="S60" i="32"/>
  <c r="R60" i="32"/>
  <c r="P60" i="32"/>
  <c r="O60" i="32"/>
  <c r="M60" i="32"/>
  <c r="L60" i="32"/>
  <c r="F60" i="32"/>
  <c r="E60" i="32"/>
  <c r="D60" i="32"/>
  <c r="C60" i="32"/>
  <c r="B60" i="32"/>
  <c r="G58" i="32"/>
  <c r="G57" i="32"/>
  <c r="G56" i="32"/>
  <c r="G55" i="32"/>
  <c r="G54" i="32"/>
  <c r="G53" i="32"/>
  <c r="G52" i="32"/>
  <c r="G51" i="32"/>
  <c r="G50" i="32"/>
  <c r="G49" i="32"/>
  <c r="G48" i="32"/>
  <c r="G47" i="32"/>
  <c r="G46" i="32"/>
  <c r="G45" i="32"/>
  <c r="G44" i="32"/>
  <c r="G43" i="32"/>
  <c r="G42" i="32"/>
  <c r="G41" i="32"/>
  <c r="G40" i="32"/>
  <c r="G39" i="32"/>
  <c r="G38" i="32"/>
  <c r="G37" i="32"/>
  <c r="G36" i="32"/>
  <c r="G35" i="32"/>
  <c r="G34" i="32"/>
  <c r="G33" i="32"/>
  <c r="G32" i="32"/>
  <c r="G31" i="32"/>
  <c r="G30" i="32"/>
  <c r="G29" i="32"/>
  <c r="G28" i="32"/>
  <c r="G27" i="32"/>
  <c r="J26" i="32"/>
  <c r="G26" i="32"/>
  <c r="G25" i="32"/>
  <c r="G24" i="32"/>
  <c r="G23" i="32"/>
  <c r="G22" i="32"/>
  <c r="G21" i="32"/>
  <c r="G20" i="32"/>
  <c r="G19" i="32"/>
  <c r="G18" i="32"/>
  <c r="G17" i="32"/>
  <c r="G16" i="32"/>
  <c r="G15" i="32"/>
  <c r="G14" i="32"/>
  <c r="G13" i="32"/>
  <c r="G12" i="32"/>
  <c r="G11" i="32"/>
  <c r="G10" i="32"/>
  <c r="G9" i="32"/>
  <c r="G8" i="32"/>
  <c r="G7" i="32"/>
  <c r="G6" i="32"/>
  <c r="J27" i="32" s="1"/>
  <c r="V60" i="31"/>
  <c r="U60" i="31"/>
  <c r="S60" i="31"/>
  <c r="R60" i="31"/>
  <c r="P60" i="31"/>
  <c r="O60" i="31"/>
  <c r="M60" i="31"/>
  <c r="L60" i="31"/>
  <c r="F60" i="31"/>
  <c r="E60" i="31"/>
  <c r="D60" i="31"/>
  <c r="C60" i="31"/>
  <c r="B60" i="31"/>
  <c r="G58" i="31"/>
  <c r="G57" i="31"/>
  <c r="G56" i="31"/>
  <c r="G55" i="31"/>
  <c r="G54" i="31"/>
  <c r="G53" i="31"/>
  <c r="G52" i="31"/>
  <c r="G51" i="31"/>
  <c r="G50" i="31"/>
  <c r="G49" i="31"/>
  <c r="G48" i="31"/>
  <c r="G47" i="31"/>
  <c r="G46" i="31"/>
  <c r="G45" i="31"/>
  <c r="G44" i="31"/>
  <c r="G43" i="31"/>
  <c r="G42" i="31"/>
  <c r="G41" i="31"/>
  <c r="G40" i="31"/>
  <c r="G39" i="31"/>
  <c r="G38" i="31"/>
  <c r="G37" i="31"/>
  <c r="G36" i="31"/>
  <c r="G35" i="31"/>
  <c r="G34" i="31"/>
  <c r="G33" i="31"/>
  <c r="G32" i="31"/>
  <c r="G31" i="31"/>
  <c r="G30" i="31"/>
  <c r="G29" i="31"/>
  <c r="G28" i="31"/>
  <c r="G27" i="31"/>
  <c r="J26" i="31"/>
  <c r="G26" i="31"/>
  <c r="G25" i="31"/>
  <c r="G24" i="31"/>
  <c r="G23" i="31"/>
  <c r="G22" i="31"/>
  <c r="G21" i="31"/>
  <c r="G20" i="31"/>
  <c r="G19" i="31"/>
  <c r="G18" i="31"/>
  <c r="G17" i="31"/>
  <c r="G16" i="31"/>
  <c r="G15" i="31"/>
  <c r="G14" i="31"/>
  <c r="G13" i="31"/>
  <c r="G12" i="31"/>
  <c r="G11" i="31"/>
  <c r="G10" i="31"/>
  <c r="G9" i="31"/>
  <c r="G8" i="31"/>
  <c r="G7" i="31"/>
  <c r="G6" i="31"/>
  <c r="G60" i="31" s="1"/>
  <c r="V60" i="30"/>
  <c r="U60" i="30"/>
  <c r="S60" i="30"/>
  <c r="R60" i="30"/>
  <c r="P60" i="30"/>
  <c r="O60" i="30"/>
  <c r="M60" i="30"/>
  <c r="L60" i="30"/>
  <c r="F60" i="30"/>
  <c r="E60" i="30"/>
  <c r="D60" i="30"/>
  <c r="C60" i="30"/>
  <c r="B60" i="30"/>
  <c r="G58" i="30"/>
  <c r="G57" i="30"/>
  <c r="G56" i="30"/>
  <c r="G55" i="30"/>
  <c r="G54" i="30"/>
  <c r="G53" i="30"/>
  <c r="G52" i="30"/>
  <c r="G51" i="30"/>
  <c r="G50" i="30"/>
  <c r="G49" i="30"/>
  <c r="G48" i="30"/>
  <c r="G47" i="30"/>
  <c r="G46" i="30"/>
  <c r="G45" i="30"/>
  <c r="G44" i="30"/>
  <c r="G43" i="30"/>
  <c r="G42" i="30"/>
  <c r="G41" i="30"/>
  <c r="G40" i="30"/>
  <c r="G39" i="30"/>
  <c r="G38" i="30"/>
  <c r="G37" i="30"/>
  <c r="G36" i="30"/>
  <c r="G35" i="30"/>
  <c r="G34" i="30"/>
  <c r="G33" i="30"/>
  <c r="G32" i="30"/>
  <c r="G31" i="30"/>
  <c r="G30" i="30"/>
  <c r="G29" i="30"/>
  <c r="G28" i="30"/>
  <c r="G27" i="30"/>
  <c r="J26" i="30"/>
  <c r="G26" i="30"/>
  <c r="G25" i="30"/>
  <c r="G24" i="30"/>
  <c r="G23" i="30"/>
  <c r="G22" i="30"/>
  <c r="G21" i="30"/>
  <c r="G20" i="30"/>
  <c r="G19" i="30"/>
  <c r="G18" i="30"/>
  <c r="G17" i="30"/>
  <c r="G16" i="30"/>
  <c r="G15" i="30"/>
  <c r="G14" i="30"/>
  <c r="G13" i="30"/>
  <c r="G12" i="30"/>
  <c r="G11" i="30"/>
  <c r="G10" i="30"/>
  <c r="G9" i="30"/>
  <c r="G8" i="30"/>
  <c r="G7" i="30"/>
  <c r="G6" i="30"/>
  <c r="G60" i="30" s="1"/>
  <c r="V60" i="29"/>
  <c r="U60" i="29"/>
  <c r="S60" i="29"/>
  <c r="R60" i="29"/>
  <c r="P60" i="29"/>
  <c r="O60" i="29"/>
  <c r="M60" i="29"/>
  <c r="L60" i="29"/>
  <c r="F60" i="29"/>
  <c r="E60" i="29"/>
  <c r="D60" i="29"/>
  <c r="C60" i="29"/>
  <c r="B60" i="29"/>
  <c r="G58" i="29"/>
  <c r="G57" i="29"/>
  <c r="G56" i="29"/>
  <c r="G55" i="29"/>
  <c r="G54" i="29"/>
  <c r="G53" i="29"/>
  <c r="G52" i="29"/>
  <c r="G51" i="29"/>
  <c r="G50" i="29"/>
  <c r="G49" i="29"/>
  <c r="G48" i="29"/>
  <c r="G47" i="29"/>
  <c r="G46" i="29"/>
  <c r="G45" i="29"/>
  <c r="G44" i="29"/>
  <c r="G43" i="29"/>
  <c r="G42" i="29"/>
  <c r="G41" i="29"/>
  <c r="G40" i="29"/>
  <c r="G39" i="29"/>
  <c r="G38" i="29"/>
  <c r="G37" i="29"/>
  <c r="G36" i="29"/>
  <c r="G35" i="29"/>
  <c r="G34" i="29"/>
  <c r="G33" i="29"/>
  <c r="G32" i="29"/>
  <c r="G31" i="29"/>
  <c r="G30" i="29"/>
  <c r="G29" i="29"/>
  <c r="G28" i="29"/>
  <c r="G27" i="29"/>
  <c r="J26" i="29"/>
  <c r="G26" i="29"/>
  <c r="G25" i="29"/>
  <c r="G24" i="29"/>
  <c r="G23" i="29"/>
  <c r="G22" i="29"/>
  <c r="G21" i="29"/>
  <c r="G20" i="29"/>
  <c r="G19" i="29"/>
  <c r="G18" i="29"/>
  <c r="G17" i="29"/>
  <c r="G16" i="29"/>
  <c r="G15" i="29"/>
  <c r="G14" i="29"/>
  <c r="G13" i="29"/>
  <c r="G12" i="29"/>
  <c r="G11" i="29"/>
  <c r="G10" i="29"/>
  <c r="G9" i="29"/>
  <c r="G8" i="29"/>
  <c r="G7" i="29"/>
  <c r="G6" i="29"/>
  <c r="G60" i="29" s="1"/>
  <c r="V60" i="28"/>
  <c r="U60" i="28"/>
  <c r="S60" i="28"/>
  <c r="R60" i="28"/>
  <c r="P60" i="28"/>
  <c r="O60" i="28"/>
  <c r="M60" i="28"/>
  <c r="L60" i="28"/>
  <c r="F60" i="28"/>
  <c r="E60" i="28"/>
  <c r="D60" i="28"/>
  <c r="C60" i="28"/>
  <c r="B60" i="28"/>
  <c r="G58" i="28"/>
  <c r="G57" i="28"/>
  <c r="G56" i="28"/>
  <c r="G55" i="28"/>
  <c r="G54" i="28"/>
  <c r="G53" i="28"/>
  <c r="G52" i="28"/>
  <c r="G51" i="28"/>
  <c r="G50" i="28"/>
  <c r="G49" i="28"/>
  <c r="G48" i="28"/>
  <c r="G47" i="28"/>
  <c r="G46" i="28"/>
  <c r="G45" i="28"/>
  <c r="G44" i="28"/>
  <c r="G43" i="28"/>
  <c r="G42" i="28"/>
  <c r="G41" i="28"/>
  <c r="G40" i="28"/>
  <c r="G39" i="28"/>
  <c r="G38" i="28"/>
  <c r="G37" i="28"/>
  <c r="G36" i="28"/>
  <c r="G35" i="28"/>
  <c r="G34" i="28"/>
  <c r="G33" i="28"/>
  <c r="G32" i="28"/>
  <c r="G31" i="28"/>
  <c r="G30" i="28"/>
  <c r="G29" i="28"/>
  <c r="G28" i="28"/>
  <c r="G27" i="28"/>
  <c r="J26" i="28"/>
  <c r="G26" i="28"/>
  <c r="G25" i="28"/>
  <c r="G24" i="28"/>
  <c r="G23" i="28"/>
  <c r="G22" i="28"/>
  <c r="G21" i="28"/>
  <c r="G20" i="28"/>
  <c r="G19" i="28"/>
  <c r="G18" i="28"/>
  <c r="G17" i="28"/>
  <c r="G16" i="28"/>
  <c r="G15" i="28"/>
  <c r="G14" i="28"/>
  <c r="G13" i="28"/>
  <c r="G12" i="28"/>
  <c r="G11" i="28"/>
  <c r="G10" i="28"/>
  <c r="G9" i="28"/>
  <c r="G8" i="28"/>
  <c r="G7" i="28"/>
  <c r="G6" i="28"/>
  <c r="J27" i="28" s="1"/>
  <c r="V60" i="27"/>
  <c r="U60" i="27"/>
  <c r="S60" i="27"/>
  <c r="R60" i="27"/>
  <c r="P60" i="27"/>
  <c r="O60" i="27"/>
  <c r="M60" i="27"/>
  <c r="L60" i="27"/>
  <c r="F60" i="27"/>
  <c r="E60" i="27"/>
  <c r="D60" i="27"/>
  <c r="C60" i="27"/>
  <c r="B60" i="27"/>
  <c r="G58" i="27"/>
  <c r="G57" i="27"/>
  <c r="G56" i="27"/>
  <c r="G55" i="27"/>
  <c r="G54" i="27"/>
  <c r="G53" i="27"/>
  <c r="G52" i="27"/>
  <c r="G51" i="27"/>
  <c r="G50" i="27"/>
  <c r="G49" i="27"/>
  <c r="G48" i="27"/>
  <c r="G47" i="27"/>
  <c r="G46" i="27"/>
  <c r="G45" i="27"/>
  <c r="G44" i="27"/>
  <c r="G43" i="27"/>
  <c r="G42" i="27"/>
  <c r="G41" i="27"/>
  <c r="G40" i="27"/>
  <c r="G39" i="27"/>
  <c r="G38" i="27"/>
  <c r="G37" i="27"/>
  <c r="G36" i="27"/>
  <c r="G35" i="27"/>
  <c r="G34" i="27"/>
  <c r="G33" i="27"/>
  <c r="G32" i="27"/>
  <c r="G31" i="27"/>
  <c r="G30" i="27"/>
  <c r="G29" i="27"/>
  <c r="G28" i="27"/>
  <c r="G27" i="27"/>
  <c r="J26" i="27"/>
  <c r="G26" i="27"/>
  <c r="G25" i="27"/>
  <c r="G24" i="27"/>
  <c r="G23" i="27"/>
  <c r="G22" i="27"/>
  <c r="G21" i="27"/>
  <c r="G20" i="27"/>
  <c r="G19" i="27"/>
  <c r="G18" i="27"/>
  <c r="G17" i="27"/>
  <c r="G16" i="27"/>
  <c r="G15" i="27"/>
  <c r="G14" i="27"/>
  <c r="G13" i="27"/>
  <c r="G12" i="27"/>
  <c r="G11" i="27"/>
  <c r="G10" i="27"/>
  <c r="G9" i="27"/>
  <c r="G8" i="27"/>
  <c r="G7" i="27"/>
  <c r="G6" i="27"/>
  <c r="G60" i="27" s="1"/>
  <c r="V60" i="26"/>
  <c r="U60" i="26"/>
  <c r="S60" i="26"/>
  <c r="R60" i="26"/>
  <c r="P60" i="26"/>
  <c r="O60" i="26"/>
  <c r="M60" i="26"/>
  <c r="L60" i="26"/>
  <c r="F60" i="26"/>
  <c r="E60" i="26"/>
  <c r="D60" i="26"/>
  <c r="C60" i="26"/>
  <c r="B60" i="26"/>
  <c r="G58" i="26"/>
  <c r="G57" i="26"/>
  <c r="G56" i="26"/>
  <c r="G55" i="26"/>
  <c r="G54" i="26"/>
  <c r="G53" i="26"/>
  <c r="G52" i="26"/>
  <c r="G51" i="26"/>
  <c r="G50" i="26"/>
  <c r="G49" i="26"/>
  <c r="G48" i="26"/>
  <c r="G47" i="26"/>
  <c r="G46" i="26"/>
  <c r="G45" i="26"/>
  <c r="G44" i="26"/>
  <c r="G43" i="26"/>
  <c r="G42" i="26"/>
  <c r="G41" i="26"/>
  <c r="G40" i="26"/>
  <c r="G39" i="26"/>
  <c r="G38" i="26"/>
  <c r="G37" i="26"/>
  <c r="G36" i="26"/>
  <c r="G35" i="26"/>
  <c r="G34" i="26"/>
  <c r="G33" i="26"/>
  <c r="G32" i="26"/>
  <c r="G31" i="26"/>
  <c r="G30" i="26"/>
  <c r="G29" i="26"/>
  <c r="G28" i="26"/>
  <c r="G27" i="26"/>
  <c r="J26" i="26"/>
  <c r="G26" i="26"/>
  <c r="G25" i="26"/>
  <c r="G24" i="26"/>
  <c r="G23" i="26"/>
  <c r="G22" i="26"/>
  <c r="G21" i="26"/>
  <c r="G20" i="26"/>
  <c r="G19" i="26"/>
  <c r="G18" i="26"/>
  <c r="G17" i="26"/>
  <c r="G16" i="26"/>
  <c r="G15" i="26"/>
  <c r="G14" i="26"/>
  <c r="G13" i="26"/>
  <c r="G12" i="26"/>
  <c r="G11" i="26"/>
  <c r="G10" i="26"/>
  <c r="G9" i="26"/>
  <c r="G8" i="26"/>
  <c r="G7" i="26"/>
  <c r="G6" i="26"/>
  <c r="G60" i="26" s="1"/>
  <c r="V60" i="25"/>
  <c r="U60" i="25"/>
  <c r="S60" i="25"/>
  <c r="R60" i="25"/>
  <c r="P60" i="25"/>
  <c r="O60" i="25"/>
  <c r="M60" i="25"/>
  <c r="L60" i="25"/>
  <c r="F60" i="25"/>
  <c r="E60" i="25"/>
  <c r="D60" i="25"/>
  <c r="C60" i="25"/>
  <c r="B60" i="25"/>
  <c r="G58" i="25"/>
  <c r="G57" i="25"/>
  <c r="G56" i="25"/>
  <c r="G55" i="25"/>
  <c r="G54" i="25"/>
  <c r="G53" i="25"/>
  <c r="G52" i="25"/>
  <c r="G51" i="25"/>
  <c r="G50" i="25"/>
  <c r="G49" i="25"/>
  <c r="G48" i="25"/>
  <c r="G47" i="25"/>
  <c r="G46" i="25"/>
  <c r="G45" i="25"/>
  <c r="G44" i="25"/>
  <c r="G43" i="25"/>
  <c r="G42" i="25"/>
  <c r="G41" i="25"/>
  <c r="G40" i="25"/>
  <c r="G39" i="25"/>
  <c r="G38" i="25"/>
  <c r="G37" i="25"/>
  <c r="G36" i="25"/>
  <c r="G35" i="25"/>
  <c r="G34" i="25"/>
  <c r="G33" i="25"/>
  <c r="G32" i="25"/>
  <c r="G31" i="25"/>
  <c r="G30" i="25"/>
  <c r="G29" i="25"/>
  <c r="G28" i="25"/>
  <c r="G27" i="25"/>
  <c r="J26" i="25"/>
  <c r="G26" i="25"/>
  <c r="G25" i="25"/>
  <c r="G24" i="25"/>
  <c r="G23" i="25"/>
  <c r="G22" i="25"/>
  <c r="G21" i="25"/>
  <c r="G20" i="25"/>
  <c r="G19" i="25"/>
  <c r="G18" i="25"/>
  <c r="G17" i="25"/>
  <c r="G16" i="25"/>
  <c r="G15" i="25"/>
  <c r="G14" i="25"/>
  <c r="G13" i="25"/>
  <c r="G12" i="25"/>
  <c r="G11" i="25"/>
  <c r="G10" i="25"/>
  <c r="G9" i="25"/>
  <c r="G8" i="25"/>
  <c r="G7" i="25"/>
  <c r="G6" i="25"/>
  <c r="G60" i="25" s="1"/>
  <c r="V60" i="24"/>
  <c r="U60" i="24"/>
  <c r="S60" i="24"/>
  <c r="R60" i="24"/>
  <c r="P60" i="24"/>
  <c r="O60" i="24"/>
  <c r="M60" i="24"/>
  <c r="L60" i="24"/>
  <c r="F60" i="24"/>
  <c r="E60" i="24"/>
  <c r="D60" i="24"/>
  <c r="C60" i="24"/>
  <c r="B60" i="24"/>
  <c r="G58" i="24"/>
  <c r="G57" i="24"/>
  <c r="G56" i="24"/>
  <c r="G55" i="24"/>
  <c r="G54" i="24"/>
  <c r="G53" i="24"/>
  <c r="G52" i="24"/>
  <c r="G51" i="24"/>
  <c r="G50" i="24"/>
  <c r="G49" i="24"/>
  <c r="G48" i="24"/>
  <c r="G47" i="24"/>
  <c r="G46" i="24"/>
  <c r="G45" i="24"/>
  <c r="G44" i="24"/>
  <c r="G43" i="24"/>
  <c r="G42" i="24"/>
  <c r="G41" i="24"/>
  <c r="G40" i="24"/>
  <c r="G39" i="24"/>
  <c r="G38" i="24"/>
  <c r="G37" i="24"/>
  <c r="G36" i="24"/>
  <c r="G35" i="24"/>
  <c r="G34" i="24"/>
  <c r="G33" i="24"/>
  <c r="G32" i="24"/>
  <c r="G31" i="24"/>
  <c r="G30" i="24"/>
  <c r="G29" i="24"/>
  <c r="G28" i="24"/>
  <c r="G27" i="24"/>
  <c r="J26" i="24"/>
  <c r="G26" i="24"/>
  <c r="G25" i="24"/>
  <c r="G24" i="24"/>
  <c r="G23" i="24"/>
  <c r="G22" i="24"/>
  <c r="G21" i="24"/>
  <c r="G20" i="24"/>
  <c r="G19" i="24"/>
  <c r="G18" i="24"/>
  <c r="G17" i="24"/>
  <c r="G16" i="24"/>
  <c r="G15" i="24"/>
  <c r="G14" i="24"/>
  <c r="G13" i="24"/>
  <c r="G12" i="24"/>
  <c r="G11" i="24"/>
  <c r="G10" i="24"/>
  <c r="G9" i="24"/>
  <c r="G8" i="24"/>
  <c r="G7" i="24"/>
  <c r="G6" i="24"/>
  <c r="J27" i="24" s="1"/>
  <c r="V60" i="23"/>
  <c r="U60" i="23"/>
  <c r="S60" i="23"/>
  <c r="R60" i="23"/>
  <c r="P60" i="23"/>
  <c r="O60" i="23"/>
  <c r="M60" i="23"/>
  <c r="L60" i="23"/>
  <c r="F60" i="23"/>
  <c r="E60" i="23"/>
  <c r="D60" i="23"/>
  <c r="C60" i="23"/>
  <c r="B60" i="23"/>
  <c r="G58" i="23"/>
  <c r="G57" i="23"/>
  <c r="G56" i="23"/>
  <c r="G55" i="23"/>
  <c r="G54" i="23"/>
  <c r="G53" i="23"/>
  <c r="G52" i="23"/>
  <c r="G51" i="23"/>
  <c r="G50" i="23"/>
  <c r="G49" i="23"/>
  <c r="G48" i="23"/>
  <c r="G47" i="23"/>
  <c r="G46" i="23"/>
  <c r="G45" i="23"/>
  <c r="G44" i="23"/>
  <c r="G43" i="23"/>
  <c r="G42" i="23"/>
  <c r="G41" i="23"/>
  <c r="G40" i="23"/>
  <c r="G39" i="23"/>
  <c r="G38" i="23"/>
  <c r="G37" i="23"/>
  <c r="G36" i="23"/>
  <c r="G35" i="23"/>
  <c r="G34" i="23"/>
  <c r="G33" i="23"/>
  <c r="G32" i="23"/>
  <c r="G31" i="23"/>
  <c r="G30" i="23"/>
  <c r="G29" i="23"/>
  <c r="G28" i="23"/>
  <c r="G27" i="23"/>
  <c r="J26" i="23"/>
  <c r="G26" i="23"/>
  <c r="G25" i="23"/>
  <c r="G24" i="23"/>
  <c r="G23" i="23"/>
  <c r="G22" i="23"/>
  <c r="G21" i="23"/>
  <c r="G20" i="23"/>
  <c r="G19" i="23"/>
  <c r="G18" i="23"/>
  <c r="G17" i="23"/>
  <c r="G16" i="23"/>
  <c r="G15" i="23"/>
  <c r="G14" i="23"/>
  <c r="G13" i="23"/>
  <c r="G12" i="23"/>
  <c r="G11" i="23"/>
  <c r="G10" i="23"/>
  <c r="G9" i="23"/>
  <c r="G8" i="23"/>
  <c r="G7" i="23"/>
  <c r="G6" i="23"/>
  <c r="G60" i="23" s="1"/>
  <c r="V60" i="22"/>
  <c r="U60" i="22"/>
  <c r="S60" i="22"/>
  <c r="R60" i="22"/>
  <c r="P60" i="22"/>
  <c r="O60" i="22"/>
  <c r="M60" i="22"/>
  <c r="L60" i="22"/>
  <c r="F60" i="22"/>
  <c r="E60" i="22"/>
  <c r="D60" i="22"/>
  <c r="C60" i="22"/>
  <c r="B60" i="22"/>
  <c r="G58" i="22"/>
  <c r="G57" i="22"/>
  <c r="G56" i="22"/>
  <c r="G55" i="22"/>
  <c r="G54" i="22"/>
  <c r="G53" i="22"/>
  <c r="G52" i="22"/>
  <c r="G51" i="22"/>
  <c r="G50" i="22"/>
  <c r="G49" i="22"/>
  <c r="G48" i="22"/>
  <c r="G47" i="22"/>
  <c r="G46" i="22"/>
  <c r="G45" i="22"/>
  <c r="G44" i="22"/>
  <c r="G43" i="22"/>
  <c r="G42" i="22"/>
  <c r="G41" i="22"/>
  <c r="G40" i="22"/>
  <c r="G39" i="22"/>
  <c r="G38" i="22"/>
  <c r="G37" i="22"/>
  <c r="G36" i="22"/>
  <c r="G35" i="22"/>
  <c r="G34" i="22"/>
  <c r="G33" i="22"/>
  <c r="G32" i="22"/>
  <c r="G31" i="22"/>
  <c r="G30" i="22"/>
  <c r="G29" i="22"/>
  <c r="G28" i="22"/>
  <c r="G27" i="22"/>
  <c r="J26" i="22"/>
  <c r="G26" i="22"/>
  <c r="G25" i="22"/>
  <c r="G24" i="22"/>
  <c r="G23" i="22"/>
  <c r="G22" i="22"/>
  <c r="G21" i="22"/>
  <c r="G20" i="22"/>
  <c r="G19" i="22"/>
  <c r="G18" i="22"/>
  <c r="G17" i="22"/>
  <c r="G16" i="22"/>
  <c r="G15" i="22"/>
  <c r="G14" i="22"/>
  <c r="G13" i="22"/>
  <c r="G12" i="22"/>
  <c r="G11" i="22"/>
  <c r="G10" i="22"/>
  <c r="G9" i="22"/>
  <c r="G8" i="22"/>
  <c r="G7" i="22"/>
  <c r="G6" i="22"/>
  <c r="G60" i="22" s="1"/>
  <c r="V60" i="21"/>
  <c r="U60" i="21"/>
  <c r="S60" i="21"/>
  <c r="R60" i="21"/>
  <c r="P60" i="21"/>
  <c r="O60" i="21"/>
  <c r="M60" i="21"/>
  <c r="L60" i="21"/>
  <c r="F60" i="21"/>
  <c r="E60" i="21"/>
  <c r="D60" i="21"/>
  <c r="C60" i="21"/>
  <c r="B60" i="21"/>
  <c r="G58" i="21"/>
  <c r="G57" i="21"/>
  <c r="G56" i="21"/>
  <c r="G55" i="21"/>
  <c r="G54" i="21"/>
  <c r="G53" i="21"/>
  <c r="G52" i="21"/>
  <c r="G51" i="21"/>
  <c r="G50" i="21"/>
  <c r="G49" i="21"/>
  <c r="G48" i="21"/>
  <c r="G47" i="21"/>
  <c r="G46" i="21"/>
  <c r="G45" i="21"/>
  <c r="G44" i="21"/>
  <c r="G43" i="21"/>
  <c r="G42" i="21"/>
  <c r="G41" i="21"/>
  <c r="G40" i="21"/>
  <c r="G39" i="21"/>
  <c r="G38" i="21"/>
  <c r="G37" i="21"/>
  <c r="G36" i="21"/>
  <c r="G35" i="21"/>
  <c r="G34" i="21"/>
  <c r="G33" i="21"/>
  <c r="G32" i="21"/>
  <c r="G31" i="21"/>
  <c r="G30" i="21"/>
  <c r="G29" i="21"/>
  <c r="G28" i="21"/>
  <c r="G27" i="21"/>
  <c r="J26" i="21"/>
  <c r="G26" i="21"/>
  <c r="G25" i="21"/>
  <c r="G24" i="21"/>
  <c r="G23" i="21"/>
  <c r="G22" i="21"/>
  <c r="G21" i="21"/>
  <c r="G20" i="21"/>
  <c r="G19" i="21"/>
  <c r="G18" i="21"/>
  <c r="G17" i="21"/>
  <c r="G16" i="21"/>
  <c r="G15" i="21"/>
  <c r="G14" i="21"/>
  <c r="G13" i="21"/>
  <c r="G12" i="21"/>
  <c r="G11" i="21"/>
  <c r="G10" i="21"/>
  <c r="G9" i="21"/>
  <c r="G8" i="21"/>
  <c r="G7" i="21"/>
  <c r="G6" i="21"/>
  <c r="G60" i="21" s="1"/>
  <c r="V60" i="20"/>
  <c r="U60" i="20"/>
  <c r="S60" i="20"/>
  <c r="R60" i="20"/>
  <c r="P60" i="20"/>
  <c r="O60" i="20"/>
  <c r="M60" i="20"/>
  <c r="L60" i="20"/>
  <c r="F60" i="20"/>
  <c r="E60" i="20"/>
  <c r="D60" i="20"/>
  <c r="C60" i="20"/>
  <c r="B60" i="20"/>
  <c r="G58" i="20"/>
  <c r="G57" i="20"/>
  <c r="G56" i="20"/>
  <c r="G55" i="20"/>
  <c r="G54" i="20"/>
  <c r="G53" i="20"/>
  <c r="G52" i="20"/>
  <c r="G51" i="20"/>
  <c r="G50" i="20"/>
  <c r="G49" i="20"/>
  <c r="G48" i="20"/>
  <c r="G47" i="20"/>
  <c r="G46" i="20"/>
  <c r="G45" i="20"/>
  <c r="G44" i="20"/>
  <c r="G43" i="20"/>
  <c r="G42" i="20"/>
  <c r="G41" i="20"/>
  <c r="G40" i="20"/>
  <c r="G39" i="20"/>
  <c r="G38" i="20"/>
  <c r="G37" i="20"/>
  <c r="G36" i="20"/>
  <c r="G35" i="20"/>
  <c r="G34" i="20"/>
  <c r="G33" i="20"/>
  <c r="G32" i="20"/>
  <c r="G31" i="20"/>
  <c r="G30" i="20"/>
  <c r="G29" i="20"/>
  <c r="G28" i="20"/>
  <c r="G27" i="20"/>
  <c r="J26" i="20"/>
  <c r="G26" i="20"/>
  <c r="G25" i="20"/>
  <c r="G24" i="20"/>
  <c r="G23" i="20"/>
  <c r="G22" i="20"/>
  <c r="G21" i="20"/>
  <c r="G20" i="20"/>
  <c r="G19" i="20"/>
  <c r="G18" i="20"/>
  <c r="G17" i="20"/>
  <c r="G16" i="20"/>
  <c r="G15" i="20"/>
  <c r="G14" i="20"/>
  <c r="G13" i="20"/>
  <c r="G12" i="20"/>
  <c r="G11" i="20"/>
  <c r="G10" i="20"/>
  <c r="G9" i="20"/>
  <c r="G8" i="20"/>
  <c r="G7" i="20"/>
  <c r="G6" i="20"/>
  <c r="J27" i="20" s="1"/>
  <c r="V60" i="19"/>
  <c r="U60" i="19"/>
  <c r="S60" i="19"/>
  <c r="R60" i="19"/>
  <c r="P60" i="19"/>
  <c r="O60" i="19"/>
  <c r="M60" i="19"/>
  <c r="L60" i="19"/>
  <c r="F60" i="19"/>
  <c r="E60" i="19"/>
  <c r="D60" i="19"/>
  <c r="C60" i="19"/>
  <c r="B60" i="19"/>
  <c r="G58" i="19"/>
  <c r="G57" i="19"/>
  <c r="G56" i="19"/>
  <c r="G55" i="19"/>
  <c r="G54" i="19"/>
  <c r="G53" i="19"/>
  <c r="G52" i="19"/>
  <c r="G51" i="19"/>
  <c r="G50" i="19"/>
  <c r="G49" i="19"/>
  <c r="G48" i="19"/>
  <c r="G47" i="19"/>
  <c r="G46" i="19"/>
  <c r="G45" i="19"/>
  <c r="G44" i="19"/>
  <c r="G43" i="19"/>
  <c r="G42" i="19"/>
  <c r="G41" i="19"/>
  <c r="G40" i="19"/>
  <c r="G39" i="19"/>
  <c r="G38" i="19"/>
  <c r="G37" i="19"/>
  <c r="G36" i="19"/>
  <c r="G35" i="19"/>
  <c r="G34" i="19"/>
  <c r="G33" i="19"/>
  <c r="G32" i="19"/>
  <c r="G31" i="19"/>
  <c r="G30" i="19"/>
  <c r="G29" i="19"/>
  <c r="G28" i="19"/>
  <c r="G27" i="19"/>
  <c r="J26" i="19"/>
  <c r="G26" i="19"/>
  <c r="G25" i="19"/>
  <c r="G24" i="19"/>
  <c r="G23" i="19"/>
  <c r="G22" i="19"/>
  <c r="G21" i="19"/>
  <c r="G20" i="19"/>
  <c r="G19" i="19"/>
  <c r="G18" i="19"/>
  <c r="G17" i="19"/>
  <c r="G16" i="19"/>
  <c r="G15" i="19"/>
  <c r="G14" i="19"/>
  <c r="G13" i="19"/>
  <c r="G12" i="19"/>
  <c r="G11" i="19"/>
  <c r="G10" i="19"/>
  <c r="G9" i="19"/>
  <c r="G8" i="19"/>
  <c r="G7" i="19"/>
  <c r="G6" i="19"/>
  <c r="G60" i="19" s="1"/>
  <c r="V60" i="18"/>
  <c r="U60" i="18"/>
  <c r="S60" i="18"/>
  <c r="R60" i="18"/>
  <c r="P60" i="18"/>
  <c r="O60" i="18"/>
  <c r="M60" i="18"/>
  <c r="L60" i="18"/>
  <c r="F60" i="18"/>
  <c r="E60" i="18"/>
  <c r="D60" i="18"/>
  <c r="C60" i="18"/>
  <c r="B60" i="18"/>
  <c r="G58" i="18"/>
  <c r="G57" i="18"/>
  <c r="G56" i="18"/>
  <c r="G55" i="18"/>
  <c r="G54" i="18"/>
  <c r="G53" i="18"/>
  <c r="G52" i="18"/>
  <c r="G51" i="18"/>
  <c r="G50" i="18"/>
  <c r="G49" i="18"/>
  <c r="G48" i="18"/>
  <c r="G47" i="18"/>
  <c r="G46" i="18"/>
  <c r="G45" i="18"/>
  <c r="G44" i="18"/>
  <c r="G43" i="18"/>
  <c r="G42" i="18"/>
  <c r="G41" i="18"/>
  <c r="G40" i="18"/>
  <c r="G39" i="18"/>
  <c r="G38" i="18"/>
  <c r="G37" i="18"/>
  <c r="G36" i="18"/>
  <c r="G35" i="18"/>
  <c r="G34" i="18"/>
  <c r="G33" i="18"/>
  <c r="G32" i="18"/>
  <c r="G31" i="18"/>
  <c r="G30" i="18"/>
  <c r="G29" i="18"/>
  <c r="G28" i="18"/>
  <c r="G27" i="18"/>
  <c r="J26" i="18"/>
  <c r="G26" i="18"/>
  <c r="G25" i="18"/>
  <c r="G24" i="18"/>
  <c r="G23" i="18"/>
  <c r="G22" i="18"/>
  <c r="G21" i="18"/>
  <c r="G20" i="18"/>
  <c r="G19" i="18"/>
  <c r="G18" i="18"/>
  <c r="G17" i="18"/>
  <c r="G16" i="18"/>
  <c r="G15" i="18"/>
  <c r="G14" i="18"/>
  <c r="G13" i="18"/>
  <c r="G12" i="18"/>
  <c r="G11" i="18"/>
  <c r="G10" i="18"/>
  <c r="G9" i="18"/>
  <c r="J27" i="18" s="1"/>
  <c r="G8" i="18"/>
  <c r="G7" i="18"/>
  <c r="G6" i="18"/>
  <c r="G60" i="18" s="1"/>
  <c r="V60" i="17"/>
  <c r="U60" i="17"/>
  <c r="S60" i="17"/>
  <c r="R60" i="17"/>
  <c r="P60" i="17"/>
  <c r="O60" i="17"/>
  <c r="M60" i="17"/>
  <c r="L60" i="17"/>
  <c r="F60" i="17"/>
  <c r="E60" i="17"/>
  <c r="D60" i="17"/>
  <c r="C60" i="17"/>
  <c r="B60" i="17"/>
  <c r="G58" i="17"/>
  <c r="G57" i="17"/>
  <c r="G56" i="17"/>
  <c r="G55" i="17"/>
  <c r="G54" i="17"/>
  <c r="G53" i="17"/>
  <c r="G52" i="17"/>
  <c r="G51" i="17"/>
  <c r="G50" i="17"/>
  <c r="G49" i="17"/>
  <c r="G48" i="17"/>
  <c r="G47" i="17"/>
  <c r="G46" i="17"/>
  <c r="G45" i="17"/>
  <c r="G44" i="17"/>
  <c r="G43" i="17"/>
  <c r="G42" i="17"/>
  <c r="G41" i="17"/>
  <c r="G40" i="17"/>
  <c r="G39" i="17"/>
  <c r="G38" i="17"/>
  <c r="G37" i="17"/>
  <c r="G36" i="17"/>
  <c r="G35" i="17"/>
  <c r="G34" i="17"/>
  <c r="G33" i="17"/>
  <c r="G32" i="17"/>
  <c r="G31" i="17"/>
  <c r="G30" i="17"/>
  <c r="G29" i="17"/>
  <c r="G28" i="17"/>
  <c r="G27" i="17"/>
  <c r="J26" i="17"/>
  <c r="G26" i="17"/>
  <c r="G25" i="17"/>
  <c r="G24" i="17"/>
  <c r="G23" i="17"/>
  <c r="G22" i="17"/>
  <c r="G21" i="17"/>
  <c r="G20" i="17"/>
  <c r="G19" i="17"/>
  <c r="G18" i="17"/>
  <c r="G17" i="17"/>
  <c r="G16" i="17"/>
  <c r="G15" i="17"/>
  <c r="G14" i="17"/>
  <c r="G13" i="17"/>
  <c r="G12" i="17"/>
  <c r="G11" i="17"/>
  <c r="G10" i="17"/>
  <c r="G9" i="17"/>
  <c r="G8" i="17"/>
  <c r="G7" i="17"/>
  <c r="G6" i="17"/>
  <c r="G60" i="17" s="1"/>
  <c r="V60" i="16"/>
  <c r="U60" i="16"/>
  <c r="S60" i="16"/>
  <c r="R60" i="16"/>
  <c r="P60" i="16"/>
  <c r="O60" i="16"/>
  <c r="M60" i="16"/>
  <c r="L60" i="16"/>
  <c r="F60" i="16"/>
  <c r="E60" i="16"/>
  <c r="D60" i="16"/>
  <c r="C60" i="16"/>
  <c r="B60" i="16"/>
  <c r="G58" i="16"/>
  <c r="G57" i="16"/>
  <c r="G56" i="16"/>
  <c r="G55" i="16"/>
  <c r="G54" i="16"/>
  <c r="G53" i="16"/>
  <c r="G52" i="16"/>
  <c r="G51" i="16"/>
  <c r="G50" i="16"/>
  <c r="G49" i="16"/>
  <c r="G48" i="16"/>
  <c r="G47" i="16"/>
  <c r="G46" i="16"/>
  <c r="G45" i="16"/>
  <c r="G44" i="16"/>
  <c r="G43" i="16"/>
  <c r="G42" i="16"/>
  <c r="G41" i="16"/>
  <c r="G40" i="16"/>
  <c r="G39" i="16"/>
  <c r="G38" i="16"/>
  <c r="G37" i="16"/>
  <c r="G36" i="16"/>
  <c r="G35" i="16"/>
  <c r="G34" i="16"/>
  <c r="G33" i="16"/>
  <c r="G32" i="16"/>
  <c r="G31" i="16"/>
  <c r="G30" i="16"/>
  <c r="G29" i="16"/>
  <c r="G28" i="16"/>
  <c r="G27" i="16"/>
  <c r="J26" i="16"/>
  <c r="G26" i="16"/>
  <c r="G25" i="16"/>
  <c r="G24" i="16"/>
  <c r="G23" i="16"/>
  <c r="G22" i="16"/>
  <c r="G21" i="16"/>
  <c r="G20" i="16"/>
  <c r="G19" i="16"/>
  <c r="G18" i="16"/>
  <c r="G17" i="16"/>
  <c r="G16" i="16"/>
  <c r="G15" i="16"/>
  <c r="G14" i="16"/>
  <c r="G13" i="16"/>
  <c r="G12" i="16"/>
  <c r="G11" i="16"/>
  <c r="G10" i="16"/>
  <c r="G9" i="16"/>
  <c r="G8" i="16"/>
  <c r="G7" i="16"/>
  <c r="G6" i="16"/>
  <c r="J27" i="16" s="1"/>
  <c r="V60" i="15"/>
  <c r="U60" i="15"/>
  <c r="S60" i="15"/>
  <c r="R60" i="15"/>
  <c r="P60" i="15"/>
  <c r="O60" i="15"/>
  <c r="M60" i="15"/>
  <c r="L60" i="15"/>
  <c r="F60" i="15"/>
  <c r="E60" i="15"/>
  <c r="D60" i="15"/>
  <c r="C60" i="15"/>
  <c r="B60" i="15"/>
  <c r="G58" i="15"/>
  <c r="G57" i="15"/>
  <c r="G56" i="15"/>
  <c r="G55" i="15"/>
  <c r="G54" i="15"/>
  <c r="G53" i="15"/>
  <c r="G52" i="15"/>
  <c r="G51" i="15"/>
  <c r="G50" i="15"/>
  <c r="G49" i="15"/>
  <c r="G48" i="15"/>
  <c r="G47" i="15"/>
  <c r="G46" i="15"/>
  <c r="G45" i="15"/>
  <c r="G44" i="15"/>
  <c r="G43" i="15"/>
  <c r="G42" i="15"/>
  <c r="G41" i="15"/>
  <c r="G40" i="15"/>
  <c r="G39" i="15"/>
  <c r="G38" i="15"/>
  <c r="G37" i="15"/>
  <c r="G36" i="15"/>
  <c r="G35" i="15"/>
  <c r="G34" i="15"/>
  <c r="G33" i="15"/>
  <c r="G32" i="15"/>
  <c r="G31" i="15"/>
  <c r="G30" i="15"/>
  <c r="G29" i="15"/>
  <c r="G28" i="15"/>
  <c r="G27" i="15"/>
  <c r="J26" i="15"/>
  <c r="G26" i="15"/>
  <c r="G25" i="15"/>
  <c r="G24" i="15"/>
  <c r="G23" i="15"/>
  <c r="G22" i="15"/>
  <c r="G21" i="15"/>
  <c r="G20" i="15"/>
  <c r="G19" i="15"/>
  <c r="G18" i="15"/>
  <c r="G17" i="15"/>
  <c r="G16" i="15"/>
  <c r="G15" i="15"/>
  <c r="G14" i="15"/>
  <c r="G13" i="15"/>
  <c r="G12" i="15"/>
  <c r="G11" i="15"/>
  <c r="G10" i="15"/>
  <c r="G9" i="15"/>
  <c r="G8" i="15"/>
  <c r="G7" i="15"/>
  <c r="G6" i="15"/>
  <c r="G60" i="15" s="1"/>
  <c r="V60" i="14"/>
  <c r="U60" i="14"/>
  <c r="S60" i="14"/>
  <c r="R60" i="14"/>
  <c r="P60" i="14"/>
  <c r="O60" i="14"/>
  <c r="M60" i="14"/>
  <c r="L60" i="14"/>
  <c r="F60" i="14"/>
  <c r="E60" i="14"/>
  <c r="D60" i="14"/>
  <c r="C60" i="14"/>
  <c r="B60" i="14"/>
  <c r="G58" i="14"/>
  <c r="G57" i="14"/>
  <c r="G56" i="14"/>
  <c r="G55" i="14"/>
  <c r="G54" i="14"/>
  <c r="G53" i="14"/>
  <c r="G52" i="14"/>
  <c r="G51" i="14"/>
  <c r="G50" i="14"/>
  <c r="G49" i="14"/>
  <c r="G48" i="14"/>
  <c r="G47" i="14"/>
  <c r="G46" i="14"/>
  <c r="G45" i="14"/>
  <c r="G44" i="14"/>
  <c r="G43" i="14"/>
  <c r="G42" i="14"/>
  <c r="G41" i="14"/>
  <c r="G40" i="14"/>
  <c r="G39" i="14"/>
  <c r="G38" i="14"/>
  <c r="G37" i="14"/>
  <c r="G36" i="14"/>
  <c r="G35" i="14"/>
  <c r="G34" i="14"/>
  <c r="G33" i="14"/>
  <c r="G32" i="14"/>
  <c r="G31" i="14"/>
  <c r="G30" i="14"/>
  <c r="G29" i="14"/>
  <c r="G28" i="14"/>
  <c r="G27" i="14"/>
  <c r="J26" i="14"/>
  <c r="G26" i="14"/>
  <c r="G25" i="14"/>
  <c r="G24" i="14"/>
  <c r="G23" i="14"/>
  <c r="G22" i="14"/>
  <c r="G21" i="14"/>
  <c r="G20" i="14"/>
  <c r="G19" i="14"/>
  <c r="G18" i="14"/>
  <c r="G17" i="14"/>
  <c r="G16" i="14"/>
  <c r="G15" i="14"/>
  <c r="G14" i="14"/>
  <c r="G13" i="14"/>
  <c r="G12" i="14"/>
  <c r="G11" i="14"/>
  <c r="G10" i="14"/>
  <c r="G9" i="14"/>
  <c r="G8" i="14"/>
  <c r="G7" i="14"/>
  <c r="G6" i="14"/>
  <c r="G60" i="14" s="1"/>
  <c r="V60" i="13"/>
  <c r="U60" i="13"/>
  <c r="S60" i="13"/>
  <c r="R60" i="13"/>
  <c r="P60" i="13"/>
  <c r="O60" i="13"/>
  <c r="M60" i="13"/>
  <c r="L60" i="13"/>
  <c r="F60" i="13"/>
  <c r="E60" i="13"/>
  <c r="D60" i="13"/>
  <c r="C60" i="13"/>
  <c r="B60" i="13"/>
  <c r="G58" i="13"/>
  <c r="G57" i="13"/>
  <c r="G56" i="13"/>
  <c r="G55" i="13"/>
  <c r="G54" i="13"/>
  <c r="G53" i="13"/>
  <c r="G52" i="13"/>
  <c r="G51" i="13"/>
  <c r="G50" i="13"/>
  <c r="G49" i="13"/>
  <c r="G48" i="13"/>
  <c r="G47" i="13"/>
  <c r="G46" i="13"/>
  <c r="G45" i="13"/>
  <c r="G44" i="13"/>
  <c r="G43" i="13"/>
  <c r="G42" i="13"/>
  <c r="G41" i="13"/>
  <c r="G40" i="13"/>
  <c r="G39" i="13"/>
  <c r="G38" i="13"/>
  <c r="G37" i="13"/>
  <c r="G36" i="13"/>
  <c r="G35" i="13"/>
  <c r="G34" i="13"/>
  <c r="G33" i="13"/>
  <c r="G32" i="13"/>
  <c r="G31" i="13"/>
  <c r="G30" i="13"/>
  <c r="G29" i="13"/>
  <c r="G28" i="13"/>
  <c r="G27" i="13"/>
  <c r="J26" i="13"/>
  <c r="G26" i="13"/>
  <c r="G25" i="13"/>
  <c r="G24" i="13"/>
  <c r="G23" i="13"/>
  <c r="G22" i="13"/>
  <c r="G21" i="13"/>
  <c r="G20" i="13"/>
  <c r="G19" i="13"/>
  <c r="G18" i="13"/>
  <c r="G17" i="13"/>
  <c r="G16" i="13"/>
  <c r="G15" i="13"/>
  <c r="G14" i="13"/>
  <c r="G13" i="13"/>
  <c r="G12" i="13"/>
  <c r="G11" i="13"/>
  <c r="G10" i="13"/>
  <c r="G9" i="13"/>
  <c r="G8" i="13"/>
  <c r="G7" i="13"/>
  <c r="G6" i="13"/>
  <c r="G60" i="13" s="1"/>
  <c r="V60" i="12"/>
  <c r="U60" i="12"/>
  <c r="S60" i="12"/>
  <c r="R60" i="12"/>
  <c r="P60" i="12"/>
  <c r="O60" i="12"/>
  <c r="M60" i="12"/>
  <c r="L60" i="12"/>
  <c r="F60" i="12"/>
  <c r="E60" i="12"/>
  <c r="D60" i="12"/>
  <c r="C60" i="12"/>
  <c r="B60" i="12"/>
  <c r="G58" i="12"/>
  <c r="G57" i="12"/>
  <c r="G56" i="12"/>
  <c r="G55" i="12"/>
  <c r="G54" i="12"/>
  <c r="G53" i="12"/>
  <c r="G52" i="12"/>
  <c r="G51" i="12"/>
  <c r="G50" i="12"/>
  <c r="G49" i="12"/>
  <c r="G48" i="12"/>
  <c r="G47" i="12"/>
  <c r="G46" i="12"/>
  <c r="G45" i="12"/>
  <c r="G44" i="12"/>
  <c r="G43" i="12"/>
  <c r="G42" i="12"/>
  <c r="G41" i="12"/>
  <c r="G40" i="12"/>
  <c r="G39" i="12"/>
  <c r="G38" i="12"/>
  <c r="G37" i="12"/>
  <c r="G36" i="12"/>
  <c r="G35" i="12"/>
  <c r="G34" i="12"/>
  <c r="G33" i="12"/>
  <c r="G32" i="12"/>
  <c r="G31" i="12"/>
  <c r="G30" i="12"/>
  <c r="G29" i="12"/>
  <c r="G28" i="12"/>
  <c r="G27" i="12"/>
  <c r="J26" i="12"/>
  <c r="G26" i="12"/>
  <c r="G25" i="12"/>
  <c r="G24" i="12"/>
  <c r="G23" i="12"/>
  <c r="G22" i="12"/>
  <c r="G21" i="12"/>
  <c r="G20" i="12"/>
  <c r="G19" i="12"/>
  <c r="G18" i="12"/>
  <c r="G17" i="12"/>
  <c r="G16" i="12"/>
  <c r="G15" i="12"/>
  <c r="G14" i="12"/>
  <c r="G13" i="12"/>
  <c r="G12" i="12"/>
  <c r="G11" i="12"/>
  <c r="G10" i="12"/>
  <c r="G9" i="12"/>
  <c r="G8" i="12"/>
  <c r="G7" i="12"/>
  <c r="G6" i="12"/>
  <c r="J27" i="12" s="1"/>
  <c r="V60" i="11"/>
  <c r="U60" i="11"/>
  <c r="S60" i="11"/>
  <c r="R60" i="11"/>
  <c r="P60" i="11"/>
  <c r="O60" i="11"/>
  <c r="M60" i="11"/>
  <c r="L60" i="11"/>
  <c r="F60" i="11"/>
  <c r="E60" i="11"/>
  <c r="D60" i="11"/>
  <c r="C60" i="11"/>
  <c r="B60" i="11"/>
  <c r="G58" i="11"/>
  <c r="G57" i="11"/>
  <c r="G56" i="11"/>
  <c r="G55" i="11"/>
  <c r="G54" i="11"/>
  <c r="G53" i="11"/>
  <c r="G52" i="11"/>
  <c r="G51" i="11"/>
  <c r="G50" i="11"/>
  <c r="G49" i="11"/>
  <c r="G48" i="11"/>
  <c r="G47" i="11"/>
  <c r="G46" i="11"/>
  <c r="G45" i="11"/>
  <c r="G44" i="11"/>
  <c r="G43" i="11"/>
  <c r="G42" i="11"/>
  <c r="G41" i="11"/>
  <c r="G40" i="11"/>
  <c r="G39" i="11"/>
  <c r="G38" i="11"/>
  <c r="G37" i="11"/>
  <c r="G36" i="11"/>
  <c r="G35" i="11"/>
  <c r="G34" i="11"/>
  <c r="G33" i="11"/>
  <c r="G32" i="11"/>
  <c r="G31" i="11"/>
  <c r="G30" i="11"/>
  <c r="G29" i="11"/>
  <c r="G28" i="11"/>
  <c r="G27" i="11"/>
  <c r="J26" i="11"/>
  <c r="G26" i="11"/>
  <c r="G25" i="11"/>
  <c r="G24" i="11"/>
  <c r="G23" i="11"/>
  <c r="G22" i="11"/>
  <c r="G21" i="11"/>
  <c r="G20" i="11"/>
  <c r="G19" i="11"/>
  <c r="G18" i="11"/>
  <c r="G17" i="11"/>
  <c r="G16" i="11"/>
  <c r="G15" i="11"/>
  <c r="G14" i="11"/>
  <c r="G13" i="11"/>
  <c r="G12" i="11"/>
  <c r="G11" i="11"/>
  <c r="G10" i="11"/>
  <c r="G9" i="11"/>
  <c r="G8" i="11"/>
  <c r="G7" i="11"/>
  <c r="G6" i="11"/>
  <c r="V60" i="10"/>
  <c r="U60" i="10"/>
  <c r="S60" i="10"/>
  <c r="R60" i="10"/>
  <c r="P60" i="10"/>
  <c r="O60" i="10"/>
  <c r="M60" i="10"/>
  <c r="L60" i="10"/>
  <c r="F60" i="10"/>
  <c r="E60" i="10"/>
  <c r="D60" i="10"/>
  <c r="C60" i="10"/>
  <c r="B60" i="10"/>
  <c r="G58" i="10"/>
  <c r="G57" i="10"/>
  <c r="G56" i="10"/>
  <c r="G55" i="10"/>
  <c r="G54" i="10"/>
  <c r="G53" i="10"/>
  <c r="G52" i="10"/>
  <c r="G51" i="10"/>
  <c r="G50" i="10"/>
  <c r="G49" i="10"/>
  <c r="G48" i="10"/>
  <c r="G47" i="10"/>
  <c r="G46" i="10"/>
  <c r="G45" i="10"/>
  <c r="G44" i="10"/>
  <c r="G43" i="10"/>
  <c r="G42" i="10"/>
  <c r="G41" i="10"/>
  <c r="G40" i="10"/>
  <c r="G39" i="10"/>
  <c r="G38" i="10"/>
  <c r="G37" i="10"/>
  <c r="G36" i="10"/>
  <c r="G35" i="10"/>
  <c r="G34" i="10"/>
  <c r="G33" i="10"/>
  <c r="G32" i="10"/>
  <c r="G31" i="10"/>
  <c r="G30" i="10"/>
  <c r="G29" i="10"/>
  <c r="G28" i="10"/>
  <c r="G27" i="10"/>
  <c r="J26" i="10"/>
  <c r="G26" i="10"/>
  <c r="G25" i="10"/>
  <c r="G24" i="10"/>
  <c r="G23" i="10"/>
  <c r="G22" i="10"/>
  <c r="G21" i="10"/>
  <c r="G20" i="10"/>
  <c r="G19" i="10"/>
  <c r="G18" i="10"/>
  <c r="G17" i="10"/>
  <c r="G16" i="10"/>
  <c r="G15" i="10"/>
  <c r="G14" i="10"/>
  <c r="G13" i="10"/>
  <c r="G12" i="10"/>
  <c r="G11" i="10"/>
  <c r="G10" i="10"/>
  <c r="G9" i="10"/>
  <c r="G8" i="10"/>
  <c r="G7" i="10"/>
  <c r="G6" i="10"/>
  <c r="G60" i="10" s="1"/>
  <c r="V60" i="9"/>
  <c r="U60" i="9"/>
  <c r="S60" i="9"/>
  <c r="R60" i="9"/>
  <c r="P60" i="9"/>
  <c r="O60" i="9"/>
  <c r="M60" i="9"/>
  <c r="L60" i="9"/>
  <c r="F60" i="9"/>
  <c r="E60" i="9"/>
  <c r="D60" i="9"/>
  <c r="C60" i="9"/>
  <c r="B60" i="9"/>
  <c r="G58" i="9"/>
  <c r="G57" i="9"/>
  <c r="G56" i="9"/>
  <c r="G55" i="9"/>
  <c r="G54" i="9"/>
  <c r="G53" i="9"/>
  <c r="G52" i="9"/>
  <c r="G51" i="9"/>
  <c r="G50" i="9"/>
  <c r="G49" i="9"/>
  <c r="G48" i="9"/>
  <c r="G47" i="9"/>
  <c r="G46" i="9"/>
  <c r="G45" i="9"/>
  <c r="G44" i="9"/>
  <c r="G43" i="9"/>
  <c r="G42" i="9"/>
  <c r="G41" i="9"/>
  <c r="G40" i="9"/>
  <c r="G39" i="9"/>
  <c r="G38" i="9"/>
  <c r="G37" i="9"/>
  <c r="G36" i="9"/>
  <c r="G35" i="9"/>
  <c r="G34" i="9"/>
  <c r="G33" i="9"/>
  <c r="G32" i="9"/>
  <c r="G31" i="9"/>
  <c r="G30" i="9"/>
  <c r="G29" i="9"/>
  <c r="G28" i="9"/>
  <c r="G27" i="9"/>
  <c r="J26" i="9"/>
  <c r="G26" i="9"/>
  <c r="G25" i="9"/>
  <c r="G24" i="9"/>
  <c r="G23" i="9"/>
  <c r="G22" i="9"/>
  <c r="G21" i="9"/>
  <c r="G20" i="9"/>
  <c r="G19" i="9"/>
  <c r="G18" i="9"/>
  <c r="G17" i="9"/>
  <c r="G16" i="9"/>
  <c r="G15" i="9"/>
  <c r="G14" i="9"/>
  <c r="G13" i="9"/>
  <c r="G12" i="9"/>
  <c r="G11" i="9"/>
  <c r="G10" i="9"/>
  <c r="G9" i="9"/>
  <c r="G8" i="9"/>
  <c r="G7" i="9"/>
  <c r="G6" i="9"/>
  <c r="G60" i="9" s="1"/>
  <c r="V60" i="8"/>
  <c r="U60" i="8"/>
  <c r="S60" i="8"/>
  <c r="R60" i="8"/>
  <c r="P60" i="8"/>
  <c r="O60" i="8"/>
  <c r="M60" i="8"/>
  <c r="L60" i="8"/>
  <c r="F60" i="8"/>
  <c r="E60" i="8"/>
  <c r="D60" i="8"/>
  <c r="C60" i="8"/>
  <c r="B60" i="8"/>
  <c r="G58" i="8"/>
  <c r="G57" i="8"/>
  <c r="G56" i="8"/>
  <c r="G55" i="8"/>
  <c r="G54" i="8"/>
  <c r="G53" i="8"/>
  <c r="G52" i="8"/>
  <c r="G51" i="8"/>
  <c r="G50" i="8"/>
  <c r="G49" i="8"/>
  <c r="G48" i="8"/>
  <c r="G47" i="8"/>
  <c r="G46" i="8"/>
  <c r="G45" i="8"/>
  <c r="G44" i="8"/>
  <c r="G43" i="8"/>
  <c r="G42" i="8"/>
  <c r="G41" i="8"/>
  <c r="G40" i="8"/>
  <c r="G39" i="8"/>
  <c r="G38" i="8"/>
  <c r="G37" i="8"/>
  <c r="G36" i="8"/>
  <c r="G35" i="8"/>
  <c r="G34" i="8"/>
  <c r="G33" i="8"/>
  <c r="G32" i="8"/>
  <c r="G31" i="8"/>
  <c r="G30" i="8"/>
  <c r="G29" i="8"/>
  <c r="G28" i="8"/>
  <c r="G27" i="8"/>
  <c r="J26" i="8"/>
  <c r="G26" i="8"/>
  <c r="G25" i="8"/>
  <c r="G24" i="8"/>
  <c r="G23" i="8"/>
  <c r="G22" i="8"/>
  <c r="G21" i="8"/>
  <c r="G20" i="8"/>
  <c r="G19" i="8"/>
  <c r="G18" i="8"/>
  <c r="G17" i="8"/>
  <c r="G16" i="8"/>
  <c r="G15" i="8"/>
  <c r="G14" i="8"/>
  <c r="G13" i="8"/>
  <c r="G12" i="8"/>
  <c r="G11" i="8"/>
  <c r="G10" i="8"/>
  <c r="G9" i="8"/>
  <c r="G8" i="8"/>
  <c r="G7" i="8"/>
  <c r="G6" i="8"/>
  <c r="J27" i="8" s="1"/>
  <c r="V60" i="7"/>
  <c r="U60" i="7"/>
  <c r="S60" i="7"/>
  <c r="R60" i="7"/>
  <c r="P60" i="7"/>
  <c r="O60" i="7"/>
  <c r="M60" i="7"/>
  <c r="L60" i="7"/>
  <c r="F60" i="7"/>
  <c r="E60" i="7"/>
  <c r="D60" i="7"/>
  <c r="C60" i="7"/>
  <c r="B60" i="7"/>
  <c r="G58" i="7"/>
  <c r="G57" i="7"/>
  <c r="G56" i="7"/>
  <c r="G55" i="7"/>
  <c r="G54" i="7"/>
  <c r="G53" i="7"/>
  <c r="G52" i="7"/>
  <c r="G51" i="7"/>
  <c r="G50" i="7"/>
  <c r="G49" i="7"/>
  <c r="G48" i="7"/>
  <c r="G47" i="7"/>
  <c r="G46" i="7"/>
  <c r="G45" i="7"/>
  <c r="G44" i="7"/>
  <c r="G43" i="7"/>
  <c r="G42" i="7"/>
  <c r="G41" i="7"/>
  <c r="G40" i="7"/>
  <c r="G39" i="7"/>
  <c r="G38" i="7"/>
  <c r="G37" i="7"/>
  <c r="G36" i="7"/>
  <c r="G35" i="7"/>
  <c r="G34" i="7"/>
  <c r="G33" i="7"/>
  <c r="G32" i="7"/>
  <c r="G31" i="7"/>
  <c r="G30" i="7"/>
  <c r="G29" i="7"/>
  <c r="G28" i="7"/>
  <c r="G27" i="7"/>
  <c r="J26" i="7"/>
  <c r="G26" i="7"/>
  <c r="G25" i="7"/>
  <c r="G24" i="7"/>
  <c r="G23" i="7"/>
  <c r="G22" i="7"/>
  <c r="G21" i="7"/>
  <c r="G20" i="7"/>
  <c r="G19" i="7"/>
  <c r="G18" i="7"/>
  <c r="G17" i="7"/>
  <c r="G16" i="7"/>
  <c r="G15" i="7"/>
  <c r="G14" i="7"/>
  <c r="G13" i="7"/>
  <c r="G12" i="7"/>
  <c r="G11" i="7"/>
  <c r="G10" i="7"/>
  <c r="G9" i="7"/>
  <c r="G8" i="7"/>
  <c r="G7" i="7"/>
  <c r="G6" i="7"/>
  <c r="V60" i="6"/>
  <c r="U60" i="6"/>
  <c r="S60" i="6"/>
  <c r="R60" i="6"/>
  <c r="P60" i="6"/>
  <c r="O60" i="6"/>
  <c r="M60" i="6"/>
  <c r="L60" i="6"/>
  <c r="F60" i="6"/>
  <c r="E60" i="6"/>
  <c r="D60" i="6"/>
  <c r="C60" i="6"/>
  <c r="B60" i="6"/>
  <c r="G58" i="6"/>
  <c r="G57" i="6"/>
  <c r="G56" i="6"/>
  <c r="G55" i="6"/>
  <c r="G54" i="6"/>
  <c r="G53" i="6"/>
  <c r="G52" i="6"/>
  <c r="G51" i="6"/>
  <c r="G50" i="6"/>
  <c r="G49" i="6"/>
  <c r="G48" i="6"/>
  <c r="G47" i="6"/>
  <c r="G46" i="6"/>
  <c r="G45" i="6"/>
  <c r="G44" i="6"/>
  <c r="G43" i="6"/>
  <c r="G42" i="6"/>
  <c r="G41" i="6"/>
  <c r="G40" i="6"/>
  <c r="G39" i="6"/>
  <c r="G38" i="6"/>
  <c r="G37" i="6"/>
  <c r="G36" i="6"/>
  <c r="G35" i="6"/>
  <c r="G34" i="6"/>
  <c r="G33" i="6"/>
  <c r="G32" i="6"/>
  <c r="G31" i="6"/>
  <c r="G30" i="6"/>
  <c r="G29" i="6"/>
  <c r="G28" i="6"/>
  <c r="G27" i="6"/>
  <c r="J26" i="6"/>
  <c r="G26" i="6"/>
  <c r="G25" i="6"/>
  <c r="G24" i="6"/>
  <c r="G23" i="6"/>
  <c r="G22" i="6"/>
  <c r="G21" i="6"/>
  <c r="G20" i="6"/>
  <c r="G19" i="6"/>
  <c r="G18" i="6"/>
  <c r="G17" i="6"/>
  <c r="G16" i="6"/>
  <c r="G15" i="6"/>
  <c r="G14" i="6"/>
  <c r="G13" i="6"/>
  <c r="G12" i="6"/>
  <c r="G11" i="6"/>
  <c r="G10" i="6"/>
  <c r="G9" i="6"/>
  <c r="G8" i="6"/>
  <c r="G7" i="6"/>
  <c r="G6" i="6"/>
  <c r="G60" i="6" s="1"/>
  <c r="V60" i="5"/>
  <c r="U60" i="5"/>
  <c r="S60" i="5"/>
  <c r="R60" i="5"/>
  <c r="P60" i="5"/>
  <c r="O60" i="5"/>
  <c r="M60" i="5"/>
  <c r="L60" i="5"/>
  <c r="F60" i="5"/>
  <c r="E60" i="5"/>
  <c r="D60" i="5"/>
  <c r="C60" i="5"/>
  <c r="B60" i="5"/>
  <c r="G58" i="5"/>
  <c r="G57" i="5"/>
  <c r="G56" i="5"/>
  <c r="G55" i="5"/>
  <c r="G54" i="5"/>
  <c r="G53" i="5"/>
  <c r="G52" i="5"/>
  <c r="G51" i="5"/>
  <c r="G50" i="5"/>
  <c r="G49" i="5"/>
  <c r="G48" i="5"/>
  <c r="G47" i="5"/>
  <c r="G46" i="5"/>
  <c r="G45" i="5"/>
  <c r="G44" i="5"/>
  <c r="G43" i="5"/>
  <c r="G42" i="5"/>
  <c r="G41" i="5"/>
  <c r="G40" i="5"/>
  <c r="G39" i="5"/>
  <c r="G38" i="5"/>
  <c r="G37" i="5"/>
  <c r="G36" i="5"/>
  <c r="G35" i="5"/>
  <c r="G34" i="5"/>
  <c r="G33" i="5"/>
  <c r="G32" i="5"/>
  <c r="G31" i="5"/>
  <c r="G30" i="5"/>
  <c r="G29" i="5"/>
  <c r="G28" i="5"/>
  <c r="G27" i="5"/>
  <c r="J26" i="5"/>
  <c r="G26" i="5"/>
  <c r="G25" i="5"/>
  <c r="G24" i="5"/>
  <c r="G23" i="5"/>
  <c r="G22" i="5"/>
  <c r="G21" i="5"/>
  <c r="G20" i="5"/>
  <c r="G19" i="5"/>
  <c r="G18" i="5"/>
  <c r="G17" i="5"/>
  <c r="G16" i="5"/>
  <c r="G15" i="5"/>
  <c r="G14" i="5"/>
  <c r="G13" i="5"/>
  <c r="G12" i="5"/>
  <c r="G11" i="5"/>
  <c r="G10" i="5"/>
  <c r="G9" i="5"/>
  <c r="G8" i="5"/>
  <c r="G7" i="5"/>
  <c r="G6" i="5"/>
  <c r="G60" i="5" s="1"/>
  <c r="V60" i="4"/>
  <c r="U60" i="4"/>
  <c r="S60" i="4"/>
  <c r="R60" i="4"/>
  <c r="P60" i="4"/>
  <c r="O60" i="4"/>
  <c r="M60" i="4"/>
  <c r="L60" i="4"/>
  <c r="F60" i="4"/>
  <c r="E60" i="4"/>
  <c r="D60" i="4"/>
  <c r="C60" i="4"/>
  <c r="B60" i="4"/>
  <c r="G58" i="4"/>
  <c r="G57" i="4"/>
  <c r="G56" i="4"/>
  <c r="G55" i="4"/>
  <c r="G54" i="4"/>
  <c r="G53" i="4"/>
  <c r="G52" i="4"/>
  <c r="G51" i="4"/>
  <c r="G50" i="4"/>
  <c r="G49" i="4"/>
  <c r="G48" i="4"/>
  <c r="G47" i="4"/>
  <c r="G46" i="4"/>
  <c r="G45" i="4"/>
  <c r="G44" i="4"/>
  <c r="G43" i="4"/>
  <c r="G42" i="4"/>
  <c r="G41" i="4"/>
  <c r="G40" i="4"/>
  <c r="G39" i="4"/>
  <c r="G38" i="4"/>
  <c r="G37" i="4"/>
  <c r="G36" i="4"/>
  <c r="G35" i="4"/>
  <c r="G34" i="4"/>
  <c r="G33" i="4"/>
  <c r="G32" i="4"/>
  <c r="G31" i="4"/>
  <c r="G30" i="4"/>
  <c r="G29" i="4"/>
  <c r="G28" i="4"/>
  <c r="G27" i="4"/>
  <c r="J26" i="4"/>
  <c r="G26" i="4"/>
  <c r="G25" i="4"/>
  <c r="G24" i="4"/>
  <c r="G23" i="4"/>
  <c r="G22" i="4"/>
  <c r="G21" i="4"/>
  <c r="G20" i="4"/>
  <c r="G19" i="4"/>
  <c r="G18" i="4"/>
  <c r="G17" i="4"/>
  <c r="G16" i="4"/>
  <c r="G15" i="4"/>
  <c r="G14" i="4"/>
  <c r="G13" i="4"/>
  <c r="G12" i="4"/>
  <c r="G11" i="4"/>
  <c r="G10" i="4"/>
  <c r="G9" i="4"/>
  <c r="G8" i="4"/>
  <c r="G7" i="4"/>
  <c r="G6" i="4"/>
  <c r="J27" i="4" s="1"/>
  <c r="V60" i="3"/>
  <c r="U60" i="3"/>
  <c r="S60" i="3"/>
  <c r="R60" i="3"/>
  <c r="P60" i="3"/>
  <c r="O60" i="3"/>
  <c r="M60" i="3"/>
  <c r="L60" i="3"/>
  <c r="F60" i="3"/>
  <c r="E60" i="3"/>
  <c r="D60" i="3"/>
  <c r="C60" i="3"/>
  <c r="B60" i="3"/>
  <c r="G58" i="3"/>
  <c r="G57" i="3"/>
  <c r="G56" i="3"/>
  <c r="G55" i="3"/>
  <c r="G54" i="3"/>
  <c r="G53" i="3"/>
  <c r="G52" i="3"/>
  <c r="G51" i="3"/>
  <c r="G50" i="3"/>
  <c r="G49" i="3"/>
  <c r="G48" i="3"/>
  <c r="G47" i="3"/>
  <c r="G46" i="3"/>
  <c r="G45" i="3"/>
  <c r="G44" i="3"/>
  <c r="G43" i="3"/>
  <c r="G42" i="3"/>
  <c r="G41" i="3"/>
  <c r="G40" i="3"/>
  <c r="G39" i="3"/>
  <c r="G38" i="3"/>
  <c r="G37" i="3"/>
  <c r="G36" i="3"/>
  <c r="G35" i="3"/>
  <c r="G34" i="3"/>
  <c r="G33" i="3"/>
  <c r="G32" i="3"/>
  <c r="G31" i="3"/>
  <c r="G30" i="3"/>
  <c r="G29" i="3"/>
  <c r="G28" i="3"/>
  <c r="G27" i="3"/>
  <c r="J26" i="3"/>
  <c r="G26" i="3"/>
  <c r="G25" i="3"/>
  <c r="G24" i="3"/>
  <c r="G23" i="3"/>
  <c r="G22" i="3"/>
  <c r="G21" i="3"/>
  <c r="G20" i="3"/>
  <c r="G19" i="3"/>
  <c r="G18" i="3"/>
  <c r="G17" i="3"/>
  <c r="G16" i="3"/>
  <c r="G15" i="3"/>
  <c r="G14" i="3"/>
  <c r="G13" i="3"/>
  <c r="G12" i="3"/>
  <c r="G11" i="3"/>
  <c r="G10" i="3"/>
  <c r="G9" i="3"/>
  <c r="G8" i="3"/>
  <c r="G7" i="3"/>
  <c r="G6" i="3"/>
  <c r="V60" i="2"/>
  <c r="U60" i="2"/>
  <c r="S60" i="2"/>
  <c r="R60" i="2"/>
  <c r="P60" i="2"/>
  <c r="O60" i="2"/>
  <c r="M60" i="2"/>
  <c r="L60" i="2"/>
  <c r="F60" i="2"/>
  <c r="E60" i="2"/>
  <c r="D60" i="2"/>
  <c r="C60" i="2"/>
  <c r="B60" i="2"/>
  <c r="G58" i="2"/>
  <c r="G57" i="2"/>
  <c r="G56" i="2"/>
  <c r="G55" i="2"/>
  <c r="G54" i="2"/>
  <c r="G53" i="2"/>
  <c r="G52" i="2"/>
  <c r="G51" i="2"/>
  <c r="G50" i="2"/>
  <c r="G49" i="2"/>
  <c r="G48" i="2"/>
  <c r="G47" i="2"/>
  <c r="G46" i="2"/>
  <c r="G45" i="2"/>
  <c r="G44" i="2"/>
  <c r="G43" i="2"/>
  <c r="G42" i="2"/>
  <c r="G41" i="2"/>
  <c r="G40" i="2"/>
  <c r="G39" i="2"/>
  <c r="G38" i="2"/>
  <c r="G37" i="2"/>
  <c r="G36" i="2"/>
  <c r="G35" i="2"/>
  <c r="G34" i="2"/>
  <c r="G33" i="2"/>
  <c r="G32" i="2"/>
  <c r="G31" i="2"/>
  <c r="G30" i="2"/>
  <c r="G29" i="2"/>
  <c r="G28" i="2"/>
  <c r="G27" i="2"/>
  <c r="J26" i="2"/>
  <c r="G26" i="2"/>
  <c r="G25" i="2"/>
  <c r="G24" i="2"/>
  <c r="G23" i="2"/>
  <c r="G22" i="2"/>
  <c r="G21" i="2"/>
  <c r="G20" i="2"/>
  <c r="G19" i="2"/>
  <c r="G18" i="2"/>
  <c r="G17" i="2"/>
  <c r="G16" i="2"/>
  <c r="G15" i="2"/>
  <c r="G14" i="2"/>
  <c r="G13" i="2"/>
  <c r="G12" i="2"/>
  <c r="G11" i="2"/>
  <c r="G10" i="2"/>
  <c r="G9" i="2"/>
  <c r="G8" i="2"/>
  <c r="G7" i="2"/>
  <c r="G6" i="2"/>
  <c r="G60" i="2" s="1"/>
  <c r="V60" i="1"/>
  <c r="U60" i="1"/>
  <c r="S60" i="1"/>
  <c r="R60" i="1"/>
  <c r="P60" i="1"/>
  <c r="O60" i="1"/>
  <c r="M60" i="1"/>
  <c r="L60" i="1"/>
  <c r="F60" i="1"/>
  <c r="E60" i="1"/>
  <c r="D60" i="1"/>
  <c r="C60" i="1"/>
  <c r="B60" i="1"/>
  <c r="G58" i="1"/>
  <c r="G57" i="1"/>
  <c r="G56" i="1"/>
  <c r="G55" i="1"/>
  <c r="G54" i="1"/>
  <c r="G53" i="1"/>
  <c r="G52" i="1"/>
  <c r="G51" i="1"/>
  <c r="G50" i="1"/>
  <c r="G49" i="1"/>
  <c r="G48" i="1"/>
  <c r="G47" i="1"/>
  <c r="G46" i="1"/>
  <c r="G45" i="1"/>
  <c r="G44" i="1"/>
  <c r="G43" i="1"/>
  <c r="G42" i="1"/>
  <c r="G41" i="1"/>
  <c r="G40" i="1"/>
  <c r="G39" i="1"/>
  <c r="G38" i="1"/>
  <c r="G37" i="1"/>
  <c r="G36" i="1"/>
  <c r="G35" i="1"/>
  <c r="G34" i="1"/>
  <c r="G33" i="1"/>
  <c r="G32" i="1"/>
  <c r="G31" i="1"/>
  <c r="G30" i="1"/>
  <c r="G29" i="1"/>
  <c r="G28" i="1"/>
  <c r="G27" i="1"/>
  <c r="J26" i="1"/>
  <c r="G26" i="1"/>
  <c r="G25" i="1"/>
  <c r="G24" i="1"/>
  <c r="G23" i="1"/>
  <c r="G22" i="1"/>
  <c r="G21" i="1"/>
  <c r="G20" i="1"/>
  <c r="G19" i="1"/>
  <c r="G18" i="1"/>
  <c r="G17" i="1"/>
  <c r="G16" i="1"/>
  <c r="G15" i="1"/>
  <c r="G14" i="1"/>
  <c r="G13" i="1"/>
  <c r="G12" i="1"/>
  <c r="G11" i="1"/>
  <c r="G10" i="1"/>
  <c r="G9" i="1"/>
  <c r="G8" i="1"/>
  <c r="G7" i="1"/>
  <c r="G6" i="1"/>
  <c r="J60" i="98" l="1"/>
  <c r="M30" i="92"/>
  <c r="P30" i="92" s="1"/>
  <c r="I121" i="92"/>
  <c r="S121" i="92"/>
  <c r="Y121" i="92"/>
  <c r="K21" i="92"/>
  <c r="V21" i="92"/>
  <c r="AB21" i="92"/>
  <c r="M16" i="92"/>
  <c r="J9" i="94" s="1"/>
  <c r="K46" i="92"/>
  <c r="V46" i="92"/>
  <c r="AB46" i="92"/>
  <c r="M44" i="92"/>
  <c r="P44" i="92" s="1"/>
  <c r="G33" i="95"/>
  <c r="H21" i="92"/>
  <c r="W21" i="92"/>
  <c r="M17" i="92"/>
  <c r="P17" i="92" s="1"/>
  <c r="L46" i="92"/>
  <c r="W107" i="92"/>
  <c r="M86" i="92"/>
  <c r="M94" i="92"/>
  <c r="J50" i="96" s="1"/>
  <c r="AB119" i="92"/>
  <c r="M117" i="92"/>
  <c r="B8" i="98"/>
  <c r="D10" i="98"/>
  <c r="F12" i="98"/>
  <c r="C15" i="98"/>
  <c r="D18" i="98"/>
  <c r="C19" i="98"/>
  <c r="C23" i="98"/>
  <c r="B28" i="98"/>
  <c r="B32" i="98"/>
  <c r="B36" i="98"/>
  <c r="B40" i="98"/>
  <c r="B44" i="98"/>
  <c r="B48" i="98"/>
  <c r="B52" i="98"/>
  <c r="C55" i="98"/>
  <c r="G7" i="94"/>
  <c r="G14" i="94"/>
  <c r="G19" i="94"/>
  <c r="G51" i="94"/>
  <c r="G29" i="95"/>
  <c r="G42" i="95"/>
  <c r="G46" i="95"/>
  <c r="G50" i="95"/>
  <c r="G54" i="95"/>
  <c r="G58" i="95"/>
  <c r="E61" i="96"/>
  <c r="G13" i="96"/>
  <c r="G16" i="96"/>
  <c r="G21" i="96"/>
  <c r="G25" i="96"/>
  <c r="G29" i="96"/>
  <c r="Z121" i="92"/>
  <c r="L21" i="92"/>
  <c r="L107" i="92"/>
  <c r="K119" i="92"/>
  <c r="C7" i="98"/>
  <c r="E9" i="98"/>
  <c r="B12" i="98"/>
  <c r="D14" i="98"/>
  <c r="F16" i="98"/>
  <c r="F20" i="98"/>
  <c r="F24" i="98"/>
  <c r="F28" i="98"/>
  <c r="C31" i="98"/>
  <c r="C35" i="98"/>
  <c r="C39" i="98"/>
  <c r="C43" i="98"/>
  <c r="C47" i="98"/>
  <c r="C51" i="98"/>
  <c r="B56" i="98"/>
  <c r="G11" i="94"/>
  <c r="G31" i="94"/>
  <c r="G35" i="94"/>
  <c r="G39" i="94"/>
  <c r="G26" i="95"/>
  <c r="G38" i="95"/>
  <c r="I21" i="92"/>
  <c r="M18" i="92"/>
  <c r="I46" i="92"/>
  <c r="S46" i="92"/>
  <c r="Y46" i="92"/>
  <c r="M26" i="92"/>
  <c r="P26" i="92" s="1"/>
  <c r="G41" i="95"/>
  <c r="T121" i="92"/>
  <c r="AC21" i="92"/>
  <c r="M28" i="92"/>
  <c r="P28" i="92" s="1"/>
  <c r="M34" i="92"/>
  <c r="P34" i="92" s="1"/>
  <c r="M50" i="92"/>
  <c r="AC107" i="92"/>
  <c r="M54" i="92"/>
  <c r="M58" i="92"/>
  <c r="M66" i="92"/>
  <c r="M70" i="92"/>
  <c r="J26" i="96" s="1"/>
  <c r="M74" i="92"/>
  <c r="M78" i="92"/>
  <c r="M82" i="92"/>
  <c r="M90" i="92"/>
  <c r="P90" i="92" s="1"/>
  <c r="M98" i="92"/>
  <c r="M102" i="92"/>
  <c r="V119" i="92"/>
  <c r="M113" i="92"/>
  <c r="P113" i="92" s="1"/>
  <c r="F8" i="98"/>
  <c r="C11" i="98"/>
  <c r="G11" i="98" s="1"/>
  <c r="E13" i="98"/>
  <c r="B16" i="98"/>
  <c r="E17" i="98"/>
  <c r="B20" i="98"/>
  <c r="B24" i="98"/>
  <c r="C27" i="98"/>
  <c r="F32" i="98"/>
  <c r="F36" i="98"/>
  <c r="F40" i="98"/>
  <c r="F44" i="98"/>
  <c r="F48" i="98"/>
  <c r="F52" i="98"/>
  <c r="F56" i="98"/>
  <c r="G15" i="94"/>
  <c r="G23" i="94"/>
  <c r="G43" i="94"/>
  <c r="G47" i="94"/>
  <c r="G55" i="94"/>
  <c r="G30" i="95"/>
  <c r="G34" i="95"/>
  <c r="G9" i="96"/>
  <c r="H121" i="92"/>
  <c r="L121" i="92"/>
  <c r="J21" i="92"/>
  <c r="T21" i="92"/>
  <c r="Z21" i="92"/>
  <c r="M15" i="92"/>
  <c r="M19" i="92"/>
  <c r="J46" i="92"/>
  <c r="T46" i="92"/>
  <c r="Z46" i="92"/>
  <c r="M36" i="92"/>
  <c r="P36" i="92" s="1"/>
  <c r="M42" i="92"/>
  <c r="P42" i="92" s="1"/>
  <c r="G36" i="96"/>
  <c r="G37" i="96"/>
  <c r="G40" i="96"/>
  <c r="G41" i="96"/>
  <c r="G44" i="96"/>
  <c r="G45" i="96"/>
  <c r="D61" i="97"/>
  <c r="G7" i="97"/>
  <c r="G11" i="97"/>
  <c r="G15" i="97"/>
  <c r="G16" i="97"/>
  <c r="M32" i="92"/>
  <c r="P32" i="92" s="1"/>
  <c r="M40" i="92"/>
  <c r="P40" i="92" s="1"/>
  <c r="I107" i="92"/>
  <c r="S107" i="92"/>
  <c r="Y107" i="92"/>
  <c r="M79" i="92"/>
  <c r="J35" i="96" s="1"/>
  <c r="M83" i="92"/>
  <c r="M87" i="92"/>
  <c r="M91" i="92"/>
  <c r="M95" i="92"/>
  <c r="J51" i="96" s="1"/>
  <c r="M99" i="92"/>
  <c r="M103" i="92"/>
  <c r="H119" i="92"/>
  <c r="L119" i="92"/>
  <c r="W119" i="92"/>
  <c r="AC119" i="92"/>
  <c r="M114" i="92"/>
  <c r="D7" i="98"/>
  <c r="C8" i="98"/>
  <c r="B9" i="98"/>
  <c r="F9" i="98"/>
  <c r="E10" i="98"/>
  <c r="M38" i="92"/>
  <c r="P38" i="92" s="1"/>
  <c r="M43" i="92"/>
  <c r="T107" i="92"/>
  <c r="Z107" i="92"/>
  <c r="M52" i="92"/>
  <c r="M56" i="92"/>
  <c r="M60" i="92"/>
  <c r="M63" i="92"/>
  <c r="J19" i="96" s="1"/>
  <c r="M64" i="92"/>
  <c r="M68" i="92"/>
  <c r="M72" i="92"/>
  <c r="M76" i="92"/>
  <c r="P76" i="92" s="1"/>
  <c r="M80" i="92"/>
  <c r="M84" i="92"/>
  <c r="M88" i="92"/>
  <c r="M92" i="92"/>
  <c r="J48" i="96" s="1"/>
  <c r="M96" i="92"/>
  <c r="M100" i="92"/>
  <c r="M104" i="92"/>
  <c r="I119" i="92"/>
  <c r="S119" i="92"/>
  <c r="Y119" i="92"/>
  <c r="M115" i="92"/>
  <c r="B6" i="98"/>
  <c r="F6" i="98"/>
  <c r="E7" i="98"/>
  <c r="D8" i="98"/>
  <c r="C9" i="98"/>
  <c r="B10" i="98"/>
  <c r="F10" i="98"/>
  <c r="E11" i="98"/>
  <c r="D12" i="98"/>
  <c r="C13" i="98"/>
  <c r="B14" i="98"/>
  <c r="F14" i="98"/>
  <c r="E15" i="98"/>
  <c r="D16" i="98"/>
  <c r="C17" i="98"/>
  <c r="B18" i="98"/>
  <c r="F18" i="98"/>
  <c r="C21" i="98"/>
  <c r="B22" i="98"/>
  <c r="F22" i="98"/>
  <c r="C25" i="98"/>
  <c r="B26" i="98"/>
  <c r="F26" i="98"/>
  <c r="C29" i="98"/>
  <c r="B30" i="98"/>
  <c r="F30" i="98"/>
  <c r="C33" i="98"/>
  <c r="B34" i="98"/>
  <c r="F34" i="98"/>
  <c r="C37" i="98"/>
  <c r="B38" i="98"/>
  <c r="F38" i="98"/>
  <c r="C41" i="98"/>
  <c r="B42" i="98"/>
  <c r="F42" i="98"/>
  <c r="C45" i="98"/>
  <c r="B46" i="98"/>
  <c r="F46" i="98"/>
  <c r="C49" i="98"/>
  <c r="B50" i="98"/>
  <c r="F50" i="98"/>
  <c r="C53" i="98"/>
  <c r="B54" i="98"/>
  <c r="F54" i="98"/>
  <c r="C57" i="98"/>
  <c r="B58" i="98"/>
  <c r="F58" i="98"/>
  <c r="G7" i="95"/>
  <c r="G8" i="95"/>
  <c r="G11" i="95"/>
  <c r="G15" i="95"/>
  <c r="G19" i="95"/>
  <c r="G23" i="95"/>
  <c r="G32" i="95"/>
  <c r="G36" i="95"/>
  <c r="G40" i="95"/>
  <c r="G44" i="95"/>
  <c r="G48" i="95"/>
  <c r="G52" i="95"/>
  <c r="D11" i="98"/>
  <c r="C12" i="98"/>
  <c r="B13" i="98"/>
  <c r="F13" i="98"/>
  <c r="E14" i="98"/>
  <c r="D15" i="98"/>
  <c r="G15" i="98" s="1"/>
  <c r="C16" i="98"/>
  <c r="B17" i="98"/>
  <c r="G17" i="98" s="1"/>
  <c r="F17" i="98"/>
  <c r="E18" i="98"/>
  <c r="C20" i="98"/>
  <c r="B21" i="98"/>
  <c r="F21" i="98"/>
  <c r="C24" i="98"/>
  <c r="B25" i="98"/>
  <c r="F25" i="98"/>
  <c r="C28" i="98"/>
  <c r="B29" i="98"/>
  <c r="F29" i="98"/>
  <c r="C32" i="98"/>
  <c r="B33" i="98"/>
  <c r="F33" i="98"/>
  <c r="C36" i="98"/>
  <c r="B37" i="98"/>
  <c r="F37" i="98"/>
  <c r="C40" i="98"/>
  <c r="B41" i="98"/>
  <c r="F41" i="98"/>
  <c r="C44" i="98"/>
  <c r="B45" i="98"/>
  <c r="F45" i="98"/>
  <c r="C48" i="98"/>
  <c r="B49" i="98"/>
  <c r="F49" i="98"/>
  <c r="C52" i="98"/>
  <c r="B53" i="98"/>
  <c r="F53" i="98"/>
  <c r="C56" i="98"/>
  <c r="B57" i="98"/>
  <c r="F57" i="98"/>
  <c r="G16" i="94"/>
  <c r="G31" i="95"/>
  <c r="G35" i="95"/>
  <c r="G39" i="95"/>
  <c r="G43" i="95"/>
  <c r="G47" i="95"/>
  <c r="G51" i="95"/>
  <c r="G55" i="95"/>
  <c r="B61" i="96"/>
  <c r="F61" i="96"/>
  <c r="G10" i="96"/>
  <c r="G14" i="96"/>
  <c r="G17" i="96"/>
  <c r="G46" i="96"/>
  <c r="G49" i="96"/>
  <c r="G50" i="96"/>
  <c r="G53" i="96"/>
  <c r="G54" i="96"/>
  <c r="G57" i="96"/>
  <c r="G58" i="96"/>
  <c r="E61" i="97"/>
  <c r="G8" i="97"/>
  <c r="G12" i="97"/>
  <c r="G17" i="97"/>
  <c r="G20" i="97"/>
  <c r="G21" i="97"/>
  <c r="G24" i="97"/>
  <c r="G25" i="97"/>
  <c r="G28" i="97"/>
  <c r="G29" i="97"/>
  <c r="G32" i="97"/>
  <c r="G33" i="97"/>
  <c r="G36" i="97"/>
  <c r="G37" i="97"/>
  <c r="G40" i="97"/>
  <c r="G41" i="97"/>
  <c r="G44" i="97"/>
  <c r="G45" i="97"/>
  <c r="G48" i="97"/>
  <c r="G49" i="97"/>
  <c r="G52" i="97"/>
  <c r="G53" i="97"/>
  <c r="G56" i="97"/>
  <c r="G57" i="97"/>
  <c r="G56" i="95"/>
  <c r="C61" i="96"/>
  <c r="G7" i="96"/>
  <c r="G11" i="96"/>
  <c r="G15" i="96"/>
  <c r="G18" i="96"/>
  <c r="G19" i="96"/>
  <c r="G22" i="96"/>
  <c r="G23" i="96"/>
  <c r="G26" i="96"/>
  <c r="G30" i="96"/>
  <c r="G31" i="96"/>
  <c r="G34" i="96"/>
  <c r="G35" i="96"/>
  <c r="G38" i="96"/>
  <c r="G39" i="96"/>
  <c r="G42" i="96"/>
  <c r="G43" i="96"/>
  <c r="G47" i="96"/>
  <c r="G51" i="96"/>
  <c r="G55" i="96"/>
  <c r="G14" i="97"/>
  <c r="G22" i="97"/>
  <c r="J27" i="1"/>
  <c r="G60" i="4"/>
  <c r="J27" i="5"/>
  <c r="G60" i="8"/>
  <c r="J27" i="9"/>
  <c r="G60" i="12"/>
  <c r="J27" i="13"/>
  <c r="G60" i="16"/>
  <c r="J27" i="17"/>
  <c r="G60" i="20"/>
  <c r="J27" i="21"/>
  <c r="G60" i="24"/>
  <c r="J27" i="25"/>
  <c r="G60" i="28"/>
  <c r="J27" i="29"/>
  <c r="G60" i="32"/>
  <c r="J27" i="33"/>
  <c r="G60" i="36"/>
  <c r="J27" i="37"/>
  <c r="G60" i="40"/>
  <c r="J27" i="41"/>
  <c r="G60" i="44"/>
  <c r="J27" i="45"/>
  <c r="G60" i="48"/>
  <c r="J27" i="49"/>
  <c r="G60" i="52"/>
  <c r="J27" i="53"/>
  <c r="G60" i="56"/>
  <c r="J27" i="57"/>
  <c r="G60" i="60"/>
  <c r="J27" i="61"/>
  <c r="G60" i="64"/>
  <c r="J27" i="65"/>
  <c r="G60" i="68"/>
  <c r="G60" i="72"/>
  <c r="G60" i="76"/>
  <c r="G60" i="80"/>
  <c r="G60" i="84"/>
  <c r="G60" i="88"/>
  <c r="H9" i="92"/>
  <c r="L9" i="92"/>
  <c r="P63" i="92"/>
  <c r="J37" i="96"/>
  <c r="P81" i="92"/>
  <c r="J41" i="96"/>
  <c r="P85" i="92"/>
  <c r="J45" i="96"/>
  <c r="P89" i="92"/>
  <c r="J49" i="96"/>
  <c r="P93" i="92"/>
  <c r="J53" i="96"/>
  <c r="P97" i="92"/>
  <c r="J57" i="96"/>
  <c r="P101" i="92"/>
  <c r="J61" i="96"/>
  <c r="P105" i="92"/>
  <c r="J7" i="97"/>
  <c r="P112" i="92"/>
  <c r="J11" i="97"/>
  <c r="P116" i="92"/>
  <c r="G60" i="1"/>
  <c r="J27" i="2"/>
  <c r="J27" i="6"/>
  <c r="J27" i="10"/>
  <c r="J27" i="14"/>
  <c r="J27" i="22"/>
  <c r="J27" i="26"/>
  <c r="J27" i="30"/>
  <c r="J27" i="34"/>
  <c r="J27" i="38"/>
  <c r="J27" i="42"/>
  <c r="J27" i="46"/>
  <c r="J27" i="50"/>
  <c r="J27" i="62"/>
  <c r="M7" i="92"/>
  <c r="I9" i="92"/>
  <c r="S9" i="92"/>
  <c r="Y9" i="92"/>
  <c r="S21" i="92"/>
  <c r="Y21" i="92"/>
  <c r="M14" i="92"/>
  <c r="P18" i="92"/>
  <c r="J11" i="94"/>
  <c r="M25" i="92"/>
  <c r="M27" i="92"/>
  <c r="M29" i="92"/>
  <c r="M31" i="92"/>
  <c r="M33" i="92"/>
  <c r="M35" i="92"/>
  <c r="M37" i="92"/>
  <c r="M39" i="92"/>
  <c r="M41" i="92"/>
  <c r="J24" i="95"/>
  <c r="J6" i="96"/>
  <c r="P50" i="92"/>
  <c r="J8" i="96"/>
  <c r="P52" i="92"/>
  <c r="J10" i="96"/>
  <c r="P54" i="92"/>
  <c r="J12" i="96"/>
  <c r="P56" i="92"/>
  <c r="J14" i="96"/>
  <c r="P58" i="92"/>
  <c r="J16" i="96"/>
  <c r="P60" i="92"/>
  <c r="J20" i="96"/>
  <c r="P64" i="92"/>
  <c r="J22" i="96"/>
  <c r="P66" i="92"/>
  <c r="J24" i="96"/>
  <c r="P68" i="92"/>
  <c r="J28" i="96"/>
  <c r="P72" i="92"/>
  <c r="J30" i="96"/>
  <c r="P74" i="92"/>
  <c r="J32" i="96"/>
  <c r="J34" i="96"/>
  <c r="P78" i="92"/>
  <c r="J38" i="96"/>
  <c r="P82" i="92"/>
  <c r="J42" i="96"/>
  <c r="P86" i="92"/>
  <c r="J46" i="96"/>
  <c r="J54" i="96"/>
  <c r="P98" i="92"/>
  <c r="J58" i="96"/>
  <c r="P102" i="92"/>
  <c r="J8" i="97"/>
  <c r="J12" i="97"/>
  <c r="P117" i="92"/>
  <c r="J27" i="3"/>
  <c r="J27" i="7"/>
  <c r="J27" i="11"/>
  <c r="J27" i="15"/>
  <c r="J27" i="19"/>
  <c r="J27" i="23"/>
  <c r="J27" i="27"/>
  <c r="J27" i="31"/>
  <c r="J27" i="35"/>
  <c r="J27" i="39"/>
  <c r="J27" i="43"/>
  <c r="J27" i="47"/>
  <c r="J27" i="51"/>
  <c r="J27" i="55"/>
  <c r="J27" i="59"/>
  <c r="G60" i="62"/>
  <c r="J27" i="63"/>
  <c r="J27" i="67"/>
  <c r="J27" i="71"/>
  <c r="J27" i="75"/>
  <c r="J27" i="79"/>
  <c r="J27" i="83"/>
  <c r="J27" i="87"/>
  <c r="J27" i="91"/>
  <c r="J121" i="92"/>
  <c r="V121" i="92"/>
  <c r="AB121" i="92"/>
  <c r="J9" i="92"/>
  <c r="T9" i="92"/>
  <c r="Z9" i="92"/>
  <c r="M13" i="92"/>
  <c r="J8" i="94"/>
  <c r="P15" i="92"/>
  <c r="J12" i="94"/>
  <c r="P19" i="92"/>
  <c r="W46" i="92"/>
  <c r="AC46" i="92"/>
  <c r="P43" i="92"/>
  <c r="M62" i="92"/>
  <c r="P79" i="92"/>
  <c r="J39" i="96"/>
  <c r="P83" i="92"/>
  <c r="J43" i="96"/>
  <c r="P87" i="92"/>
  <c r="J47" i="96"/>
  <c r="P91" i="92"/>
  <c r="P95" i="92"/>
  <c r="J55" i="96"/>
  <c r="P99" i="92"/>
  <c r="J59" i="96"/>
  <c r="P103" i="92"/>
  <c r="J9" i="97"/>
  <c r="P114" i="92"/>
  <c r="G60" i="3"/>
  <c r="G60" i="7"/>
  <c r="G60" i="11"/>
  <c r="K121" i="92"/>
  <c r="W121" i="92"/>
  <c r="AC121" i="92"/>
  <c r="K9" i="92"/>
  <c r="J7" i="95"/>
  <c r="J9" i="95"/>
  <c r="J11" i="95"/>
  <c r="J13" i="95"/>
  <c r="J15" i="95"/>
  <c r="J17" i="95"/>
  <c r="J19" i="95"/>
  <c r="J23" i="95"/>
  <c r="J107" i="92"/>
  <c r="M51" i="92"/>
  <c r="M53" i="92"/>
  <c r="M55" i="92"/>
  <c r="M57" i="92"/>
  <c r="M59" i="92"/>
  <c r="M61" i="92"/>
  <c r="J21" i="96"/>
  <c r="P65" i="92"/>
  <c r="M67" i="92"/>
  <c r="M69" i="92"/>
  <c r="M71" i="92"/>
  <c r="M73" i="92"/>
  <c r="M75" i="92"/>
  <c r="M77" i="92"/>
  <c r="J36" i="96"/>
  <c r="P80" i="92"/>
  <c r="J40" i="96"/>
  <c r="P84" i="92"/>
  <c r="J44" i="96"/>
  <c r="P88" i="92"/>
  <c r="P92" i="92"/>
  <c r="J52" i="96"/>
  <c r="P96" i="92"/>
  <c r="J56" i="96"/>
  <c r="P100" i="92"/>
  <c r="J60" i="96"/>
  <c r="P104" i="92"/>
  <c r="J10" i="97"/>
  <c r="P115" i="92"/>
  <c r="M111" i="92"/>
  <c r="B60" i="98"/>
  <c r="G10" i="93"/>
  <c r="B61" i="93"/>
  <c r="F61" i="94"/>
  <c r="G22" i="94"/>
  <c r="G34" i="94"/>
  <c r="G42" i="94"/>
  <c r="G46" i="94"/>
  <c r="G50" i="94"/>
  <c r="G54" i="94"/>
  <c r="G58" i="94"/>
  <c r="H46" i="92"/>
  <c r="C60" i="98"/>
  <c r="G6" i="93"/>
  <c r="G7" i="98"/>
  <c r="G8" i="98"/>
  <c r="G11" i="93"/>
  <c r="G12" i="93"/>
  <c r="G13" i="93"/>
  <c r="G14" i="93"/>
  <c r="G15" i="93"/>
  <c r="G16" i="93"/>
  <c r="G17" i="93"/>
  <c r="G18" i="93"/>
  <c r="G19" i="93"/>
  <c r="G21" i="93"/>
  <c r="G23" i="93"/>
  <c r="G25" i="93"/>
  <c r="G29" i="93"/>
  <c r="G31" i="93"/>
  <c r="G33" i="93"/>
  <c r="G35" i="93"/>
  <c r="G37" i="93"/>
  <c r="G39" i="93"/>
  <c r="G41" i="93"/>
  <c r="G43" i="93"/>
  <c r="G45" i="93"/>
  <c r="G47" i="93"/>
  <c r="G49" i="93"/>
  <c r="G51" i="93"/>
  <c r="G53" i="93"/>
  <c r="G55" i="93"/>
  <c r="G57" i="93"/>
  <c r="C61" i="93"/>
  <c r="C61" i="94"/>
  <c r="G6" i="94"/>
  <c r="G17" i="94"/>
  <c r="G21" i="94"/>
  <c r="G25" i="94"/>
  <c r="G29" i="94"/>
  <c r="G33" i="94"/>
  <c r="G37" i="94"/>
  <c r="G41" i="94"/>
  <c r="G45" i="94"/>
  <c r="G49" i="94"/>
  <c r="G53" i="94"/>
  <c r="G57" i="94"/>
  <c r="D61" i="95"/>
  <c r="G10" i="95"/>
  <c r="G14" i="95"/>
  <c r="G18" i="95"/>
  <c r="G22" i="95"/>
  <c r="H107" i="92"/>
  <c r="D6" i="98"/>
  <c r="D61" i="93"/>
  <c r="G7" i="93"/>
  <c r="G8" i="93"/>
  <c r="G9" i="98"/>
  <c r="F61" i="93"/>
  <c r="G8" i="94"/>
  <c r="G12" i="94"/>
  <c r="G20" i="94"/>
  <c r="G24" i="94"/>
  <c r="G28" i="94"/>
  <c r="G32" i="94"/>
  <c r="G36" i="94"/>
  <c r="G40" i="94"/>
  <c r="G44" i="94"/>
  <c r="G48" i="94"/>
  <c r="G52" i="94"/>
  <c r="G56" i="94"/>
  <c r="E61" i="95"/>
  <c r="E6" i="98"/>
  <c r="E61" i="93"/>
  <c r="G9" i="93"/>
  <c r="G10" i="98"/>
  <c r="G20" i="93"/>
  <c r="G22" i="93"/>
  <c r="G24" i="93"/>
  <c r="G26" i="93"/>
  <c r="G28" i="93"/>
  <c r="G30" i="93"/>
  <c r="G32" i="93"/>
  <c r="G34" i="93"/>
  <c r="G36" i="93"/>
  <c r="G38" i="93"/>
  <c r="G40" i="93"/>
  <c r="G42" i="93"/>
  <c r="G44" i="93"/>
  <c r="G46" i="93"/>
  <c r="G48" i="93"/>
  <c r="G50" i="93"/>
  <c r="G52" i="93"/>
  <c r="G54" i="93"/>
  <c r="G56" i="93"/>
  <c r="G58" i="93"/>
  <c r="D19" i="98"/>
  <c r="D20" i="98"/>
  <c r="D21" i="98"/>
  <c r="D22" i="98"/>
  <c r="D23" i="98"/>
  <c r="D24" i="98"/>
  <c r="D25" i="98"/>
  <c r="D26" i="98"/>
  <c r="D27" i="98"/>
  <c r="D28" i="98"/>
  <c r="D29" i="98"/>
  <c r="D30" i="98"/>
  <c r="D31" i="98"/>
  <c r="D32" i="98"/>
  <c r="D33" i="98"/>
  <c r="D34" i="98"/>
  <c r="D35" i="98"/>
  <c r="D36" i="98"/>
  <c r="D37" i="98"/>
  <c r="D38" i="98"/>
  <c r="D39" i="98"/>
  <c r="D40" i="98"/>
  <c r="D41" i="98"/>
  <c r="D42" i="98"/>
  <c r="D43" i="98"/>
  <c r="D44" i="98"/>
  <c r="D45" i="98"/>
  <c r="D46" i="98"/>
  <c r="D47" i="98"/>
  <c r="D48" i="98"/>
  <c r="D49" i="98"/>
  <c r="D50" i="98"/>
  <c r="D51" i="98"/>
  <c r="D52" i="98"/>
  <c r="D53" i="98"/>
  <c r="D54" i="98"/>
  <c r="D55" i="98"/>
  <c r="D56" i="98"/>
  <c r="D57" i="98"/>
  <c r="D58" i="98"/>
  <c r="B61" i="95"/>
  <c r="F61" i="95"/>
  <c r="E19" i="98"/>
  <c r="E20" i="98"/>
  <c r="E21" i="98"/>
  <c r="E22" i="98"/>
  <c r="E23" i="98"/>
  <c r="E24" i="98"/>
  <c r="E25" i="98"/>
  <c r="E26" i="98"/>
  <c r="E27" i="98"/>
  <c r="E28" i="98"/>
  <c r="E29" i="98"/>
  <c r="E30" i="98"/>
  <c r="E31" i="98"/>
  <c r="E32" i="98"/>
  <c r="E33" i="98"/>
  <c r="E34" i="98"/>
  <c r="E35" i="98"/>
  <c r="E36" i="98"/>
  <c r="E37" i="98"/>
  <c r="E38" i="98"/>
  <c r="E39" i="98"/>
  <c r="E40" i="98"/>
  <c r="E41" i="98"/>
  <c r="E42" i="98"/>
  <c r="E43" i="98"/>
  <c r="E44" i="98"/>
  <c r="E45" i="98"/>
  <c r="E46" i="98"/>
  <c r="E47" i="98"/>
  <c r="E48" i="98"/>
  <c r="E49" i="98"/>
  <c r="E50" i="98"/>
  <c r="E51" i="98"/>
  <c r="E52" i="98"/>
  <c r="E53" i="98"/>
  <c r="E54" i="98"/>
  <c r="E55" i="98"/>
  <c r="E56" i="98"/>
  <c r="E57" i="98"/>
  <c r="E58" i="98"/>
  <c r="C61" i="95"/>
  <c r="G6" i="95"/>
  <c r="G28" i="95"/>
  <c r="G6" i="96"/>
  <c r="G20" i="96"/>
  <c r="G24" i="96"/>
  <c r="G28" i="96"/>
  <c r="G32" i="96"/>
  <c r="G33" i="96"/>
  <c r="B61" i="97"/>
  <c r="F61" i="97"/>
  <c r="G9" i="97"/>
  <c r="G13" i="97"/>
  <c r="C61" i="97"/>
  <c r="P60" i="98"/>
  <c r="G48" i="96"/>
  <c r="G52" i="96"/>
  <c r="G56" i="96"/>
  <c r="M60" i="98"/>
  <c r="S60" i="98"/>
  <c r="J21" i="95" l="1"/>
  <c r="P16" i="92"/>
  <c r="P94" i="92"/>
  <c r="P70" i="92"/>
  <c r="J10" i="94"/>
  <c r="J25" i="95"/>
  <c r="G56" i="98"/>
  <c r="G52" i="98"/>
  <c r="G48" i="98"/>
  <c r="G44" i="98"/>
  <c r="G40" i="98"/>
  <c r="G36" i="98"/>
  <c r="G32" i="98"/>
  <c r="G28" i="98"/>
  <c r="G24" i="98"/>
  <c r="G20" i="98"/>
  <c r="G14" i="98"/>
  <c r="G12" i="98"/>
  <c r="G55" i="98"/>
  <c r="G51" i="98"/>
  <c r="G47" i="98"/>
  <c r="G43" i="98"/>
  <c r="G39" i="98"/>
  <c r="G35" i="98"/>
  <c r="G31" i="98"/>
  <c r="G23" i="98"/>
  <c r="G19" i="98"/>
  <c r="G13" i="98"/>
  <c r="F60" i="98"/>
  <c r="G58" i="98"/>
  <c r="G54" i="98"/>
  <c r="G50" i="98"/>
  <c r="G46" i="98"/>
  <c r="G42" i="98"/>
  <c r="G38" i="98"/>
  <c r="G34" i="98"/>
  <c r="G30" i="98"/>
  <c r="G26" i="98"/>
  <c r="G22" i="98"/>
  <c r="G16" i="98"/>
  <c r="G57" i="98"/>
  <c r="G53" i="98"/>
  <c r="G49" i="98"/>
  <c r="G45" i="98"/>
  <c r="G41" i="98"/>
  <c r="G37" i="98"/>
  <c r="G33" i="98"/>
  <c r="G29" i="98"/>
  <c r="G25" i="98"/>
  <c r="G21" i="98"/>
  <c r="G18" i="98"/>
  <c r="J15" i="97"/>
  <c r="E60" i="98"/>
  <c r="D60" i="98"/>
  <c r="G61" i="94"/>
  <c r="J15" i="94"/>
  <c r="J33" i="96"/>
  <c r="P77" i="92"/>
  <c r="J25" i="96"/>
  <c r="P69" i="92"/>
  <c r="J17" i="96"/>
  <c r="P61" i="92"/>
  <c r="J9" i="96"/>
  <c r="P53" i="92"/>
  <c r="J18" i="96"/>
  <c r="P62" i="92"/>
  <c r="J6" i="94"/>
  <c r="M21" i="92"/>
  <c r="P13" i="92"/>
  <c r="J18" i="95"/>
  <c r="P37" i="92"/>
  <c r="J10" i="95"/>
  <c r="P29" i="92"/>
  <c r="M121" i="92"/>
  <c r="J6" i="93"/>
  <c r="J8" i="93" s="1"/>
  <c r="P7" i="92"/>
  <c r="M9" i="92"/>
  <c r="J64" i="96"/>
  <c r="G61" i="96"/>
  <c r="G61" i="93"/>
  <c r="J9" i="93"/>
  <c r="J6" i="97"/>
  <c r="J14" i="97" s="1"/>
  <c r="P111" i="92"/>
  <c r="P119" i="92" s="1"/>
  <c r="M119" i="92"/>
  <c r="J31" i="96"/>
  <c r="P75" i="92"/>
  <c r="J23" i="96"/>
  <c r="P67" i="92"/>
  <c r="J15" i="96"/>
  <c r="P59" i="92"/>
  <c r="J7" i="96"/>
  <c r="P51" i="92"/>
  <c r="J16" i="95"/>
  <c r="P35" i="92"/>
  <c r="J8" i="95"/>
  <c r="P27" i="92"/>
  <c r="G61" i="97"/>
  <c r="J29" i="96"/>
  <c r="P73" i="92"/>
  <c r="J13" i="96"/>
  <c r="P57" i="92"/>
  <c r="M107" i="92"/>
  <c r="J22" i="95"/>
  <c r="P41" i="92"/>
  <c r="J14" i="95"/>
  <c r="P33" i="92"/>
  <c r="J6" i="95"/>
  <c r="M46" i="92"/>
  <c r="P25" i="92"/>
  <c r="P14" i="92"/>
  <c r="J7" i="94"/>
  <c r="J28" i="95"/>
  <c r="G61" i="95"/>
  <c r="G6" i="98"/>
  <c r="G60" i="98" s="1"/>
  <c r="J27" i="96"/>
  <c r="P71" i="92"/>
  <c r="J11" i="96"/>
  <c r="J63" i="96" s="1"/>
  <c r="P55" i="92"/>
  <c r="J20" i="95"/>
  <c r="P39" i="92"/>
  <c r="J12" i="95"/>
  <c r="J29" i="95" s="1"/>
  <c r="P31" i="92"/>
  <c r="J10" i="93" l="1"/>
  <c r="J16" i="97"/>
  <c r="P107" i="92"/>
  <c r="J65" i="96"/>
  <c r="P46" i="92"/>
  <c r="P121" i="92"/>
  <c r="P9" i="92"/>
  <c r="J14" i="94"/>
  <c r="J16" i="94"/>
  <c r="P21" i="92"/>
  <c r="J27" i="9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Katie Lembrich</author>
  </authors>
  <commentList>
    <comment ref="E6" authorId="0" shapeId="0" xr:uid="{91C047BA-2811-4171-8891-AB09599CAF07}">
      <text>
        <r>
          <rPr>
            <b/>
            <sz val="9"/>
            <color indexed="81"/>
            <rFont val="Tahoma"/>
            <family val="2"/>
          </rPr>
          <t>Katie Lembrich:</t>
        </r>
        <r>
          <rPr>
            <sz val="9"/>
            <color indexed="81"/>
            <rFont val="Tahoma"/>
            <family val="2"/>
          </rPr>
          <t xml:space="preserve">
Note formula in column F for states with Restated Allocated Annuities and LA &amp; TN.  Look for additional states (NV) new in 2013.</t>
        </r>
      </text>
    </comment>
  </commentList>
</comments>
</file>

<file path=xl/sharedStrings.xml><?xml version="1.0" encoding="utf-8"?>
<sst xmlns="http://schemas.openxmlformats.org/spreadsheetml/2006/main" count="13580" uniqueCount="716">
  <si>
    <t>Alabama Life Insurance Company</t>
  </si>
  <si>
    <r>
      <rPr>
        <b/>
        <sz val="11"/>
        <color rgb="FF000000"/>
        <rFont val="Calibri"/>
        <family val="2"/>
      </rPr>
      <t xml:space="preserve">Estimated Net Costs as of </t>
    </r>
    <r>
      <rPr>
        <b/>
        <sz val="11"/>
        <color rgb="FFFF0000"/>
        <rFont val="Calibri"/>
        <family val="2"/>
      </rPr>
      <t>September 30, 2021</t>
    </r>
  </si>
  <si>
    <r>
      <rPr>
        <b/>
        <sz val="11"/>
        <color rgb="FF000000"/>
        <rFont val="Calibri"/>
        <family val="2"/>
      </rPr>
      <t xml:space="preserve">Assessments Called (Billed) or Refunded as of </t>
    </r>
    <r>
      <rPr>
        <b/>
        <sz val="11"/>
        <color rgb="FFFF0000"/>
        <rFont val="Calibri"/>
        <family val="2"/>
      </rPr>
      <t>December 31, 2020</t>
    </r>
  </si>
  <si>
    <t>Life</t>
  </si>
  <si>
    <t>Allocated Annuity</t>
  </si>
  <si>
    <t>A&amp;H</t>
  </si>
  <si>
    <t>Unallocated Annuity</t>
  </si>
  <si>
    <t>LTC</t>
  </si>
  <si>
    <t>Total</t>
  </si>
  <si>
    <t>Assessments Called (i.e. Billed)</t>
  </si>
  <si>
    <t>Assessments Refunded</t>
  </si>
  <si>
    <t>Alabama</t>
  </si>
  <si>
    <t>Alaska</t>
  </si>
  <si>
    <t>Arizona</t>
  </si>
  <si>
    <t>Summary:</t>
  </si>
  <si>
    <t>Arkansas</t>
  </si>
  <si>
    <t>California</t>
  </si>
  <si>
    <t>GA Covered Obligations</t>
  </si>
  <si>
    <t>Colorado</t>
  </si>
  <si>
    <t>Connecticut</t>
  </si>
  <si>
    <t>Add:</t>
  </si>
  <si>
    <t>Delaware</t>
  </si>
  <si>
    <t xml:space="preserve">  GA claims incurred directly</t>
  </si>
  <si>
    <t>Dist. of Columbia</t>
  </si>
  <si>
    <t xml:space="preserve">  GA expenses incurred directly</t>
  </si>
  <si>
    <t>Florida</t>
  </si>
  <si>
    <t xml:space="preserve">  NOLHGA expenses</t>
  </si>
  <si>
    <t>Georgia</t>
  </si>
  <si>
    <t xml:space="preserve">  Remaining Inforce estimate</t>
  </si>
  <si>
    <t>Hawaii</t>
  </si>
  <si>
    <t>Idaho</t>
  </si>
  <si>
    <t>Less:</t>
  </si>
  <si>
    <t>Illinois</t>
  </si>
  <si>
    <t xml:space="preserve">  Estate/other distributions</t>
  </si>
  <si>
    <t>Indiana</t>
  </si>
  <si>
    <t xml:space="preserve">  Other adjustments</t>
  </si>
  <si>
    <t>Iowa</t>
  </si>
  <si>
    <t xml:space="preserve">  Ceding commissions/</t>
  </si>
  <si>
    <t>Kansas</t>
  </si>
  <si>
    <t xml:space="preserve">    policy enhancements</t>
  </si>
  <si>
    <t>Kentucky</t>
  </si>
  <si>
    <t xml:space="preserve">  Other recoveries (litigation,</t>
  </si>
  <si>
    <t>Louisiana</t>
  </si>
  <si>
    <t xml:space="preserve">    estate distributions, etc.)</t>
  </si>
  <si>
    <t>Maine</t>
  </si>
  <si>
    <t>Maryland</t>
  </si>
  <si>
    <t>Adjusted GA Costs</t>
  </si>
  <si>
    <t>Massachusetts</t>
  </si>
  <si>
    <t>Per State Breakdown</t>
  </si>
  <si>
    <t>Michigan</t>
  </si>
  <si>
    <t>Minnesota</t>
  </si>
  <si>
    <t>Mississippi</t>
  </si>
  <si>
    <t>Missouri</t>
  </si>
  <si>
    <t>Montana</t>
  </si>
  <si>
    <t>Nebraska</t>
  </si>
  <si>
    <t>Nevada</t>
  </si>
  <si>
    <t>New Hampshire</t>
  </si>
  <si>
    <t>New Jersey</t>
  </si>
  <si>
    <t>New Mexico</t>
  </si>
  <si>
    <t>New York</t>
  </si>
  <si>
    <t>North Carolina</t>
  </si>
  <si>
    <t>North Dakota</t>
  </si>
  <si>
    <t>Ohio</t>
  </si>
  <si>
    <t>Oklahoma</t>
  </si>
  <si>
    <t>Oregon</t>
  </si>
  <si>
    <t>Pennsylvania</t>
  </si>
  <si>
    <t>Puerto Rico</t>
  </si>
  <si>
    <t>Rhode Island</t>
  </si>
  <si>
    <t>South Carolina</t>
  </si>
  <si>
    <t>South Dakota</t>
  </si>
  <si>
    <t>Tennessee</t>
  </si>
  <si>
    <t>Texas</t>
  </si>
  <si>
    <t>Utah</t>
  </si>
  <si>
    <t>Vermont</t>
  </si>
  <si>
    <t>Virginia</t>
  </si>
  <si>
    <t>Washington</t>
  </si>
  <si>
    <t>West Virginia</t>
  </si>
  <si>
    <t>Wisconsin</t>
  </si>
  <si>
    <t>Wyoming</t>
  </si>
  <si>
    <t>Other</t>
  </si>
  <si>
    <t>Assessment information is compiled annually from state guaranty associations.  This information is NOT audited or verified by NOLHGA.  NOLHGA cannot comment as to the completeness nor accuracy of the information shown herein.  Any such inquiries should be directed to each individual state guaranty association.</t>
  </si>
  <si>
    <t>American Chambers Life Insurance Company</t>
  </si>
  <si>
    <t>American Community Mutual Insurance Company</t>
  </si>
  <si>
    <t>American Educators Life Insurance Company</t>
  </si>
  <si>
    <t>American Integrity Insurance Company</t>
  </si>
  <si>
    <t>American Life Assurance Corporation</t>
  </si>
  <si>
    <t>American Network Insurance Company</t>
  </si>
  <si>
    <t>American Standard Life &amp; Accident Insurance Company</t>
  </si>
  <si>
    <t>American Western Life Insurance Company</t>
  </si>
  <si>
    <t>AMS Life Insurance Company</t>
  </si>
  <si>
    <t>Andrew Jackson Life Insurance Company</t>
  </si>
  <si>
    <t>Bankers Commercial Life Insurance Company</t>
  </si>
  <si>
    <t>Benicorp Insurance Company</t>
  </si>
  <si>
    <t>Booker T Washington Insurance Company, Inc.</t>
  </si>
  <si>
    <t>Centennial Life Insurance Company</t>
  </si>
  <si>
    <t>Coastal States Life Insurance Company</t>
  </si>
  <si>
    <t>Colorado Health Insurance Cooperative Inc. d/b/a Colorado HealthOP</t>
  </si>
  <si>
    <t>Compass Cooperative Mutual Health Network, Inc. d/b/a Meritus Mutual Health Partners</t>
  </si>
  <si>
    <t>Confederation Life Insurance &amp; Annuity Co (CLIAC)</t>
  </si>
  <si>
    <t>Confederation Life Insurance Company (CLIC)</t>
  </si>
  <si>
    <t>Consolidated National Life Insurance Company</t>
  </si>
  <si>
    <t>Consumers Choice Health Insurance Company d/b/a Consumers’ Choice Health Plan</t>
  </si>
  <si>
    <t>Consumers Mutual Insurance of Michigan</t>
  </si>
  <si>
    <t>Consumers United Insurance Company</t>
  </si>
  <si>
    <t>CoOportunity Health</t>
  </si>
  <si>
    <t>Coordinated Health (dba InHealth Mutual)</t>
  </si>
  <si>
    <t>Corporate Life Insurance Company</t>
  </si>
  <si>
    <t>Diamond Benefits Life Insurance Company/Life Assurance Company of Pennsylvania</t>
  </si>
  <si>
    <t>EBL Life Insurance Company</t>
  </si>
  <si>
    <t>Executive Life Insurance Company</t>
  </si>
  <si>
    <t>Executive Life Insurance Company of New York</t>
  </si>
  <si>
    <t>Family Guaranty Life Insurance Company</t>
  </si>
  <si>
    <t>Farmers and Ranchers Life Insurance Company</t>
  </si>
  <si>
    <t>Fidelity Bankers Life Insurance Company</t>
  </si>
  <si>
    <t>Fidelity Mutual Life Insurance Company</t>
  </si>
  <si>
    <t>First Capital Life Insurance Company</t>
  </si>
  <si>
    <t>First National Life Insurance Company</t>
  </si>
  <si>
    <t>First National Life Insurance Company of America</t>
  </si>
  <si>
    <t>Franklin American Life Insurance Company</t>
  </si>
  <si>
    <t>Franklin Protective Life Insurance Company</t>
  </si>
  <si>
    <t>Freelancers CO-OP of NJ (dba Health Republic of NJ)</t>
  </si>
  <si>
    <t>George Washington Life Insurance Company</t>
  </si>
  <si>
    <t>Golden State Mutual Life Insurance Company</t>
  </si>
  <si>
    <t>Guarantee Security Life Insurance Company</t>
  </si>
  <si>
    <t>HealthyCT, Inc.</t>
  </si>
  <si>
    <t>Imerica Life and Health Insurance Company</t>
  </si>
  <si>
    <t>Inter-American Insurance Company of Illinois</t>
  </si>
  <si>
    <t>International Financial Services Life Insurance Company</t>
  </si>
  <si>
    <t>Investment Life Insurance Company of America</t>
  </si>
  <si>
    <t>Investors Equity Life Insurance Company of Hawaii, LTD</t>
  </si>
  <si>
    <t>Kentucky Central Life Insurance Company</t>
  </si>
  <si>
    <t>Land of Lincoln Health Mutual Health Insurance Company</t>
  </si>
  <si>
    <t>Legion Insurance Company</t>
  </si>
  <si>
    <t>Life &amp; Health Insurance Company of America</t>
  </si>
  <si>
    <t>Lincoln Memorial Life Insurance Company</t>
  </si>
  <si>
    <t>London Pacific Life &amp; Annuity Company</t>
  </si>
  <si>
    <t>Lumbermens Mutual Casualty Company</t>
  </si>
  <si>
    <t>Medical Savings Insurance Company</t>
  </si>
  <si>
    <t>Memorial Service Life Insurance Company</t>
  </si>
  <si>
    <t>Mid-Continent Life Insurance Company</t>
  </si>
  <si>
    <t>Midwest Life Insurance Company</t>
  </si>
  <si>
    <t>Monarch Life Insurance Company</t>
  </si>
  <si>
    <t>Mutual Benefit Life Insurance Company</t>
  </si>
  <si>
    <t>Mutual Security Life Insurance Company</t>
  </si>
  <si>
    <t>National Affiliated Investors Life Insurance Company</t>
  </si>
  <si>
    <t>National American Life Insurance Co of Pennsylvania</t>
  </si>
  <si>
    <t>National Heritage Life Insurance Company</t>
  </si>
  <si>
    <t>National States Insurance Company</t>
  </si>
  <si>
    <t>New Jersey Life Insurance Company</t>
  </si>
  <si>
    <t>Northwestern National Insurance Company of Milwaukee Wisconsin</t>
  </si>
  <si>
    <t>Old Colony Life Insurance Company</t>
  </si>
  <si>
    <t>Old Faithful Life Insurance Company</t>
  </si>
  <si>
    <t>Pacific Standard Life Insurance Company</t>
  </si>
  <si>
    <t>Penn Treaty Network America Insurance Company</t>
  </si>
  <si>
    <t>Reliance Insurance Company</t>
  </si>
  <si>
    <t>SeeChange Health Insurance Company</t>
  </si>
  <si>
    <t>Senior American Insurance Company</t>
  </si>
  <si>
    <t>Settlers Life Insurance Company</t>
  </si>
  <si>
    <t>Shenandoah Life Insurance Company</t>
  </si>
  <si>
    <t>Standard Life Insurance Company of Indiana</t>
  </si>
  <si>
    <t>States General Life Insurance Company</t>
  </si>
  <si>
    <t>Statesman National Life Insurance Company</t>
  </si>
  <si>
    <t>Summit National Life Insurance Company</t>
  </si>
  <si>
    <t>Supreme Life Insurance Company of America</t>
  </si>
  <si>
    <t>Underwriters Life Insurance Company</t>
  </si>
  <si>
    <t>Unison International Life Insurance Company</t>
  </si>
  <si>
    <t>United Republic Life Insurance Company</t>
  </si>
  <si>
    <t>Universal Health Care Insurance Company, Inc.</t>
  </si>
  <si>
    <t>Universal Life Insurance Company</t>
  </si>
  <si>
    <t>Universe Life Insurance Company</t>
  </si>
  <si>
    <t>Villanova Insurance Company</t>
  </si>
  <si>
    <t>NAIC Code</t>
  </si>
  <si>
    <t>Domicile</t>
  </si>
  <si>
    <t>Rehabiliation Date</t>
  </si>
  <si>
    <t>Liquidation Date</t>
  </si>
  <si>
    <t>Estate Closing Date</t>
  </si>
  <si>
    <t>Total Report 2021</t>
  </si>
  <si>
    <t>Total Report 2020</t>
  </si>
  <si>
    <t>Change</t>
  </si>
  <si>
    <t>Overview "Pre-Liquidation" Insolvencies</t>
  </si>
  <si>
    <t>Monarch Life Ins. Co.</t>
  </si>
  <si>
    <t xml:space="preserve">66265     </t>
  </si>
  <si>
    <t>MA</t>
  </si>
  <si>
    <t>6/9/1994</t>
  </si>
  <si>
    <t>Total "Pre-Liquidation"</t>
  </si>
  <si>
    <t>Overview "Open" Insolvencies</t>
  </si>
  <si>
    <t>American Network Ins. Co.</t>
  </si>
  <si>
    <t xml:space="preserve">81078     </t>
  </si>
  <si>
    <t>PA</t>
  </si>
  <si>
    <t>1/6/2009</t>
  </si>
  <si>
    <t>3/1/2017</t>
  </si>
  <si>
    <t>Executive Life Ins. Co.</t>
  </si>
  <si>
    <t xml:space="preserve">63010     </t>
  </si>
  <si>
    <t>CA</t>
  </si>
  <si>
    <t>4/11/1991</t>
  </si>
  <si>
    <t>12/6/1991</t>
  </si>
  <si>
    <t>Life &amp; Health Ins. Co. of America</t>
  </si>
  <si>
    <t xml:space="preserve">77887     </t>
  </si>
  <si>
    <t>7/2/2004</t>
  </si>
  <si>
    <t>11/27/2007</t>
  </si>
  <si>
    <t>Lincoln Memorial Life Ins. Co.</t>
  </si>
  <si>
    <t xml:space="preserve">69833     </t>
  </si>
  <si>
    <t>TX</t>
  </si>
  <si>
    <t>5/14/2008</t>
  </si>
  <si>
    <t>9/22/2008</t>
  </si>
  <si>
    <t>National States Ins. Co.</t>
  </si>
  <si>
    <t xml:space="preserve">60593     </t>
  </si>
  <si>
    <t>MO</t>
  </si>
  <si>
    <t>4/1/2010</t>
  </si>
  <si>
    <t>11/15/2010</t>
  </si>
  <si>
    <t>Penn Treaty Network</t>
  </si>
  <si>
    <t xml:space="preserve">63282     </t>
  </si>
  <si>
    <t>Senior American Ins Co</t>
  </si>
  <si>
    <t xml:space="preserve">76759     </t>
  </si>
  <si>
    <t>2/28/2005</t>
  </si>
  <si>
    <t>9/3/2019</t>
  </si>
  <si>
    <t>Total "Open"</t>
  </si>
  <si>
    <t>Overview "Closed" Insolvencies</t>
  </si>
  <si>
    <t>Andrew Jackson Life Ins. Co.</t>
  </si>
  <si>
    <t xml:space="preserve">60968     </t>
  </si>
  <si>
    <t>MS</t>
  </si>
  <si>
    <t>2/10/1992</t>
  </si>
  <si>
    <t>3/26/1993</t>
  </si>
  <si>
    <t>Colorado Health Ins. Coop. Inc.</t>
  </si>
  <si>
    <t xml:space="preserve">15126     </t>
  </si>
  <si>
    <t>CO</t>
  </si>
  <si>
    <t>11/10/2015</t>
  </si>
  <si>
    <t>1/4/2016</t>
  </si>
  <si>
    <t>Meritus Mutual Health Partners</t>
  </si>
  <si>
    <t xml:space="preserve">15092     </t>
  </si>
  <si>
    <t>AZ</t>
  </si>
  <si>
    <t>10/30/2015</t>
  </si>
  <si>
    <t>8/10/2016</t>
  </si>
  <si>
    <t>Consumers Choice Health Plan</t>
  </si>
  <si>
    <t xml:space="preserve">15145     </t>
  </si>
  <si>
    <t>SC</t>
  </si>
  <si>
    <t>1/8/2016</t>
  </si>
  <si>
    <t>3/28/2016</t>
  </si>
  <si>
    <t xml:space="preserve">15128     </t>
  </si>
  <si>
    <t>MI</t>
  </si>
  <si>
    <t>11/13/2015</t>
  </si>
  <si>
    <t>2/10/2016</t>
  </si>
  <si>
    <t xml:space="preserve">15093     </t>
  </si>
  <si>
    <t>IA</t>
  </si>
  <si>
    <t>12/23/2014</t>
  </si>
  <si>
    <t>2/28/2015</t>
  </si>
  <si>
    <t>Coordinated Health</t>
  </si>
  <si>
    <t xml:space="preserve">15314     </t>
  </si>
  <si>
    <t>OH</t>
  </si>
  <si>
    <t>5/26/2016</t>
  </si>
  <si>
    <t>Executive Life Ins. Co. of New York</t>
  </si>
  <si>
    <t xml:space="preserve">61913     </t>
  </si>
  <si>
    <t>NY</t>
  </si>
  <si>
    <t>4/23/1991</t>
  </si>
  <si>
    <t>8/8/2013</t>
  </si>
  <si>
    <t>Farmers and Ranchers Life Ins. Co.</t>
  </si>
  <si>
    <t xml:space="preserve">63185     </t>
  </si>
  <si>
    <t>OK</t>
  </si>
  <si>
    <t>5/12/1999</t>
  </si>
  <si>
    <t>1/14/2000</t>
  </si>
  <si>
    <t>First National Life Ins. Co. of America</t>
  </si>
  <si>
    <t xml:space="preserve">63525     </t>
  </si>
  <si>
    <t>5/10/1999</t>
  </si>
  <si>
    <t>6/29/1999</t>
  </si>
  <si>
    <t>Freelancers CO-OP of NJ</t>
  </si>
  <si>
    <t xml:space="preserve">15197     </t>
  </si>
  <si>
    <t>NJ</t>
  </si>
  <si>
    <t>10/19/2016</t>
  </si>
  <si>
    <t>2/3/2017</t>
  </si>
  <si>
    <t xml:space="preserve">15046     </t>
  </si>
  <si>
    <t>CT</t>
  </si>
  <si>
    <t>7/1/2016</t>
  </si>
  <si>
    <t>12/31/2016</t>
  </si>
  <si>
    <t>Land of Lincoln Health</t>
  </si>
  <si>
    <t xml:space="preserve">15102     </t>
  </si>
  <si>
    <t>IL</t>
  </si>
  <si>
    <t>7/14/2016</t>
  </si>
  <si>
    <t>9/29/2016</t>
  </si>
  <si>
    <t>Lumbermens Mutual</t>
  </si>
  <si>
    <t xml:space="preserve">22977     </t>
  </si>
  <si>
    <t>7/2/2012</t>
  </si>
  <si>
    <t>5/10/2013</t>
  </si>
  <si>
    <t>Memorial Service Life Ins. Co.</t>
  </si>
  <si>
    <t xml:space="preserve">74926     </t>
  </si>
  <si>
    <t>National Heritage Life Ins. Co.</t>
  </si>
  <si>
    <t xml:space="preserve">97284     </t>
  </si>
  <si>
    <t>DE</t>
  </si>
  <si>
    <t>5/25/1994</t>
  </si>
  <si>
    <t>11/21/1995</t>
  </si>
  <si>
    <t>Northwestern National Ins Co of Milwaukee</t>
  </si>
  <si>
    <t xml:space="preserve">23914     </t>
  </si>
  <si>
    <t>WI</t>
  </si>
  <si>
    <t>2/22/2017</t>
  </si>
  <si>
    <t>5/2/2019</t>
  </si>
  <si>
    <t>Reliance Ins. Co.</t>
  </si>
  <si>
    <t xml:space="preserve">24457     </t>
  </si>
  <si>
    <t>5/29/2001</t>
  </si>
  <si>
    <t>10/3/2001</t>
  </si>
  <si>
    <t>Standard Life Ins Co of IN</t>
  </si>
  <si>
    <t xml:space="preserve">69051     </t>
  </si>
  <si>
    <t>IN</t>
  </si>
  <si>
    <t>12/18/2008</t>
  </si>
  <si>
    <t>7/26/2012</t>
  </si>
  <si>
    <t>Universal Health Care Ins. Co.</t>
  </si>
  <si>
    <t xml:space="preserve">12577     </t>
  </si>
  <si>
    <t>FL</t>
  </si>
  <si>
    <t>3/22/2013</t>
  </si>
  <si>
    <t>4/1/2013</t>
  </si>
  <si>
    <t>Total "Closed"</t>
  </si>
  <si>
    <t>Overview "Estate Closed" Insolvencies</t>
  </si>
  <si>
    <t>Alabama Life Ins. Co.</t>
  </si>
  <si>
    <t xml:space="preserve">98825     </t>
  </si>
  <si>
    <t>AL</t>
  </si>
  <si>
    <t>12/2/1993</t>
  </si>
  <si>
    <t>10/7/1994</t>
  </si>
  <si>
    <t>6/24/2002</t>
  </si>
  <si>
    <t>American Chambers Life Ins. Co.</t>
  </si>
  <si>
    <t xml:space="preserve">75914     </t>
  </si>
  <si>
    <t>3/13/2000</t>
  </si>
  <si>
    <t>5/8/2000</t>
  </si>
  <si>
    <t>12/2/2013</t>
  </si>
  <si>
    <t>American Educators Life Ins. Co.</t>
  </si>
  <si>
    <t xml:space="preserve">60356     </t>
  </si>
  <si>
    <t>8/11/1994</t>
  </si>
  <si>
    <t>2/20/2002</t>
  </si>
  <si>
    <t>American Integrity Ins. Co.</t>
  </si>
  <si>
    <t xml:space="preserve">10197     </t>
  </si>
  <si>
    <t>6/25/1993</t>
  </si>
  <si>
    <t>10/7/2011</t>
  </si>
  <si>
    <t>American Life Assurance Corp.</t>
  </si>
  <si>
    <t xml:space="preserve">88161     </t>
  </si>
  <si>
    <t>2/25/1997</t>
  </si>
  <si>
    <t>5/30/1997</t>
  </si>
  <si>
    <t>6/15/2004</t>
  </si>
  <si>
    <t>American Standard Life &amp; Accident Ins. Co.</t>
  </si>
  <si>
    <t xml:space="preserve">63452     </t>
  </si>
  <si>
    <t>2/22/1991</t>
  </si>
  <si>
    <t>9/22/1998</t>
  </si>
  <si>
    <t>5/28/2004</t>
  </si>
  <si>
    <t>American Western Life Ins. Co.</t>
  </si>
  <si>
    <t xml:space="preserve">60917     </t>
  </si>
  <si>
    <t>UT</t>
  </si>
  <si>
    <t>1/1/1997</t>
  </si>
  <si>
    <t>8/28/1997</t>
  </si>
  <si>
    <t>5/26/2011</t>
  </si>
  <si>
    <t>AMS Life Ins. Co.</t>
  </si>
  <si>
    <t xml:space="preserve">86142     </t>
  </si>
  <si>
    <t>3/27/1992</t>
  </si>
  <si>
    <t>9/3/1992</t>
  </si>
  <si>
    <t>12/28/2006</t>
  </si>
  <si>
    <t>Bankers Commercial Life Ins. Co.</t>
  </si>
  <si>
    <t xml:space="preserve">61220     </t>
  </si>
  <si>
    <t>5/15/2000</t>
  </si>
  <si>
    <t>6/19/2000</t>
  </si>
  <si>
    <t>11/8/2002</t>
  </si>
  <si>
    <t>4/7/2003</t>
  </si>
  <si>
    <t>Benicorp Ins. Co.</t>
  </si>
  <si>
    <t xml:space="preserve">69752     </t>
  </si>
  <si>
    <t>8/9/2007</t>
  </si>
  <si>
    <t>10/5/2007</t>
  </si>
  <si>
    <t>2/22/2021</t>
  </si>
  <si>
    <t>Booker T Washington Ins Co Inc</t>
  </si>
  <si>
    <t xml:space="preserve">61468     </t>
  </si>
  <si>
    <t>2/22/2006</t>
  </si>
  <si>
    <t>5/5/2010</t>
  </si>
  <si>
    <t>3/12/2015</t>
  </si>
  <si>
    <t>Centennial Life Ins. Co.</t>
  </si>
  <si>
    <t xml:space="preserve">61654     </t>
  </si>
  <si>
    <t>KS</t>
  </si>
  <si>
    <t>2/4/1998</t>
  </si>
  <si>
    <t>5/27/1998</t>
  </si>
  <si>
    <t>6/12/2020</t>
  </si>
  <si>
    <t>Coastal States Life Ins. Co.</t>
  </si>
  <si>
    <t xml:space="preserve">61980     </t>
  </si>
  <si>
    <t>GA</t>
  </si>
  <si>
    <t>1/24/1996</t>
  </si>
  <si>
    <t>10/1/1996</t>
  </si>
  <si>
    <t>9/17/2004</t>
  </si>
  <si>
    <t>Confederation Life Ins. Co. (CLIC)</t>
  </si>
  <si>
    <t xml:space="preserve">80667     </t>
  </si>
  <si>
    <t>8/12/1994</t>
  </si>
  <si>
    <t>11/19/2008</t>
  </si>
  <si>
    <t>Consolidated National Life Ins. Co.</t>
  </si>
  <si>
    <t xml:space="preserve">71382     </t>
  </si>
  <si>
    <t>7/12/1994</t>
  </si>
  <si>
    <t>11/29/1999</t>
  </si>
  <si>
    <t>Consumers United Ins. Co.</t>
  </si>
  <si>
    <t xml:space="preserve">62278     </t>
  </si>
  <si>
    <t>2/9/1993</t>
  </si>
  <si>
    <t>5/5/1994</t>
  </si>
  <si>
    <t>10/3/2013</t>
  </si>
  <si>
    <t>Corporate Life Ins. Co.</t>
  </si>
  <si>
    <t xml:space="preserve">74705     </t>
  </si>
  <si>
    <t>8/24/1988</t>
  </si>
  <si>
    <t>2/15/1994</t>
  </si>
  <si>
    <t>1/4/2007</t>
  </si>
  <si>
    <t>Diamond Benefits Life Ins. Co./LACOP</t>
  </si>
  <si>
    <t xml:space="preserve">74969     </t>
  </si>
  <si>
    <t>12/19/1988</t>
  </si>
  <si>
    <t>2/28/1992</t>
  </si>
  <si>
    <t>12/21/2007</t>
  </si>
  <si>
    <t>EBL Life Ins. Co.</t>
  </si>
  <si>
    <t xml:space="preserve">87033     </t>
  </si>
  <si>
    <t>4/7/1994</t>
  </si>
  <si>
    <t>8/15/2005</t>
  </si>
  <si>
    <t>Family Guaranty Life Ins. Co.</t>
  </si>
  <si>
    <t xml:space="preserve">75302     </t>
  </si>
  <si>
    <t>8/30/2018</t>
  </si>
  <si>
    <t>Fidelity Bankers Life Ins. Co.</t>
  </si>
  <si>
    <t xml:space="preserve">63266     </t>
  </si>
  <si>
    <t>VA</t>
  </si>
  <si>
    <t>5/13/1991</t>
  </si>
  <si>
    <t>9/29/1992</t>
  </si>
  <si>
    <t>9/26/2012</t>
  </si>
  <si>
    <t>First National Life Ins. Co.</t>
  </si>
  <si>
    <t xml:space="preserve">63517     </t>
  </si>
  <si>
    <t>10/4/1996</t>
  </si>
  <si>
    <t>8/5/1997</t>
  </si>
  <si>
    <t>12/17/2002</t>
  </si>
  <si>
    <t>Franklin American Life Ins. Co.</t>
  </si>
  <si>
    <t xml:space="preserve">68489     </t>
  </si>
  <si>
    <t>TN</t>
  </si>
  <si>
    <t>5/11/1999</t>
  </si>
  <si>
    <t>10/26/1999</t>
  </si>
  <si>
    <t>11/26/2013</t>
  </si>
  <si>
    <t>Franklin Protective Life Ins. Co.</t>
  </si>
  <si>
    <t xml:space="preserve">98655     </t>
  </si>
  <si>
    <t>8/9/2019</t>
  </si>
  <si>
    <t>George Washington Life Ins. Co.</t>
  </si>
  <si>
    <t xml:space="preserve">63770     </t>
  </si>
  <si>
    <t>WV</t>
  </si>
  <si>
    <t>9/5/1990</t>
  </si>
  <si>
    <t>6/3/1991</t>
  </si>
  <si>
    <t>1/21/2005</t>
  </si>
  <si>
    <t>Golden State Mutual Life Ins Co</t>
  </si>
  <si>
    <t xml:space="preserve">63924     </t>
  </si>
  <si>
    <t>6/24/2010</t>
  </si>
  <si>
    <t>1/28/2011</t>
  </si>
  <si>
    <t>10/17/2016</t>
  </si>
  <si>
    <t>Guarantee Security Life Ins. Co.</t>
  </si>
  <si>
    <t xml:space="preserve">84271     </t>
  </si>
  <si>
    <t>8/12/1991</t>
  </si>
  <si>
    <t>12/2/1992</t>
  </si>
  <si>
    <t>7/29/2005</t>
  </si>
  <si>
    <t>Imerica Life and Health Ins. Co.</t>
  </si>
  <si>
    <t xml:space="preserve">63533     </t>
  </si>
  <si>
    <t>AR</t>
  </si>
  <si>
    <t>11/18/2009</t>
  </si>
  <si>
    <t>5/3/2010</t>
  </si>
  <si>
    <t>8/2/2018</t>
  </si>
  <si>
    <t>Inter-American Ins. Co. of Illinois</t>
  </si>
  <si>
    <t xml:space="preserve">67210     </t>
  </si>
  <si>
    <t>10/25/1991</t>
  </si>
  <si>
    <t>12/23/1991</t>
  </si>
  <si>
    <t>9/16/2003</t>
  </si>
  <si>
    <t>International Financial Services Life Ins. Co.</t>
  </si>
  <si>
    <t xml:space="preserve">64084     </t>
  </si>
  <si>
    <t>11/30/1999</t>
  </si>
  <si>
    <t>12/29/2012</t>
  </si>
  <si>
    <t>Investment Life Ins. Co. of America</t>
  </si>
  <si>
    <t xml:space="preserve">76015     </t>
  </si>
  <si>
    <t>NC</t>
  </si>
  <si>
    <t>8/31/1992</t>
  </si>
  <si>
    <t>4/2/1993</t>
  </si>
  <si>
    <t>12/12/2005</t>
  </si>
  <si>
    <t>Investors Equity Life Ins. Co. of HI, LTD</t>
  </si>
  <si>
    <t xml:space="preserve">64874     </t>
  </si>
  <si>
    <t>HI</t>
  </si>
  <si>
    <t>6/24/1994</t>
  </si>
  <si>
    <t>12/29/1994</t>
  </si>
  <si>
    <t>5/12/2021</t>
  </si>
  <si>
    <t>Kentucky Central Life Ins. Co.</t>
  </si>
  <si>
    <t xml:space="preserve">65188     </t>
  </si>
  <si>
    <t>KY</t>
  </si>
  <si>
    <t>2/12/1993</t>
  </si>
  <si>
    <t>8/18/1994</t>
  </si>
  <si>
    <t>12/10/2007</t>
  </si>
  <si>
    <t>Legion Ins. Co.</t>
  </si>
  <si>
    <t xml:space="preserve">24422     </t>
  </si>
  <si>
    <t>3/28/2002</t>
  </si>
  <si>
    <t>7/28/2003</t>
  </si>
  <si>
    <t>10/1/2019</t>
  </si>
  <si>
    <t>London Pacific Life &amp; Annuity Co.</t>
  </si>
  <si>
    <t xml:space="preserve">68934     </t>
  </si>
  <si>
    <t>8/6/2002</t>
  </si>
  <si>
    <t>9/30/2004</t>
  </si>
  <si>
    <t>12/18/2012</t>
  </si>
  <si>
    <t>Medical Savings Ins. Co.</t>
  </si>
  <si>
    <t xml:space="preserve">74217A    </t>
  </si>
  <si>
    <t>12/1/2008</t>
  </si>
  <si>
    <t>2/26/2009</t>
  </si>
  <si>
    <t>10/7/2015</t>
  </si>
  <si>
    <t>Midwest Life Ins. Co.</t>
  </si>
  <si>
    <t xml:space="preserve">66060     </t>
  </si>
  <si>
    <t>LA</t>
  </si>
  <si>
    <t>6/26/1991</t>
  </si>
  <si>
    <t>8/26/1991</t>
  </si>
  <si>
    <t>6/24/2008</t>
  </si>
  <si>
    <t>Mutual Benefit Life Ins. Co.</t>
  </si>
  <si>
    <t xml:space="preserve">66362     </t>
  </si>
  <si>
    <t>7/16/1991</t>
  </si>
  <si>
    <t>11/3/1993</t>
  </si>
  <si>
    <t>6/30/1999</t>
  </si>
  <si>
    <t>Mutual Security Life Ins. Co.</t>
  </si>
  <si>
    <t xml:space="preserve">66400     </t>
  </si>
  <si>
    <t>10/5/1990</t>
  </si>
  <si>
    <t>National Affiliated Investors Life Ins. Co.</t>
  </si>
  <si>
    <t xml:space="preserve">69370     </t>
  </si>
  <si>
    <t>6/7/1999</t>
  </si>
  <si>
    <t>4/26/2000</t>
  </si>
  <si>
    <t>7/10/2006</t>
  </si>
  <si>
    <t>National American Life Ins. Co of PA</t>
  </si>
  <si>
    <t xml:space="preserve">69221     </t>
  </si>
  <si>
    <t>1/31/1995</t>
  </si>
  <si>
    <t>5/31/1996</t>
  </si>
  <si>
    <t>10/13/2004</t>
  </si>
  <si>
    <t>New Jersey Life Ins. Co.</t>
  </si>
  <si>
    <t xml:space="preserve">66907     </t>
  </si>
  <si>
    <t>9/5/1991</t>
  </si>
  <si>
    <t>8/12/1993</t>
  </si>
  <si>
    <t>1/8/1999</t>
  </si>
  <si>
    <t>Old Colony Life Ins. Co.</t>
  </si>
  <si>
    <t xml:space="preserve">65161     </t>
  </si>
  <si>
    <t>5/21/1992</t>
  </si>
  <si>
    <t>6/30/1994</t>
  </si>
  <si>
    <t>11/1/2006</t>
  </si>
  <si>
    <t>Old Faithful Life Ins. Co.</t>
  </si>
  <si>
    <t xml:space="preserve">67229     </t>
  </si>
  <si>
    <t>WY</t>
  </si>
  <si>
    <t>2/19/1992</t>
  </si>
  <si>
    <t>11/16/1992</t>
  </si>
  <si>
    <t>11/4/1996</t>
  </si>
  <si>
    <t>Pacific Standard Life Ins. Co.</t>
  </si>
  <si>
    <t xml:space="preserve">72842     </t>
  </si>
  <si>
    <t>12/11/1989</t>
  </si>
  <si>
    <t>5/11/1994</t>
  </si>
  <si>
    <t>12/30/1999</t>
  </si>
  <si>
    <t>SeeChange Health Ins. Co.</t>
  </si>
  <si>
    <t xml:space="preserve">63541     </t>
  </si>
  <si>
    <t>11/19/2014</t>
  </si>
  <si>
    <t>1/28/2015</t>
  </si>
  <si>
    <t>States General Life Ins. Co.</t>
  </si>
  <si>
    <t xml:space="preserve">69175     </t>
  </si>
  <si>
    <t>1/14/2005</t>
  </si>
  <si>
    <t>3/9/2005</t>
  </si>
  <si>
    <t>10/18/2010</t>
  </si>
  <si>
    <t>Statesman National Life Ins. Co.</t>
  </si>
  <si>
    <t xml:space="preserve">69183     </t>
  </si>
  <si>
    <t>2/8/1999</t>
  </si>
  <si>
    <t>5/15/1999</t>
  </si>
  <si>
    <t>12/22/2003</t>
  </si>
  <si>
    <t>Summit National Life Ins. Co.</t>
  </si>
  <si>
    <t xml:space="preserve">71080     </t>
  </si>
  <si>
    <t>5/6/1994</t>
  </si>
  <si>
    <t>11/1/1994</t>
  </si>
  <si>
    <t>3/3/2006</t>
  </si>
  <si>
    <t>Supreme Life Ins. Co. of America</t>
  </si>
  <si>
    <t xml:space="preserve">69302     </t>
  </si>
  <si>
    <t>7/12/1995</t>
  </si>
  <si>
    <t>5/12/2000</t>
  </si>
  <si>
    <t>Underwriters Life Ins. Co.</t>
  </si>
  <si>
    <t xml:space="preserve">88188     </t>
  </si>
  <si>
    <t>SD</t>
  </si>
  <si>
    <t>11/2/1990</t>
  </si>
  <si>
    <t>1/27/1991</t>
  </si>
  <si>
    <t>12/14/1998</t>
  </si>
  <si>
    <t>Unison International Life Ins. Co.</t>
  </si>
  <si>
    <t xml:space="preserve">68055     </t>
  </si>
  <si>
    <t>9/25/1992</t>
  </si>
  <si>
    <t>United Republic Life Ins. Co.</t>
  </si>
  <si>
    <t xml:space="preserve">93238     </t>
  </si>
  <si>
    <t>1/26/1994</t>
  </si>
  <si>
    <t>11/18/1994</t>
  </si>
  <si>
    <t>7/25/2001</t>
  </si>
  <si>
    <t>Universal Life Ins Co</t>
  </si>
  <si>
    <t xml:space="preserve">70157     </t>
  </si>
  <si>
    <t>4/24/2009</t>
  </si>
  <si>
    <t>Universe Life Ins. Co.</t>
  </si>
  <si>
    <t xml:space="preserve">70181     </t>
  </si>
  <si>
    <t>ID</t>
  </si>
  <si>
    <t>3/5/1996</t>
  </si>
  <si>
    <t>12/4/1998</t>
  </si>
  <si>
    <t>5/24/2013</t>
  </si>
  <si>
    <t>Villanova Ins. Co.</t>
  </si>
  <si>
    <t xml:space="preserve">19577     </t>
  </si>
  <si>
    <t>Total "Estate Closed"</t>
  </si>
  <si>
    <t>Overview "Released from Oversight" Insolvencies</t>
  </si>
  <si>
    <t>American Community Mutual Ins. Co.</t>
  </si>
  <si>
    <t xml:space="preserve">60305     </t>
  </si>
  <si>
    <t>4/8/2010</t>
  </si>
  <si>
    <t>Confederation Life Ins. &amp; Annuity Co. (CLIAC)</t>
  </si>
  <si>
    <t xml:space="preserve">99384     </t>
  </si>
  <si>
    <t>9/1/1994</t>
  </si>
  <si>
    <t>No GA Fund Required</t>
  </si>
  <si>
    <t>Fidelity Mutual Life Ins. Co.</t>
  </si>
  <si>
    <t xml:space="preserve">63304     </t>
  </si>
  <si>
    <t>11/6/1992</t>
  </si>
  <si>
    <t>no GA participation</t>
  </si>
  <si>
    <t>First Capital Life Ins. Co.</t>
  </si>
  <si>
    <t xml:space="preserve">65447     </t>
  </si>
  <si>
    <t>5/14/1991</t>
  </si>
  <si>
    <t>7/2/2002</t>
  </si>
  <si>
    <t>Mid-Continent Life Ins. Co.</t>
  </si>
  <si>
    <t xml:space="preserve">66001     </t>
  </si>
  <si>
    <t>6/6/1997</t>
  </si>
  <si>
    <t>Settlers Life Ins. Co.</t>
  </si>
  <si>
    <t xml:space="preserve">64220     </t>
  </si>
  <si>
    <t>5/14/1999</t>
  </si>
  <si>
    <t>Shenandoah Life Ins. Co.</t>
  </si>
  <si>
    <t xml:space="preserve">68845     </t>
  </si>
  <si>
    <t>2/12/2009</t>
  </si>
  <si>
    <t>Total "Released from Oversight"</t>
  </si>
  <si>
    <t>Grand Total</t>
  </si>
  <si>
    <t>Pre-Liquidation Insolvencies Summary by State</t>
  </si>
  <si>
    <t>Allocated</t>
  </si>
  <si>
    <t>Unallocated</t>
  </si>
  <si>
    <t>Annuity</t>
  </si>
  <si>
    <t>Per state breakdown</t>
  </si>
  <si>
    <t>Open Insolvencies Summary by State</t>
  </si>
  <si>
    <t>Closed Insolvencies Summary by State</t>
  </si>
  <si>
    <t>Estate Closed Insolvencies Summary by State</t>
  </si>
  <si>
    <t>Released from Oversight Insolvencies Summary by State</t>
  </si>
  <si>
    <t>Total All Insolvencies Summary by State</t>
  </si>
  <si>
    <t xml:space="preserve"> </t>
  </si>
  <si>
    <t>Total All Lines</t>
  </si>
  <si>
    <t>Total LIFE Only</t>
  </si>
  <si>
    <t>Total ALLOCATED ANNUITY Only</t>
  </si>
  <si>
    <t>Total UNALLOCATED ANNUITY Only</t>
  </si>
  <si>
    <t>Prior to 2014</t>
  </si>
  <si>
    <t>Annual Funding</t>
  </si>
  <si>
    <t>April</t>
  </si>
  <si>
    <t>Estimated Future 2022</t>
  </si>
  <si>
    <t>State</t>
  </si>
  <si>
    <t>2015</t>
  </si>
  <si>
    <t>2016</t>
  </si>
  <si>
    <t>2017</t>
  </si>
  <si>
    <t>2018</t>
  </si>
  <si>
    <t>2019</t>
  </si>
  <si>
    <t>2020</t>
  </si>
  <si>
    <t>2021</t>
  </si>
  <si>
    <t>2014</t>
  </si>
  <si>
    <t>District of Columbia</t>
  </si>
  <si>
    <t>Reconciliation Grand Total Insolvency Costs to Antiicpated Funding Schedules</t>
  </si>
  <si>
    <t>Grand Total Insolvency Costs</t>
  </si>
  <si>
    <t xml:space="preserve">   Per "Summary - Grand Total"</t>
  </si>
  <si>
    <t>Less Insolvency Costs NOT included in "Anticipated Funding Schedules":</t>
  </si>
  <si>
    <t xml:space="preserve">  Estate Closed</t>
  </si>
  <si>
    <t xml:space="preserve">  Released from Oversight</t>
  </si>
  <si>
    <t xml:space="preserve">  Closed</t>
  </si>
  <si>
    <t xml:space="preserve">  Open (excluding ELIC)</t>
  </si>
  <si>
    <t xml:space="preserve">  Pre-Liquidation</t>
  </si>
  <si>
    <t>Less Other Adjustments Included in GA Cost Total, NOT included in "Anticipated Funding Schedules":</t>
  </si>
  <si>
    <t xml:space="preserve">  Executive Life Insurance Company</t>
  </si>
  <si>
    <t>NOLHGA expenses</t>
  </si>
  <si>
    <t>GA expenses</t>
  </si>
  <si>
    <t>GA claims</t>
  </si>
  <si>
    <t>Add Other Adjustments Included in GA Cost Total, NOT included in "Anticipated Funding Schedules":</t>
  </si>
  <si>
    <t>Other recoveries</t>
  </si>
  <si>
    <t>Adjusted Total</t>
  </si>
  <si>
    <t>Total Per "Anticipated Funding Schedules"</t>
  </si>
  <si>
    <t>Variance</t>
  </si>
  <si>
    <t>summary</t>
  </si>
  <si>
    <t>adjustments</t>
  </si>
  <si>
    <t>antic fnding file</t>
  </si>
  <si>
    <t>gross</t>
  </si>
  <si>
    <t>Revised Assessable Premium Licensed Only (88-93 Includes Resurvey Changes)</t>
  </si>
  <si>
    <t>1988 - 2020 Data</t>
  </si>
  <si>
    <t>Assessable</t>
  </si>
  <si>
    <t>Premium</t>
  </si>
  <si>
    <t>Abbreviation</t>
  </si>
  <si>
    <t>Year</t>
  </si>
  <si>
    <t>403(b)</t>
  </si>
  <si>
    <t>Notes</t>
  </si>
  <si>
    <t>adopted LTC allocaiton</t>
  </si>
  <si>
    <t>AK</t>
  </si>
  <si>
    <t>UA 403b (A,L5.2+6.3)</t>
  </si>
  <si>
    <r>
      <t xml:space="preserve">UA 403b (A,L5.2+6.3), </t>
    </r>
    <r>
      <rPr>
        <sz val="10"/>
        <color rgb="FFFF0000"/>
        <rFont val="Geneva"/>
      </rPr>
      <t>A&amp;H includes HMO beg 2018</t>
    </r>
  </si>
  <si>
    <t>yes-50/50 split</t>
  </si>
  <si>
    <t>UA 403b (A,L5.2+6.3), A&amp;H includes HMO</t>
  </si>
  <si>
    <t>A&amp;H includes HMO beg 2018</t>
  </si>
  <si>
    <t>A&amp;H includes HMO</t>
  </si>
  <si>
    <t>UA 403b (A,L5.2+6.3), A&amp;H includes HMO beg 2019</t>
  </si>
  <si>
    <r>
      <t>UA 403b (A,L5.2+6.3),</t>
    </r>
    <r>
      <rPr>
        <sz val="10"/>
        <color rgb="FFFF0000"/>
        <rFont val="Calibri"/>
        <family val="2"/>
      </rPr>
      <t xml:space="preserve"> A&amp;H includes HMO beg 2018</t>
    </r>
  </si>
  <si>
    <t>Dist. Of Columbia</t>
  </si>
  <si>
    <t>DC</t>
  </si>
  <si>
    <t>restated to excluded HMO as FL has a separate HMO association</t>
  </si>
  <si>
    <t>Beginning in 2019, FLHIGA no longer participates in the assessable premium data collection process through NOLHGA but rather will be using premium data collected from another source.  The above amounts beg. 2019 are compiled from the NOLHGA data collection process with limited testing and MAY DIFFER SUBSTANTIALLY from amounts used by FLHIGA for assessment purposes.  Companies should contact FLHIGA to obtain state-wide premium amounts as collected by the association.</t>
  </si>
  <si>
    <t>A&amp;H includes HMO beg 2020</t>
  </si>
  <si>
    <r>
      <t xml:space="preserve">UA 403b (A,L5.2+6.3), </t>
    </r>
    <r>
      <rPr>
        <sz val="10"/>
        <color rgb="FFFF0000"/>
        <rFont val="Geneva"/>
      </rPr>
      <t>A&amp;H includes HMO</t>
    </r>
  </si>
  <si>
    <t>A&amp;H includes HMO beg 2019</t>
  </si>
  <si>
    <t>A, L2, C2</t>
  </si>
  <si>
    <r>
      <t xml:space="preserve">A, L2, C2, </t>
    </r>
    <r>
      <rPr>
        <sz val="10"/>
        <color rgb="FFFF0000"/>
        <rFont val="Calibri"/>
        <family val="2"/>
      </rPr>
      <t>A&amp;H includes HMO beg 2018</t>
    </r>
  </si>
  <si>
    <r>
      <t xml:space="preserve">A, L2, C2, </t>
    </r>
    <r>
      <rPr>
        <sz val="10"/>
        <color rgb="FFFF0000"/>
        <rFont val="Calibri"/>
        <family val="2"/>
      </rPr>
      <t>A&amp;H includes HMO</t>
    </r>
  </si>
  <si>
    <t>ME</t>
  </si>
  <si>
    <t>MD</t>
  </si>
  <si>
    <t>MN</t>
  </si>
  <si>
    <t>UA 403b (A,L5.2+6.3), A&amp;H includes HMO beg 2020</t>
  </si>
  <si>
    <t>MT</t>
  </si>
  <si>
    <t>NE</t>
  </si>
  <si>
    <t>NV</t>
  </si>
  <si>
    <t>NH</t>
  </si>
  <si>
    <t>NM</t>
  </si>
  <si>
    <t>Beginning in 2019, NCLHIGA no longer participates in the assessable premium data collection process through NOLHGA but rather will be using premium data collected from another source.  The above amounts beg. 2019 are compiled from the NOLHGA data collection process with limited testing and MAY DIFFER SUBSTANTIALLY from amounts used by FLHIGA for assessment purposes.  Companies should contact NCLHIGA to obtain state-wide premium amounts as collected by the association.</t>
  </si>
  <si>
    <t>ND</t>
  </si>
  <si>
    <t>OR</t>
  </si>
  <si>
    <t>Please note beginning in 2013 Puerto Rico is no longer a member of NOLHGA.  The datga below is compiled by NOLHGA as part of the annual premium collection process however no testing is completed and is based on the 1988 PR act. Therefore amounts used by PR in any assessment will likely differ.  Companies should contact PR to obtain premium amounts used in the assessment process.</t>
  </si>
  <si>
    <t>PR</t>
  </si>
  <si>
    <t>RI</t>
  </si>
  <si>
    <t>Adopted LTC allocation, however HMO's are still nonmembers</t>
  </si>
  <si>
    <t>Change in account structure - no longer capturing 403(b) separately</t>
  </si>
  <si>
    <r>
      <t>yes-</t>
    </r>
    <r>
      <rPr>
        <sz val="10"/>
        <color rgb="FFFF0000"/>
        <rFont val="Geneva"/>
      </rPr>
      <t>75/25</t>
    </r>
    <r>
      <rPr>
        <sz val="11"/>
        <rFont val="Calibri"/>
        <family val="2"/>
      </rPr>
      <t xml:space="preserve"> split</t>
    </r>
  </si>
  <si>
    <t>VT</t>
  </si>
  <si>
    <t>WA</t>
  </si>
  <si>
    <t>restated to excluded HMO as WI has a separate HMO account</t>
  </si>
  <si>
    <t>All States</t>
  </si>
  <si>
    <t xml:space="preserv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</si>
</sst>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_(* #,##0_);_(* \(#,##0\)"/>
    <numFmt numFmtId="165" formatCode="0_);\(0\)"/>
    <numFmt numFmtId="166" formatCode="_(* #,##0_);_(* \(#,##0\);_(* &quot;-&quot;??_);_(@_)"/>
  </numFmts>
  <fonts count="24">
    <font>
      <sz val="11"/>
      <name val="Calibri"/>
    </font>
    <font>
      <b/>
      <sz val="11"/>
      <name val="Calibri"/>
      <family val="2"/>
    </font>
    <font>
      <b/>
      <i/>
      <sz val="11"/>
      <name val="Calibri"/>
      <family val="2"/>
    </font>
    <font>
      <b/>
      <sz val="11"/>
      <color rgb="FF000000"/>
      <name val="Calibri"/>
      <family val="2"/>
    </font>
    <font>
      <b/>
      <sz val="11"/>
      <color rgb="FFFF0000"/>
      <name val="Calibri"/>
      <family val="2"/>
    </font>
    <font>
      <sz val="11"/>
      <name val="Calibri"/>
      <family val="2"/>
    </font>
    <font>
      <b/>
      <sz val="10"/>
      <name val="Geneva"/>
      <family val="2"/>
    </font>
    <font>
      <sz val="10"/>
      <color indexed="9"/>
      <name val="Geneva"/>
      <family val="2"/>
    </font>
    <font>
      <u/>
      <sz val="10"/>
      <name val="Geneva"/>
      <family val="2"/>
    </font>
    <font>
      <sz val="10"/>
      <name val="Geneva"/>
      <family val="2"/>
    </font>
    <font>
      <b/>
      <i/>
      <sz val="10"/>
      <name val="Geneva"/>
      <family val="2"/>
    </font>
    <font>
      <b/>
      <i/>
      <sz val="10"/>
      <name val="Geneva"/>
    </font>
    <font>
      <b/>
      <sz val="10"/>
      <name val="Geneva"/>
    </font>
    <font>
      <sz val="10"/>
      <name val="Geneva"/>
    </font>
    <font>
      <sz val="10"/>
      <name val="Arial"/>
      <family val="2"/>
    </font>
    <font>
      <sz val="10"/>
      <color rgb="FFFF0000"/>
      <name val="Geneva"/>
    </font>
    <font>
      <sz val="10"/>
      <color rgb="FFFF0000"/>
      <name val="Calibri"/>
      <family val="2"/>
    </font>
    <font>
      <sz val="10"/>
      <color rgb="FFFF0000"/>
      <name val="Calibri"/>
      <family val="2"/>
      <scheme val="minor"/>
    </font>
    <font>
      <b/>
      <sz val="10"/>
      <color rgb="FFFF0000"/>
      <name val="Times New Roman"/>
      <family val="1"/>
    </font>
    <font>
      <sz val="10"/>
      <color indexed="12"/>
      <name val="Geneva"/>
    </font>
    <font>
      <sz val="10"/>
      <name val="Calibri"/>
      <family val="2"/>
      <scheme val="minor"/>
    </font>
    <font>
      <b/>
      <sz val="9"/>
      <color indexed="81"/>
      <name val="Tahoma"/>
      <family val="2"/>
    </font>
    <font>
      <sz val="9"/>
      <color indexed="81"/>
      <name val="Tahoma"/>
      <family val="2"/>
    </font>
    <font>
      <sz val="11"/>
      <color rgb="FFFF0000"/>
      <name val="Calibri"/>
      <family val="2"/>
    </font>
  </fonts>
  <fills count="4">
    <fill>
      <patternFill patternType="none"/>
    </fill>
    <fill>
      <patternFill patternType="gray125"/>
    </fill>
    <fill>
      <patternFill patternType="solid">
        <fgColor indexed="8"/>
        <bgColor indexed="64"/>
      </patternFill>
    </fill>
    <fill>
      <patternFill patternType="solid">
        <fgColor rgb="FFFFFF00"/>
        <bgColor indexed="64"/>
      </patternFill>
    </fill>
  </fills>
  <borders count="30">
    <border>
      <left/>
      <right/>
      <top/>
      <bottom/>
      <diagonal/>
    </border>
    <border>
      <left/>
      <right/>
      <top style="medium">
        <color auto="1"/>
      </top>
      <bottom/>
      <diagonal/>
    </border>
    <border>
      <left/>
      <right/>
      <top/>
      <bottom style="medium">
        <color auto="1"/>
      </bottom>
      <diagonal/>
    </border>
    <border>
      <left style="medium">
        <color auto="1"/>
      </left>
      <right/>
      <top style="medium">
        <color auto="1"/>
      </top>
      <bottom/>
      <diagonal/>
    </border>
    <border>
      <left style="medium">
        <color auto="1"/>
      </left>
      <right/>
      <top/>
      <bottom/>
      <diagonal/>
    </border>
    <border>
      <left style="medium">
        <color auto="1"/>
      </left>
      <right/>
      <top/>
      <bottom style="medium">
        <color auto="1"/>
      </bottom>
      <diagonal/>
    </border>
    <border>
      <left/>
      <right style="medium">
        <color auto="1"/>
      </right>
      <top style="medium">
        <color auto="1"/>
      </top>
      <bottom/>
      <diagonal/>
    </border>
    <border>
      <left/>
      <right style="medium">
        <color auto="1"/>
      </right>
      <top/>
      <bottom/>
      <diagonal/>
    </border>
    <border>
      <left/>
      <right style="medium">
        <color auto="1"/>
      </right>
      <top/>
      <bottom style="medium">
        <color auto="1"/>
      </bottom>
      <diagonal/>
    </border>
    <border>
      <left/>
      <right/>
      <top/>
      <bottom style="thin">
        <color auto="1"/>
      </bottom>
      <diagonal/>
    </border>
    <border>
      <left style="thin">
        <color auto="1"/>
      </left>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medium">
        <color auto="1"/>
      </left>
      <right/>
      <top/>
      <bottom style="thin">
        <color auto="1"/>
      </bottom>
      <diagonal/>
    </border>
    <border>
      <left/>
      <right style="medium">
        <color auto="1"/>
      </right>
      <top/>
      <bottom style="thin">
        <color auto="1"/>
      </bottom>
      <diagonal/>
    </border>
    <border>
      <left/>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right/>
      <top style="thin">
        <color indexed="64"/>
      </top>
      <bottom/>
      <diagonal/>
    </border>
  </borders>
  <cellStyleXfs count="2">
    <xf numFmtId="0" fontId="0" fillId="0" borderId="0"/>
    <xf numFmtId="43" fontId="5" fillId="0" borderId="0" applyFont="0" applyFill="0" applyBorder="0" applyAlignment="0" applyProtection="0"/>
  </cellStyleXfs>
  <cellXfs count="152">
    <xf numFmtId="0" fontId="0" fillId="0" borderId="0" xfId="0" applyNumberFormat="1" applyFont="1"/>
    <xf numFmtId="164" fontId="0" fillId="0" borderId="0" xfId="0" applyNumberFormat="1" applyFont="1" applyAlignment="1">
      <alignment wrapText="1"/>
    </xf>
    <xf numFmtId="164" fontId="0" fillId="0" borderId="0" xfId="0" applyNumberFormat="1" applyFont="1" applyAlignment="1">
      <alignment horizontal="center" wrapText="1"/>
    </xf>
    <xf numFmtId="164" fontId="1" fillId="0" borderId="0" xfId="0" applyNumberFormat="1" applyFont="1" applyAlignment="1">
      <alignment horizontal="center" wrapText="1"/>
    </xf>
    <xf numFmtId="164" fontId="1" fillId="0" borderId="0" xfId="0" applyNumberFormat="1" applyFont="1" applyAlignment="1">
      <alignment wrapText="1"/>
    </xf>
    <xf numFmtId="164" fontId="1" fillId="0" borderId="0" xfId="0" applyNumberFormat="1" applyFont="1" applyAlignment="1">
      <alignment horizontal="center" vertical="center" wrapText="1"/>
    </xf>
    <xf numFmtId="164" fontId="0" fillId="0" borderId="1" xfId="0" applyNumberFormat="1" applyFont="1" applyBorder="1" applyAlignment="1">
      <alignment horizontal="center" wrapText="1"/>
    </xf>
    <xf numFmtId="164" fontId="0" fillId="0" borderId="2" xfId="0" applyNumberFormat="1" applyFont="1" applyBorder="1" applyAlignment="1">
      <alignment wrapText="1"/>
    </xf>
    <xf numFmtId="164" fontId="0" fillId="0" borderId="4" xfId="0" applyNumberFormat="1" applyFont="1" applyBorder="1" applyAlignment="1">
      <alignment wrapText="1"/>
    </xf>
    <xf numFmtId="164" fontId="1" fillId="0" borderId="4" xfId="0" applyNumberFormat="1" applyFont="1" applyBorder="1" applyAlignment="1">
      <alignment horizontal="center" vertical="center" wrapText="1"/>
    </xf>
    <xf numFmtId="164" fontId="0" fillId="0" borderId="5" xfId="0" applyNumberFormat="1" applyFont="1" applyBorder="1" applyAlignment="1">
      <alignment wrapText="1"/>
    </xf>
    <xf numFmtId="164" fontId="0" fillId="0" borderId="7" xfId="0" applyNumberFormat="1" applyFont="1" applyBorder="1" applyAlignment="1">
      <alignment wrapText="1"/>
    </xf>
    <xf numFmtId="164" fontId="1" fillId="0" borderId="7" xfId="0" applyNumberFormat="1" applyFont="1" applyBorder="1" applyAlignment="1">
      <alignment horizontal="center" vertical="center" wrapText="1"/>
    </xf>
    <xf numFmtId="164" fontId="0" fillId="0" borderId="8" xfId="0" applyNumberFormat="1" applyFont="1" applyBorder="1" applyAlignment="1">
      <alignment wrapText="1"/>
    </xf>
    <xf numFmtId="164" fontId="0" fillId="0" borderId="0" xfId="0" applyNumberFormat="1" applyFont="1" applyAlignment="1">
      <alignment horizontal="center" vertical="center" wrapText="1"/>
    </xf>
    <xf numFmtId="164" fontId="0" fillId="0" borderId="4" xfId="0" applyNumberFormat="1" applyFont="1" applyBorder="1" applyAlignment="1">
      <alignment horizontal="center" vertical="center" wrapText="1"/>
    </xf>
    <xf numFmtId="164" fontId="0" fillId="0" borderId="7" xfId="0" applyNumberFormat="1" applyFont="1" applyBorder="1" applyAlignment="1">
      <alignment horizontal="center" vertical="center" wrapText="1"/>
    </xf>
    <xf numFmtId="164" fontId="0" fillId="0" borderId="2" xfId="0" applyNumberFormat="1" applyFont="1" applyBorder="1" applyAlignment="1">
      <alignment horizontal="center" wrapText="1"/>
    </xf>
    <xf numFmtId="164" fontId="0" fillId="0" borderId="4" xfId="0" applyNumberFormat="1" applyFont="1" applyBorder="1" applyAlignment="1">
      <alignment horizontal="center" wrapText="1"/>
    </xf>
    <xf numFmtId="164" fontId="0" fillId="0" borderId="5" xfId="0" applyNumberFormat="1" applyFont="1" applyBorder="1" applyAlignment="1">
      <alignment horizontal="center" wrapText="1"/>
    </xf>
    <xf numFmtId="164" fontId="0" fillId="0" borderId="7" xfId="0" applyNumberFormat="1" applyFont="1" applyBorder="1" applyAlignment="1">
      <alignment horizontal="center" wrapText="1"/>
    </xf>
    <xf numFmtId="164" fontId="0" fillId="0" borderId="8" xfId="0" applyNumberFormat="1" applyFont="1" applyBorder="1" applyAlignment="1">
      <alignment horizontal="center" wrapText="1"/>
    </xf>
    <xf numFmtId="164" fontId="0" fillId="0" borderId="1" xfId="0" applyNumberFormat="1" applyFont="1" applyBorder="1" applyAlignment="1">
      <alignment wrapText="1"/>
    </xf>
    <xf numFmtId="164" fontId="2" fillId="0" borderId="3" xfId="0" applyNumberFormat="1" applyFont="1" applyBorder="1" applyAlignment="1">
      <alignment wrapText="1"/>
    </xf>
    <xf numFmtId="164" fontId="0" fillId="0" borderId="6" xfId="0" applyNumberFormat="1" applyFont="1" applyBorder="1" applyAlignment="1">
      <alignment wrapText="1"/>
    </xf>
    <xf numFmtId="164" fontId="0" fillId="0" borderId="3" xfId="0" applyNumberFormat="1" applyFont="1" applyBorder="1" applyAlignment="1">
      <alignment wrapText="1"/>
    </xf>
    <xf numFmtId="164" fontId="0" fillId="0" borderId="18" xfId="0" applyNumberFormat="1" applyFont="1" applyBorder="1" applyAlignment="1">
      <alignment wrapText="1"/>
    </xf>
    <xf numFmtId="164" fontId="2" fillId="0" borderId="19" xfId="0" applyNumberFormat="1" applyFont="1" applyBorder="1" applyAlignment="1">
      <alignment wrapText="1"/>
    </xf>
    <xf numFmtId="164" fontId="0" fillId="0" borderId="18" xfId="0" applyNumberFormat="1" applyFont="1" applyBorder="1" applyAlignment="1">
      <alignment horizontal="center" wrapText="1"/>
    </xf>
    <xf numFmtId="38" fontId="0" fillId="0" borderId="4" xfId="0" applyNumberFormat="1" applyFont="1" applyBorder="1" applyAlignment="1">
      <alignment wrapText="1"/>
    </xf>
    <xf numFmtId="38" fontId="0" fillId="0" borderId="0" xfId="0" applyNumberFormat="1" applyFont="1" applyAlignment="1">
      <alignment wrapText="1"/>
    </xf>
    <xf numFmtId="38" fontId="0" fillId="0" borderId="7" xfId="0" applyNumberFormat="1" applyFont="1" applyBorder="1" applyAlignment="1">
      <alignment wrapText="1"/>
    </xf>
    <xf numFmtId="38" fontId="0" fillId="0" borderId="10" xfId="0" applyNumberFormat="1" applyFont="1" applyBorder="1" applyAlignment="1">
      <alignment wrapText="1"/>
    </xf>
    <xf numFmtId="38" fontId="0" fillId="0" borderId="13" xfId="0" applyNumberFormat="1" applyFont="1" applyBorder="1" applyAlignment="1">
      <alignment wrapText="1"/>
    </xf>
    <xf numFmtId="38" fontId="0" fillId="0" borderId="11" xfId="0" applyNumberFormat="1" applyFont="1" applyBorder="1" applyAlignment="1">
      <alignment wrapText="1"/>
    </xf>
    <xf numFmtId="38" fontId="0" fillId="0" borderId="14" xfId="0" applyNumberFormat="1" applyFont="1" applyBorder="1" applyAlignment="1">
      <alignment wrapText="1"/>
    </xf>
    <xf numFmtId="38" fontId="0" fillId="0" borderId="12" xfId="0" applyNumberFormat="1" applyFont="1" applyBorder="1" applyAlignment="1">
      <alignment wrapText="1"/>
    </xf>
    <xf numFmtId="38" fontId="0" fillId="0" borderId="15" xfId="0" applyNumberFormat="1" applyFont="1" applyBorder="1" applyAlignment="1">
      <alignment wrapText="1"/>
    </xf>
    <xf numFmtId="38" fontId="0" fillId="0" borderId="2" xfId="0" applyNumberFormat="1" applyFont="1" applyBorder="1" applyAlignment="1">
      <alignment wrapText="1"/>
    </xf>
    <xf numFmtId="38" fontId="0" fillId="0" borderId="8" xfId="0" applyNumberFormat="1" applyFont="1" applyBorder="1" applyAlignment="1">
      <alignment wrapText="1"/>
    </xf>
    <xf numFmtId="38" fontId="0" fillId="0" borderId="5" xfId="0" applyNumberFormat="1" applyFont="1" applyBorder="1" applyAlignment="1">
      <alignment wrapText="1"/>
    </xf>
    <xf numFmtId="38" fontId="0" fillId="0" borderId="18" xfId="0" applyNumberFormat="1" applyFont="1" applyBorder="1" applyAlignment="1">
      <alignment wrapText="1"/>
    </xf>
    <xf numFmtId="38" fontId="0" fillId="0" borderId="20" xfId="0" applyNumberFormat="1" applyFont="1" applyBorder="1" applyAlignment="1">
      <alignment wrapText="1"/>
    </xf>
    <xf numFmtId="38" fontId="0" fillId="0" borderId="19" xfId="0" applyNumberFormat="1" applyFont="1" applyBorder="1" applyAlignment="1">
      <alignment wrapText="1"/>
    </xf>
    <xf numFmtId="38" fontId="0" fillId="0" borderId="1" xfId="0" applyNumberFormat="1" applyFont="1" applyBorder="1" applyAlignment="1">
      <alignment wrapText="1"/>
    </xf>
    <xf numFmtId="38" fontId="0" fillId="0" borderId="6" xfId="0" applyNumberFormat="1" applyFont="1" applyBorder="1" applyAlignment="1">
      <alignment wrapText="1"/>
    </xf>
    <xf numFmtId="38" fontId="0" fillId="0" borderId="3" xfId="0" applyNumberFormat="1" applyFont="1" applyBorder="1" applyAlignment="1">
      <alignment wrapText="1"/>
    </xf>
    <xf numFmtId="164" fontId="0" fillId="0" borderId="4" xfId="0" applyNumberFormat="1" applyFont="1" applyBorder="1" applyAlignment="1">
      <alignment vertical="center" wrapText="1"/>
    </xf>
    <xf numFmtId="38" fontId="0" fillId="0" borderId="0" xfId="0" applyNumberFormat="1" applyFont="1" applyAlignment="1">
      <alignment vertical="center" wrapText="1"/>
    </xf>
    <xf numFmtId="38" fontId="0" fillId="0" borderId="7" xfId="0" applyNumberFormat="1" applyFont="1" applyBorder="1" applyAlignment="1">
      <alignment vertical="center" wrapText="1"/>
    </xf>
    <xf numFmtId="38" fontId="0" fillId="0" borderId="4" xfId="0" applyNumberFormat="1" applyFont="1" applyBorder="1" applyAlignment="1">
      <alignment vertical="center" wrapText="1"/>
    </xf>
    <xf numFmtId="0" fontId="6" fillId="0" borderId="0" xfId="0" applyFont="1"/>
    <xf numFmtId="0" fontId="0" fillId="0" borderId="0" xfId="0"/>
    <xf numFmtId="0" fontId="7" fillId="2" borderId="0" xfId="0" applyFont="1" applyFill="1" applyAlignment="1">
      <alignment horizontal="centerContinuous"/>
    </xf>
    <xf numFmtId="0" fontId="6" fillId="0" borderId="3" xfId="0" applyFont="1" applyBorder="1"/>
    <xf numFmtId="0" fontId="0" fillId="0" borderId="1" xfId="0" applyBorder="1"/>
    <xf numFmtId="0" fontId="0" fillId="0" borderId="6" xfId="0" applyBorder="1"/>
    <xf numFmtId="0" fontId="0" fillId="0" borderId="3" xfId="0" applyBorder="1"/>
    <xf numFmtId="0" fontId="6" fillId="0" borderId="0" xfId="0" applyFont="1" applyAlignment="1">
      <alignment horizontal="center"/>
    </xf>
    <xf numFmtId="0" fontId="6" fillId="0" borderId="22" xfId="0" applyFont="1" applyBorder="1" applyAlignment="1">
      <alignment horizontal="center" vertical="center" wrapText="1"/>
    </xf>
    <xf numFmtId="0" fontId="6" fillId="0" borderId="7" xfId="0" applyFont="1" applyBorder="1" applyAlignment="1">
      <alignment horizontal="center"/>
    </xf>
    <xf numFmtId="0" fontId="8" fillId="0" borderId="0" xfId="0" applyFont="1" applyAlignment="1">
      <alignment horizontal="center"/>
    </xf>
    <xf numFmtId="0" fontId="6" fillId="0" borderId="23" xfId="0" applyFont="1" applyBorder="1" applyAlignment="1">
      <alignment horizontal="center"/>
    </xf>
    <xf numFmtId="0" fontId="8" fillId="0" borderId="0" xfId="0" applyFont="1"/>
    <xf numFmtId="17" fontId="6" fillId="0" borderId="11" xfId="0" applyNumberFormat="1" applyFont="1" applyBorder="1" applyAlignment="1">
      <alignment horizontal="center"/>
    </xf>
    <xf numFmtId="17" fontId="6" fillId="0" borderId="11" xfId="0" quotePrefix="1" applyNumberFormat="1" applyFont="1" applyBorder="1" applyAlignment="1">
      <alignment horizontal="center"/>
    </xf>
    <xf numFmtId="0" fontId="0" fillId="0" borderId="0" xfId="0" applyAlignment="1">
      <alignment horizontal="center"/>
    </xf>
    <xf numFmtId="0" fontId="0" fillId="0" borderId="4" xfId="0" applyBorder="1"/>
    <xf numFmtId="0" fontId="0" fillId="0" borderId="7" xfId="0" applyBorder="1"/>
    <xf numFmtId="0" fontId="0" fillId="0" borderId="11" xfId="0" applyBorder="1"/>
    <xf numFmtId="0" fontId="0" fillId="0" borderId="23" xfId="0" applyBorder="1"/>
    <xf numFmtId="37" fontId="0" fillId="0" borderId="0" xfId="0" applyNumberFormat="1"/>
    <xf numFmtId="37" fontId="9" fillId="0" borderId="21" xfId="0" applyNumberFormat="1" applyFont="1" applyBorder="1"/>
    <xf numFmtId="37" fontId="9" fillId="0" borderId="22" xfId="0" applyNumberFormat="1" applyFont="1" applyBorder="1"/>
    <xf numFmtId="37" fontId="9" fillId="0" borderId="7" xfId="0" applyNumberFormat="1" applyFont="1" applyBorder="1"/>
    <xf numFmtId="37" fontId="9" fillId="0" borderId="0" xfId="0" applyNumberFormat="1" applyFont="1"/>
    <xf numFmtId="37" fontId="9" fillId="0" borderId="4" xfId="0" applyNumberFormat="1" applyFont="1" applyBorder="1"/>
    <xf numFmtId="37" fontId="9" fillId="0" borderId="23" xfId="0" applyNumberFormat="1" applyFont="1" applyBorder="1"/>
    <xf numFmtId="37" fontId="6" fillId="0" borderId="0" xfId="0" applyNumberFormat="1" applyFont="1"/>
    <xf numFmtId="37" fontId="9" fillId="0" borderId="11" xfId="0" applyNumberFormat="1" applyFont="1" applyBorder="1"/>
    <xf numFmtId="37" fontId="9" fillId="0" borderId="5" xfId="0" applyNumberFormat="1" applyFont="1" applyBorder="1"/>
    <xf numFmtId="37" fontId="9" fillId="0" borderId="24" xfId="0" applyNumberFormat="1" applyFont="1" applyBorder="1"/>
    <xf numFmtId="37" fontId="9" fillId="0" borderId="8" xfId="0" applyNumberFormat="1" applyFont="1" applyBorder="1"/>
    <xf numFmtId="37" fontId="9" fillId="0" borderId="25" xfId="0" applyNumberFormat="1" applyFont="1" applyBorder="1"/>
    <xf numFmtId="37" fontId="9" fillId="0" borderId="26" xfId="0" applyNumberFormat="1" applyFont="1" applyBorder="1"/>
    <xf numFmtId="37" fontId="9" fillId="0" borderId="27" xfId="0" applyNumberFormat="1" applyFont="1" applyBorder="1"/>
    <xf numFmtId="37" fontId="9" fillId="0" borderId="28" xfId="0" applyNumberFormat="1" applyFont="1" applyBorder="1"/>
    <xf numFmtId="38" fontId="0" fillId="0" borderId="0" xfId="0" applyNumberFormat="1"/>
    <xf numFmtId="37" fontId="0" fillId="0" borderId="0" xfId="0" applyNumberFormat="1" applyAlignment="1">
      <alignment horizontal="center"/>
    </xf>
    <xf numFmtId="38" fontId="9" fillId="0" borderId="0" xfId="0" applyNumberFormat="1" applyFont="1" applyAlignment="1">
      <alignment horizontal="center"/>
    </xf>
    <xf numFmtId="38" fontId="6" fillId="0" borderId="0" xfId="0" applyNumberFormat="1" applyFont="1"/>
    <xf numFmtId="38" fontId="6" fillId="0" borderId="0" xfId="0" applyNumberFormat="1" applyFont="1" applyAlignment="1">
      <alignment horizontal="right"/>
    </xf>
    <xf numFmtId="38" fontId="0" fillId="0" borderId="0" xfId="0" applyNumberFormat="1" applyAlignment="1">
      <alignment horizontal="right"/>
    </xf>
    <xf numFmtId="37" fontId="0" fillId="0" borderId="0" xfId="0" applyNumberFormat="1" applyAlignment="1">
      <alignment horizontal="right"/>
    </xf>
    <xf numFmtId="38" fontId="6" fillId="0" borderId="0" xfId="0" applyNumberFormat="1" applyFont="1" applyAlignment="1">
      <alignment horizontal="center"/>
    </xf>
    <xf numFmtId="38" fontId="0" fillId="0" borderId="0" xfId="0" applyNumberFormat="1" applyAlignment="1">
      <alignment horizontal="center"/>
    </xf>
    <xf numFmtId="38" fontId="12" fillId="0" borderId="0" xfId="0" applyNumberFormat="1" applyFont="1" applyAlignment="1">
      <alignment horizontal="center"/>
    </xf>
    <xf numFmtId="165" fontId="0" fillId="0" borderId="0" xfId="0" applyNumberFormat="1" applyAlignment="1">
      <alignment horizontal="center"/>
    </xf>
    <xf numFmtId="37" fontId="12" fillId="0" borderId="0" xfId="0" applyNumberFormat="1" applyFont="1" applyAlignment="1">
      <alignment horizontal="center"/>
    </xf>
    <xf numFmtId="0" fontId="0" fillId="0" borderId="0" xfId="0" applyAlignment="1">
      <alignment horizontal="center" vertical="center" wrapText="1"/>
    </xf>
    <xf numFmtId="38" fontId="12" fillId="0" borderId="0" xfId="0" applyNumberFormat="1" applyFont="1"/>
    <xf numFmtId="37" fontId="13" fillId="0" borderId="0" xfId="0" applyNumberFormat="1" applyFont="1"/>
    <xf numFmtId="165" fontId="13" fillId="0" borderId="0" xfId="0" applyNumberFormat="1" applyFont="1" applyAlignment="1">
      <alignment horizontal="center"/>
    </xf>
    <xf numFmtId="38" fontId="0" fillId="0" borderId="0" xfId="1" applyNumberFormat="1" applyFont="1" applyFill="1"/>
    <xf numFmtId="38" fontId="0" fillId="0" borderId="0" xfId="1" applyNumberFormat="1" applyFont="1" applyFill="1" applyAlignment="1">
      <alignment horizontal="right"/>
    </xf>
    <xf numFmtId="38" fontId="12" fillId="0" borderId="0" xfId="1" applyNumberFormat="1" applyFont="1" applyFill="1"/>
    <xf numFmtId="38" fontId="14" fillId="0" borderId="0" xfId="1" applyNumberFormat="1" applyFont="1" applyFill="1"/>
    <xf numFmtId="37" fontId="13" fillId="0" borderId="0" xfId="0" applyNumberFormat="1" applyFont="1" applyAlignment="1">
      <alignment horizontal="center"/>
    </xf>
    <xf numFmtId="166" fontId="0" fillId="0" borderId="0" xfId="0" applyNumberFormat="1"/>
    <xf numFmtId="38" fontId="15" fillId="0" borderId="0" xfId="0" applyNumberFormat="1" applyFont="1"/>
    <xf numFmtId="38" fontId="14" fillId="0" borderId="0" xfId="1" applyNumberFormat="1" applyFont="1" applyFill="1" applyBorder="1"/>
    <xf numFmtId="0" fontId="15" fillId="0" borderId="0" xfId="0" applyFont="1"/>
    <xf numFmtId="38" fontId="0" fillId="0" borderId="0" xfId="1" applyNumberFormat="1" applyFont="1" applyFill="1" applyAlignment="1">
      <alignment horizontal="center"/>
    </xf>
    <xf numFmtId="38" fontId="17" fillId="0" borderId="0" xfId="0" applyNumberFormat="1" applyFont="1"/>
    <xf numFmtId="0" fontId="19" fillId="0" borderId="0" xfId="0" applyFont="1"/>
    <xf numFmtId="38" fontId="14" fillId="0" borderId="0" xfId="1" applyNumberFormat="1" applyFont="1" applyFill="1" applyAlignment="1">
      <alignment horizontal="right"/>
    </xf>
    <xf numFmtId="38" fontId="20" fillId="0" borderId="0" xfId="0" applyNumberFormat="1" applyFont="1"/>
    <xf numFmtId="0" fontId="13" fillId="0" borderId="0" xfId="0" applyFont="1"/>
    <xf numFmtId="0" fontId="13" fillId="0" borderId="0" xfId="0" applyFont="1" applyAlignment="1">
      <alignment horizontal="center"/>
    </xf>
    <xf numFmtId="0" fontId="13" fillId="0" borderId="29" xfId="0" applyFont="1" applyBorder="1" applyAlignment="1">
      <alignment horizontal="center"/>
    </xf>
    <xf numFmtId="38" fontId="0" fillId="0" borderId="29" xfId="1" applyNumberFormat="1" applyFont="1" applyFill="1" applyBorder="1"/>
    <xf numFmtId="164" fontId="23" fillId="0" borderId="4" xfId="0" applyNumberFormat="1" applyFont="1" applyBorder="1" applyAlignment="1">
      <alignment wrapText="1"/>
    </xf>
    <xf numFmtId="164" fontId="1" fillId="0" borderId="4" xfId="0" applyNumberFormat="1" applyFont="1" applyBorder="1" applyAlignment="1">
      <alignment horizontal="center" wrapText="1"/>
    </xf>
    <xf numFmtId="164" fontId="0" fillId="0" borderId="0" xfId="0" applyNumberFormat="1" applyFont="1" applyAlignment="1">
      <alignment wrapText="1"/>
    </xf>
    <xf numFmtId="164" fontId="0" fillId="0" borderId="7" xfId="0" applyNumberFormat="1" applyFont="1" applyBorder="1" applyAlignment="1">
      <alignment wrapText="1"/>
    </xf>
    <xf numFmtId="164" fontId="0" fillId="0" borderId="4" xfId="0" applyNumberFormat="1" applyFont="1" applyBorder="1" applyAlignment="1">
      <alignment wrapText="1"/>
    </xf>
    <xf numFmtId="164" fontId="0" fillId="0" borderId="5" xfId="0" applyNumberFormat="1" applyFont="1" applyBorder="1" applyAlignment="1">
      <alignment wrapText="1"/>
    </xf>
    <xf numFmtId="164" fontId="0" fillId="0" borderId="2" xfId="0" applyNumberFormat="1" applyFont="1" applyBorder="1" applyAlignment="1">
      <alignment wrapText="1"/>
    </xf>
    <xf numFmtId="164" fontId="0" fillId="0" borderId="8" xfId="0" applyNumberFormat="1" applyFont="1" applyBorder="1" applyAlignment="1">
      <alignment wrapText="1"/>
    </xf>
    <xf numFmtId="164" fontId="1" fillId="0" borderId="0" xfId="0" applyNumberFormat="1" applyFont="1" applyAlignment="1">
      <alignment horizontal="center" wrapText="1"/>
    </xf>
    <xf numFmtId="164" fontId="0" fillId="0" borderId="3" xfId="0" applyNumberFormat="1" applyFont="1" applyBorder="1" applyAlignment="1">
      <alignment horizontal="center" wrapText="1"/>
    </xf>
    <xf numFmtId="164" fontId="0" fillId="0" borderId="1" xfId="0" applyNumberFormat="1" applyFont="1" applyBorder="1" applyAlignment="1">
      <alignment horizontal="center" wrapText="1"/>
    </xf>
    <xf numFmtId="164" fontId="0" fillId="0" borderId="6" xfId="0" applyNumberFormat="1" applyFont="1" applyBorder="1" applyAlignment="1">
      <alignment horizontal="center" wrapText="1"/>
    </xf>
    <xf numFmtId="164" fontId="1" fillId="0" borderId="3" xfId="0" applyNumberFormat="1" applyFont="1" applyBorder="1" applyAlignment="1">
      <alignment horizontal="center" wrapText="1"/>
    </xf>
    <xf numFmtId="164" fontId="1" fillId="0" borderId="1" xfId="0" applyNumberFormat="1" applyFont="1" applyBorder="1" applyAlignment="1">
      <alignment wrapText="1"/>
    </xf>
    <xf numFmtId="164" fontId="1" fillId="0" borderId="6" xfId="0" applyNumberFormat="1" applyFont="1" applyBorder="1" applyAlignment="1">
      <alignment wrapText="1"/>
    </xf>
    <xf numFmtId="164" fontId="1" fillId="0" borderId="16" xfId="0" applyNumberFormat="1" applyFont="1" applyBorder="1" applyAlignment="1">
      <alignment horizontal="center" wrapText="1"/>
    </xf>
    <xf numFmtId="164" fontId="1" fillId="0" borderId="9" xfId="0" applyNumberFormat="1" applyFont="1" applyBorder="1" applyAlignment="1">
      <alignment wrapText="1"/>
    </xf>
    <xf numFmtId="164" fontId="1" fillId="0" borderId="9" xfId="0" applyNumberFormat="1" applyFont="1" applyBorder="1" applyAlignment="1">
      <alignment horizontal="center" wrapText="1"/>
    </xf>
    <xf numFmtId="164" fontId="1" fillId="0" borderId="17" xfId="0" applyNumberFormat="1" applyFont="1" applyBorder="1" applyAlignment="1">
      <alignment wrapText="1"/>
    </xf>
    <xf numFmtId="164" fontId="0" fillId="0" borderId="16" xfId="0" applyNumberFormat="1" applyFont="1" applyBorder="1" applyAlignment="1">
      <alignment horizontal="center" wrapText="1"/>
    </xf>
    <xf numFmtId="164" fontId="0" fillId="0" borderId="9" xfId="0" applyNumberFormat="1" applyFont="1" applyBorder="1" applyAlignment="1">
      <alignment horizontal="center" wrapText="1"/>
    </xf>
    <xf numFmtId="164" fontId="0" fillId="0" borderId="17" xfId="0" applyNumberFormat="1" applyFont="1" applyBorder="1" applyAlignment="1">
      <alignment horizontal="center" wrapText="1"/>
    </xf>
    <xf numFmtId="164" fontId="0" fillId="0" borderId="0" xfId="0" applyNumberFormat="1" applyFont="1" applyAlignment="1">
      <alignment horizontal="center" vertical="center" wrapText="1"/>
    </xf>
    <xf numFmtId="164" fontId="2" fillId="0" borderId="0" xfId="0" applyNumberFormat="1" applyFont="1" applyAlignment="1">
      <alignment horizontal="center" wrapText="1"/>
    </xf>
    <xf numFmtId="0" fontId="7" fillId="2" borderId="0" xfId="0" applyFont="1" applyFill="1" applyAlignment="1">
      <alignment horizontal="center"/>
    </xf>
    <xf numFmtId="0" fontId="6" fillId="0" borderId="21" xfId="0" applyFont="1" applyBorder="1" applyAlignment="1">
      <alignment horizontal="center" vertical="center" wrapText="1"/>
    </xf>
    <xf numFmtId="0" fontId="6" fillId="0" borderId="11" xfId="0" applyFont="1" applyBorder="1" applyAlignment="1">
      <alignment horizontal="center" vertical="center" wrapText="1"/>
    </xf>
    <xf numFmtId="37" fontId="10" fillId="0" borderId="0" xfId="0" applyNumberFormat="1" applyFont="1" applyAlignment="1">
      <alignment horizontal="center"/>
    </xf>
    <xf numFmtId="37" fontId="11" fillId="0" borderId="0" xfId="0" applyNumberFormat="1" applyFont="1" applyAlignment="1">
      <alignment horizontal="center"/>
    </xf>
    <xf numFmtId="0" fontId="4" fillId="3" borderId="0" xfId="0" applyFont="1" applyFill="1" applyAlignment="1">
      <alignment horizontal="center" wrapText="1"/>
    </xf>
    <xf numFmtId="0" fontId="18" fillId="3" borderId="0" xfId="0" applyFont="1" applyFill="1" applyAlignment="1">
      <alignment horizontal="center" vertical="center" wrapText="1"/>
    </xf>
  </cellXfs>
  <cellStyles count="2">
    <cellStyle name="Comma"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0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64"/>
  <sheetViews>
    <sheetView zoomScale="75" workbookViewId="0">
      <selection activeCell="G27" sqref="G27"/>
    </sheetView>
  </sheetViews>
  <sheetFormatPr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129" t="s">
        <v>0</v>
      </c>
      <c r="B1" s="123"/>
      <c r="C1" s="123"/>
      <c r="D1" s="123"/>
      <c r="E1" s="123"/>
      <c r="F1" s="123"/>
      <c r="G1" s="123"/>
    </row>
    <row r="3" spans="1:22">
      <c r="B3" s="130" t="s">
        <v>1</v>
      </c>
      <c r="C3" s="131"/>
      <c r="D3" s="131"/>
      <c r="E3" s="131"/>
      <c r="F3" s="131"/>
      <c r="G3" s="132"/>
      <c r="L3" s="133" t="s">
        <v>2</v>
      </c>
      <c r="M3" s="134"/>
      <c r="N3" s="134"/>
      <c r="O3" s="134"/>
      <c r="P3" s="134"/>
      <c r="Q3" s="134"/>
      <c r="R3" s="134"/>
      <c r="S3" s="134"/>
      <c r="T3" s="134"/>
      <c r="U3" s="134"/>
      <c r="V3" s="135"/>
    </row>
    <row r="4" spans="1:22">
      <c r="B4" s="8"/>
      <c r="G4" s="11"/>
      <c r="L4" s="136" t="s">
        <v>3</v>
      </c>
      <c r="M4" s="137"/>
      <c r="N4" s="4"/>
      <c r="O4" s="138" t="s">
        <v>4</v>
      </c>
      <c r="P4" s="137"/>
      <c r="Q4" s="4"/>
      <c r="R4" s="138" t="s">
        <v>5</v>
      </c>
      <c r="S4" s="137"/>
      <c r="T4" s="4"/>
      <c r="U4" s="138" t="s">
        <v>6</v>
      </c>
      <c r="V4" s="139"/>
    </row>
    <row r="5" spans="1:22" ht="60" customHeight="1">
      <c r="B5" s="9" t="s">
        <v>3</v>
      </c>
      <c r="C5" s="5" t="s">
        <v>4</v>
      </c>
      <c r="D5" s="5" t="s">
        <v>5</v>
      </c>
      <c r="E5" s="5" t="s">
        <v>6</v>
      </c>
      <c r="F5" s="5" t="s">
        <v>7</v>
      </c>
      <c r="G5" s="12" t="s">
        <v>8</v>
      </c>
      <c r="L5" s="15" t="s">
        <v>9</v>
      </c>
      <c r="M5" s="14" t="s">
        <v>10</v>
      </c>
      <c r="N5" s="14"/>
      <c r="O5" s="14" t="s">
        <v>9</v>
      </c>
      <c r="P5" s="14" t="s">
        <v>10</v>
      </c>
      <c r="Q5" s="14"/>
      <c r="R5" s="14" t="s">
        <v>9</v>
      </c>
      <c r="S5" s="14" t="s">
        <v>10</v>
      </c>
      <c r="T5" s="14"/>
      <c r="U5" s="14" t="s">
        <v>9</v>
      </c>
      <c r="V5" s="16" t="s">
        <v>10</v>
      </c>
    </row>
    <row r="6" spans="1:22">
      <c r="A6" s="1" t="s">
        <v>11</v>
      </c>
      <c r="B6" s="29">
        <v>2137779.3229980012</v>
      </c>
      <c r="C6" s="30">
        <v>1170473.7981022638</v>
      </c>
      <c r="D6" s="30">
        <v>10279.638899735133</v>
      </c>
      <c r="E6" s="30">
        <v>0</v>
      </c>
      <c r="F6" s="30">
        <v>0</v>
      </c>
      <c r="G6" s="31">
        <f>SUM(AL_FINANCIAL)</f>
        <v>3318532.7600000002</v>
      </c>
      <c r="H6" s="30"/>
      <c r="I6" s="30"/>
      <c r="J6" s="30"/>
      <c r="K6" s="30"/>
      <c r="L6" s="29">
        <v>2800000</v>
      </c>
      <c r="M6" s="30">
        <v>0</v>
      </c>
      <c r="N6" s="30"/>
      <c r="O6" s="30">
        <v>568170</v>
      </c>
      <c r="P6" s="30">
        <v>0</v>
      </c>
      <c r="Q6" s="30"/>
      <c r="R6" s="30">
        <v>13000</v>
      </c>
      <c r="S6" s="30">
        <v>0</v>
      </c>
      <c r="T6" s="30"/>
      <c r="U6" s="30">
        <v>0</v>
      </c>
      <c r="V6" s="31">
        <v>0</v>
      </c>
    </row>
    <row r="7" spans="1:22">
      <c r="A7" s="1" t="s">
        <v>12</v>
      </c>
      <c r="B7" s="29">
        <v>0</v>
      </c>
      <c r="C7" s="30">
        <v>0</v>
      </c>
      <c r="D7" s="30">
        <v>0</v>
      </c>
      <c r="E7" s="30">
        <v>0</v>
      </c>
      <c r="F7" s="30">
        <v>0</v>
      </c>
      <c r="G7" s="31">
        <f>SUM(AK_FINANCIAL)</f>
        <v>0</v>
      </c>
      <c r="H7" s="30"/>
      <c r="I7" s="32"/>
      <c r="J7" s="33"/>
      <c r="K7" s="30"/>
      <c r="L7" s="29"/>
      <c r="M7" s="30"/>
      <c r="N7" s="30"/>
      <c r="O7" s="30"/>
      <c r="P7" s="30"/>
      <c r="Q7" s="30"/>
      <c r="R7" s="30"/>
      <c r="S7" s="30"/>
      <c r="T7" s="30"/>
      <c r="U7" s="30"/>
      <c r="V7" s="31"/>
    </row>
    <row r="8" spans="1:22">
      <c r="A8" s="1" t="s">
        <v>13</v>
      </c>
      <c r="B8" s="29">
        <v>0</v>
      </c>
      <c r="C8" s="30">
        <v>0</v>
      </c>
      <c r="D8" s="30">
        <v>0</v>
      </c>
      <c r="E8" s="30">
        <v>0</v>
      </c>
      <c r="F8" s="30">
        <v>0</v>
      </c>
      <c r="G8" s="31">
        <f>SUM(AZ_FINANCIAL)</f>
        <v>0</v>
      </c>
      <c r="H8" s="30"/>
      <c r="I8" s="34" t="s">
        <v>14</v>
      </c>
      <c r="J8" s="35"/>
      <c r="K8" s="30"/>
      <c r="L8" s="29"/>
      <c r="M8" s="30"/>
      <c r="N8" s="30"/>
      <c r="O8" s="30"/>
      <c r="P8" s="30"/>
      <c r="Q8" s="30"/>
      <c r="R8" s="30"/>
      <c r="S8" s="30"/>
      <c r="T8" s="30"/>
      <c r="U8" s="30"/>
      <c r="V8" s="31"/>
    </row>
    <row r="9" spans="1:22">
      <c r="A9" s="1" t="s">
        <v>15</v>
      </c>
      <c r="B9" s="29">
        <v>0</v>
      </c>
      <c r="C9" s="30">
        <v>0</v>
      </c>
      <c r="D9" s="30">
        <v>0</v>
      </c>
      <c r="E9" s="30">
        <v>0</v>
      </c>
      <c r="F9" s="30">
        <v>0</v>
      </c>
      <c r="G9" s="31">
        <f>SUM(AR_FINANCIAL)</f>
        <v>0</v>
      </c>
      <c r="H9" s="30"/>
      <c r="I9" s="34"/>
      <c r="J9" s="35"/>
      <c r="K9" s="30"/>
      <c r="L9" s="29"/>
      <c r="M9" s="30"/>
      <c r="N9" s="30"/>
      <c r="O9" s="30"/>
      <c r="P9" s="30"/>
      <c r="Q9" s="30"/>
      <c r="R9" s="30"/>
      <c r="S9" s="30"/>
      <c r="T9" s="30"/>
      <c r="U9" s="30"/>
      <c r="V9" s="31"/>
    </row>
    <row r="10" spans="1:22">
      <c r="A10" s="1" t="s">
        <v>16</v>
      </c>
      <c r="B10" s="29">
        <v>0</v>
      </c>
      <c r="C10" s="30">
        <v>0</v>
      </c>
      <c r="D10" s="30">
        <v>0</v>
      </c>
      <c r="E10" s="30">
        <v>0</v>
      </c>
      <c r="F10" s="30">
        <v>0</v>
      </c>
      <c r="G10" s="31">
        <f>SUM(CA_FINANCIAL)</f>
        <v>0</v>
      </c>
      <c r="H10" s="30"/>
      <c r="I10" s="34" t="s">
        <v>17</v>
      </c>
      <c r="J10" s="35">
        <v>4246637</v>
      </c>
      <c r="K10" s="30"/>
      <c r="L10" s="29"/>
      <c r="M10" s="30"/>
      <c r="N10" s="30"/>
      <c r="O10" s="30"/>
      <c r="P10" s="30"/>
      <c r="Q10" s="30"/>
      <c r="R10" s="30"/>
      <c r="S10" s="30"/>
      <c r="T10" s="30"/>
      <c r="U10" s="30"/>
      <c r="V10" s="31"/>
    </row>
    <row r="11" spans="1:22">
      <c r="A11" s="1" t="s">
        <v>18</v>
      </c>
      <c r="B11" s="29">
        <v>0</v>
      </c>
      <c r="C11" s="30">
        <v>0</v>
      </c>
      <c r="D11" s="30">
        <v>0</v>
      </c>
      <c r="E11" s="30">
        <v>0</v>
      </c>
      <c r="F11" s="30">
        <v>0</v>
      </c>
      <c r="G11" s="31">
        <f>SUM(CO_FINANCIAL)</f>
        <v>0</v>
      </c>
      <c r="H11" s="30"/>
      <c r="I11" s="34"/>
      <c r="J11" s="35"/>
      <c r="K11" s="30"/>
      <c r="L11" s="29"/>
      <c r="M11" s="30"/>
      <c r="N11" s="30"/>
      <c r="O11" s="30"/>
      <c r="P11" s="30"/>
      <c r="Q11" s="30"/>
      <c r="R11" s="30"/>
      <c r="S11" s="30"/>
      <c r="T11" s="30"/>
      <c r="U11" s="30"/>
      <c r="V11" s="31"/>
    </row>
    <row r="12" spans="1:22">
      <c r="A12" s="1" t="s">
        <v>19</v>
      </c>
      <c r="B12" s="29">
        <v>0</v>
      </c>
      <c r="C12" s="30">
        <v>0</v>
      </c>
      <c r="D12" s="30">
        <v>0</v>
      </c>
      <c r="E12" s="30">
        <v>0</v>
      </c>
      <c r="F12" s="30">
        <v>0</v>
      </c>
      <c r="G12" s="31">
        <f>SUM(CT_FINANCIAL)</f>
        <v>0</v>
      </c>
      <c r="H12" s="30"/>
      <c r="I12" s="34" t="s">
        <v>20</v>
      </c>
      <c r="J12" s="35"/>
      <c r="K12" s="30"/>
      <c r="L12" s="29"/>
      <c r="M12" s="30"/>
      <c r="N12" s="30"/>
      <c r="O12" s="30"/>
      <c r="P12" s="30"/>
      <c r="Q12" s="30"/>
      <c r="R12" s="30"/>
      <c r="S12" s="30"/>
      <c r="T12" s="30"/>
      <c r="U12" s="30"/>
      <c r="V12" s="31"/>
    </row>
    <row r="13" spans="1:22">
      <c r="A13" s="1" t="s">
        <v>21</v>
      </c>
      <c r="B13" s="29">
        <v>0</v>
      </c>
      <c r="C13" s="30">
        <v>0</v>
      </c>
      <c r="D13" s="30">
        <v>0</v>
      </c>
      <c r="E13" s="30">
        <v>0</v>
      </c>
      <c r="F13" s="30">
        <v>0</v>
      </c>
      <c r="G13" s="31">
        <f>SUM(DE_FINANCIAL)</f>
        <v>0</v>
      </c>
      <c r="H13" s="30"/>
      <c r="I13" s="34" t="s">
        <v>22</v>
      </c>
      <c r="J13" s="35">
        <v>0</v>
      </c>
      <c r="K13" s="30"/>
      <c r="L13" s="29"/>
      <c r="M13" s="30"/>
      <c r="N13" s="30"/>
      <c r="O13" s="30"/>
      <c r="P13" s="30"/>
      <c r="Q13" s="30"/>
      <c r="R13" s="30"/>
      <c r="S13" s="30"/>
      <c r="T13" s="30"/>
      <c r="U13" s="30"/>
      <c r="V13" s="31"/>
    </row>
    <row r="14" spans="1:22">
      <c r="A14" s="1" t="s">
        <v>23</v>
      </c>
      <c r="B14" s="29">
        <v>0</v>
      </c>
      <c r="C14" s="30">
        <v>0</v>
      </c>
      <c r="D14" s="30">
        <v>0</v>
      </c>
      <c r="E14" s="30">
        <v>0</v>
      </c>
      <c r="F14" s="30">
        <v>0</v>
      </c>
      <c r="G14" s="31">
        <f>SUM(DC_FINANCIAL)</f>
        <v>0</v>
      </c>
      <c r="H14" s="30"/>
      <c r="I14" s="34" t="s">
        <v>24</v>
      </c>
      <c r="J14" s="35">
        <v>0</v>
      </c>
      <c r="K14" s="30"/>
      <c r="L14" s="29"/>
      <c r="M14" s="30"/>
      <c r="N14" s="30"/>
      <c r="O14" s="30"/>
      <c r="P14" s="30"/>
      <c r="Q14" s="30"/>
      <c r="R14" s="30"/>
      <c r="S14" s="30"/>
      <c r="T14" s="30"/>
      <c r="U14" s="30"/>
      <c r="V14" s="31"/>
    </row>
    <row r="15" spans="1:22">
      <c r="A15" s="1" t="s">
        <v>25</v>
      </c>
      <c r="B15" s="29">
        <v>0</v>
      </c>
      <c r="C15" s="30">
        <v>0</v>
      </c>
      <c r="D15" s="30">
        <v>0</v>
      </c>
      <c r="E15" s="30">
        <v>0</v>
      </c>
      <c r="F15" s="30">
        <v>0</v>
      </c>
      <c r="G15" s="31">
        <f>SUM(FL_FINANCIAL)</f>
        <v>0</v>
      </c>
      <c r="H15" s="30"/>
      <c r="I15" s="34" t="s">
        <v>26</v>
      </c>
      <c r="J15" s="35">
        <v>193694.76</v>
      </c>
      <c r="K15" s="30"/>
      <c r="L15" s="29"/>
      <c r="M15" s="30"/>
      <c r="N15" s="30"/>
      <c r="O15" s="30"/>
      <c r="P15" s="30"/>
      <c r="Q15" s="30"/>
      <c r="R15" s="30"/>
      <c r="S15" s="30"/>
      <c r="T15" s="30"/>
      <c r="U15" s="30"/>
      <c r="V15" s="31"/>
    </row>
    <row r="16" spans="1:22">
      <c r="A16" s="1" t="s">
        <v>27</v>
      </c>
      <c r="B16" s="29">
        <v>0</v>
      </c>
      <c r="C16" s="30">
        <v>0</v>
      </c>
      <c r="D16" s="30">
        <v>0</v>
      </c>
      <c r="E16" s="30">
        <v>0</v>
      </c>
      <c r="F16" s="30">
        <v>0</v>
      </c>
      <c r="G16" s="31">
        <f>SUM(GA_FINANCIAL)</f>
        <v>0</v>
      </c>
      <c r="H16" s="30"/>
      <c r="I16" s="34" t="s">
        <v>28</v>
      </c>
      <c r="J16" s="35">
        <v>0</v>
      </c>
      <c r="K16" s="30"/>
      <c r="L16" s="29"/>
      <c r="M16" s="30"/>
      <c r="N16" s="30"/>
      <c r="O16" s="30"/>
      <c r="P16" s="30"/>
      <c r="Q16" s="30"/>
      <c r="R16" s="30"/>
      <c r="S16" s="30"/>
      <c r="T16" s="30"/>
      <c r="U16" s="30"/>
      <c r="V16" s="31"/>
    </row>
    <row r="17" spans="1:22">
      <c r="A17" s="1" t="s">
        <v>29</v>
      </c>
      <c r="B17" s="29">
        <v>0</v>
      </c>
      <c r="C17" s="30">
        <v>0</v>
      </c>
      <c r="D17" s="30">
        <v>0</v>
      </c>
      <c r="E17" s="30">
        <v>0</v>
      </c>
      <c r="F17" s="30">
        <v>0</v>
      </c>
      <c r="G17" s="31">
        <f>SUM(HI_FINANCIAL)</f>
        <v>0</v>
      </c>
      <c r="H17" s="30"/>
      <c r="I17" s="34"/>
      <c r="J17" s="35"/>
      <c r="K17" s="30"/>
      <c r="L17" s="29"/>
      <c r="M17" s="30"/>
      <c r="N17" s="30"/>
      <c r="O17" s="30"/>
      <c r="P17" s="30"/>
      <c r="Q17" s="30"/>
      <c r="R17" s="30"/>
      <c r="S17" s="30"/>
      <c r="T17" s="30"/>
      <c r="U17" s="30"/>
      <c r="V17" s="31"/>
    </row>
    <row r="18" spans="1:22">
      <c r="A18" s="1" t="s">
        <v>30</v>
      </c>
      <c r="B18" s="29">
        <v>0</v>
      </c>
      <c r="C18" s="30">
        <v>0</v>
      </c>
      <c r="D18" s="30">
        <v>0</v>
      </c>
      <c r="E18" s="30">
        <v>0</v>
      </c>
      <c r="F18" s="30">
        <v>0</v>
      </c>
      <c r="G18" s="31">
        <f>SUM(ID_FINANCIAL)</f>
        <v>0</v>
      </c>
      <c r="H18" s="30"/>
      <c r="I18" s="34" t="s">
        <v>31</v>
      </c>
      <c r="J18" s="35"/>
      <c r="K18" s="30"/>
      <c r="L18" s="29"/>
      <c r="M18" s="30"/>
      <c r="N18" s="30"/>
      <c r="O18" s="30"/>
      <c r="P18" s="30"/>
      <c r="Q18" s="30"/>
      <c r="R18" s="30"/>
      <c r="S18" s="30"/>
      <c r="T18" s="30"/>
      <c r="U18" s="30"/>
      <c r="V18" s="31"/>
    </row>
    <row r="19" spans="1:22">
      <c r="A19" s="1" t="s">
        <v>32</v>
      </c>
      <c r="B19" s="29">
        <v>0</v>
      </c>
      <c r="C19" s="30">
        <v>0</v>
      </c>
      <c r="D19" s="30">
        <v>0</v>
      </c>
      <c r="E19" s="30">
        <v>0</v>
      </c>
      <c r="F19" s="30">
        <v>0</v>
      </c>
      <c r="G19" s="31">
        <f>SUM(IL_FINANCIAL)</f>
        <v>0</v>
      </c>
      <c r="H19" s="30"/>
      <c r="I19" s="34" t="s">
        <v>33</v>
      </c>
      <c r="J19" s="35">
        <v>0</v>
      </c>
      <c r="K19" s="30"/>
      <c r="L19" s="29"/>
      <c r="M19" s="30"/>
      <c r="N19" s="30"/>
      <c r="O19" s="30"/>
      <c r="P19" s="30"/>
      <c r="Q19" s="30"/>
      <c r="R19" s="30"/>
      <c r="S19" s="30"/>
      <c r="T19" s="30"/>
      <c r="U19" s="30"/>
      <c r="V19" s="31"/>
    </row>
    <row r="20" spans="1:22">
      <c r="A20" s="1" t="s">
        <v>34</v>
      </c>
      <c r="B20" s="29">
        <v>0</v>
      </c>
      <c r="C20" s="30">
        <v>0</v>
      </c>
      <c r="D20" s="30">
        <v>0</v>
      </c>
      <c r="E20" s="30">
        <v>0</v>
      </c>
      <c r="F20" s="30">
        <v>0</v>
      </c>
      <c r="G20" s="31">
        <f>SUM(IN_FINANCIAL)</f>
        <v>0</v>
      </c>
      <c r="H20" s="30"/>
      <c r="I20" s="34" t="s">
        <v>35</v>
      </c>
      <c r="J20" s="35">
        <v>-529679</v>
      </c>
      <c r="K20" s="30"/>
      <c r="L20" s="29"/>
      <c r="M20" s="30"/>
      <c r="N20" s="30"/>
      <c r="O20" s="30"/>
      <c r="P20" s="30"/>
      <c r="Q20" s="30"/>
      <c r="R20" s="30"/>
      <c r="S20" s="30"/>
      <c r="T20" s="30"/>
      <c r="U20" s="30"/>
      <c r="V20" s="31"/>
    </row>
    <row r="21" spans="1:22">
      <c r="A21" s="1" t="s">
        <v>36</v>
      </c>
      <c r="B21" s="29">
        <v>0</v>
      </c>
      <c r="C21" s="30">
        <v>0</v>
      </c>
      <c r="D21" s="30">
        <v>0</v>
      </c>
      <c r="E21" s="30">
        <v>0</v>
      </c>
      <c r="F21" s="30">
        <v>0</v>
      </c>
      <c r="G21" s="31">
        <f>SUM(IA_FINANCIAL)</f>
        <v>0</v>
      </c>
      <c r="H21" s="30"/>
      <c r="I21" s="34" t="s">
        <v>37</v>
      </c>
      <c r="J21" s="35"/>
      <c r="K21" s="30"/>
      <c r="L21" s="29"/>
      <c r="M21" s="30"/>
      <c r="N21" s="30"/>
      <c r="O21" s="30"/>
      <c r="P21" s="30"/>
      <c r="Q21" s="30"/>
      <c r="R21" s="30"/>
      <c r="S21" s="30"/>
      <c r="T21" s="30"/>
      <c r="U21" s="30"/>
      <c r="V21" s="31"/>
    </row>
    <row r="22" spans="1:22">
      <c r="A22" s="1" t="s">
        <v>38</v>
      </c>
      <c r="B22" s="29">
        <v>0</v>
      </c>
      <c r="C22" s="30">
        <v>0</v>
      </c>
      <c r="D22" s="30">
        <v>0</v>
      </c>
      <c r="E22" s="30">
        <v>0</v>
      </c>
      <c r="F22" s="30">
        <v>0</v>
      </c>
      <c r="G22" s="31">
        <f>SUM(KS_FINANCIAL)</f>
        <v>0</v>
      </c>
      <c r="H22" s="30"/>
      <c r="I22" s="34" t="s">
        <v>39</v>
      </c>
      <c r="J22" s="35">
        <v>713876</v>
      </c>
      <c r="K22" s="30"/>
      <c r="L22" s="29"/>
      <c r="M22" s="30"/>
      <c r="N22" s="30"/>
      <c r="O22" s="30"/>
      <c r="P22" s="30"/>
      <c r="Q22" s="30"/>
      <c r="R22" s="30"/>
      <c r="S22" s="30"/>
      <c r="T22" s="30"/>
      <c r="U22" s="30"/>
      <c r="V22" s="31"/>
    </row>
    <row r="23" spans="1:22">
      <c r="A23" s="1" t="s">
        <v>40</v>
      </c>
      <c r="B23" s="29">
        <v>0</v>
      </c>
      <c r="C23" s="30">
        <v>0</v>
      </c>
      <c r="D23" s="30">
        <v>0</v>
      </c>
      <c r="E23" s="30">
        <v>0</v>
      </c>
      <c r="F23" s="30">
        <v>0</v>
      </c>
      <c r="G23" s="31">
        <f>SUM(KY_FINANCIAL)</f>
        <v>0</v>
      </c>
      <c r="H23" s="30"/>
      <c r="I23" s="34" t="s">
        <v>41</v>
      </c>
      <c r="J23" s="35"/>
      <c r="K23" s="30"/>
      <c r="L23" s="29"/>
      <c r="M23" s="30"/>
      <c r="N23" s="30"/>
      <c r="O23" s="30"/>
      <c r="P23" s="30"/>
      <c r="Q23" s="30"/>
      <c r="R23" s="30"/>
      <c r="S23" s="30"/>
      <c r="T23" s="30"/>
      <c r="U23" s="30"/>
      <c r="V23" s="31"/>
    </row>
    <row r="24" spans="1:22">
      <c r="A24" s="1" t="s">
        <v>42</v>
      </c>
      <c r="B24" s="29">
        <v>0</v>
      </c>
      <c r="C24" s="30">
        <v>0</v>
      </c>
      <c r="D24" s="30">
        <v>0</v>
      </c>
      <c r="E24" s="30">
        <v>0</v>
      </c>
      <c r="F24" s="30">
        <v>0</v>
      </c>
      <c r="G24" s="31">
        <f>SUM(LA_FINANCIAL)</f>
        <v>0</v>
      </c>
      <c r="H24" s="30"/>
      <c r="I24" s="34" t="s">
        <v>43</v>
      </c>
      <c r="J24" s="35">
        <v>937601.99999999988</v>
      </c>
      <c r="K24" s="30"/>
      <c r="L24" s="29"/>
      <c r="M24" s="30"/>
      <c r="N24" s="30"/>
      <c r="O24" s="30"/>
      <c r="P24" s="30"/>
      <c r="Q24" s="30"/>
      <c r="R24" s="30"/>
      <c r="S24" s="30"/>
      <c r="T24" s="30"/>
      <c r="U24" s="30"/>
      <c r="V24" s="31"/>
    </row>
    <row r="25" spans="1:22">
      <c r="A25" s="1" t="s">
        <v>44</v>
      </c>
      <c r="B25" s="29">
        <v>0</v>
      </c>
      <c r="C25" s="30">
        <v>0</v>
      </c>
      <c r="D25" s="30">
        <v>0</v>
      </c>
      <c r="E25" s="30">
        <v>0</v>
      </c>
      <c r="F25" s="30">
        <v>0</v>
      </c>
      <c r="G25" s="31">
        <f>SUM(ME_FINANCIAL)</f>
        <v>0</v>
      </c>
      <c r="H25" s="30"/>
      <c r="I25" s="34"/>
      <c r="J25" s="35"/>
      <c r="K25" s="30"/>
      <c r="L25" s="29"/>
      <c r="M25" s="30"/>
      <c r="N25" s="30"/>
      <c r="O25" s="30"/>
      <c r="P25" s="30"/>
      <c r="Q25" s="30"/>
      <c r="R25" s="30"/>
      <c r="S25" s="30"/>
      <c r="T25" s="30"/>
      <c r="U25" s="30"/>
      <c r="V25" s="31"/>
    </row>
    <row r="26" spans="1:22">
      <c r="A26" s="1" t="s">
        <v>45</v>
      </c>
      <c r="B26" s="29">
        <v>0</v>
      </c>
      <c r="C26" s="30">
        <v>0</v>
      </c>
      <c r="D26" s="30">
        <v>0</v>
      </c>
      <c r="E26" s="30">
        <v>0</v>
      </c>
      <c r="F26" s="30">
        <v>0</v>
      </c>
      <c r="G26" s="31">
        <f>SUM(MD_FINANCIAL)</f>
        <v>0</v>
      </c>
      <c r="H26" s="30"/>
      <c r="I26" s="34" t="s">
        <v>46</v>
      </c>
      <c r="J26" s="35">
        <f>SUM(ADD_FINANCIAL)-SUM(LESS_FINANCIAL)</f>
        <v>3318532.76</v>
      </c>
      <c r="K26" s="30"/>
      <c r="L26" s="29"/>
      <c r="M26" s="30"/>
      <c r="N26" s="30"/>
      <c r="O26" s="30"/>
      <c r="P26" s="30"/>
      <c r="Q26" s="30"/>
      <c r="R26" s="30"/>
      <c r="S26" s="30"/>
      <c r="T26" s="30"/>
      <c r="U26" s="30"/>
      <c r="V26" s="31"/>
    </row>
    <row r="27" spans="1:22">
      <c r="A27" s="1" t="s">
        <v>47</v>
      </c>
      <c r="B27" s="29">
        <v>0</v>
      </c>
      <c r="C27" s="30">
        <v>0</v>
      </c>
      <c r="D27" s="30">
        <v>0</v>
      </c>
      <c r="E27" s="30">
        <v>0</v>
      </c>
      <c r="F27" s="30">
        <v>0</v>
      </c>
      <c r="G27" s="31">
        <f>SUM(MA_FINANCIAL)</f>
        <v>0</v>
      </c>
      <c r="H27" s="30"/>
      <c r="I27" s="34" t="s">
        <v>48</v>
      </c>
      <c r="J27" s="35">
        <f>SUM(ALL_BLOCKS)</f>
        <v>3318532.7600000002</v>
      </c>
      <c r="K27" s="30"/>
      <c r="L27" s="29"/>
      <c r="M27" s="30"/>
      <c r="N27" s="30"/>
      <c r="O27" s="30"/>
      <c r="P27" s="30"/>
      <c r="Q27" s="30"/>
      <c r="R27" s="30"/>
      <c r="S27" s="30"/>
      <c r="T27" s="30"/>
      <c r="U27" s="30"/>
      <c r="V27" s="31"/>
    </row>
    <row r="28" spans="1:22">
      <c r="A28" s="1" t="s">
        <v>49</v>
      </c>
      <c r="B28" s="29">
        <v>0</v>
      </c>
      <c r="C28" s="30">
        <v>0</v>
      </c>
      <c r="D28" s="30">
        <v>0</v>
      </c>
      <c r="E28" s="30">
        <v>0</v>
      </c>
      <c r="F28" s="30">
        <v>0</v>
      </c>
      <c r="G28" s="31">
        <f>SUM(MI_FINANCIAL)</f>
        <v>0</v>
      </c>
      <c r="H28" s="30"/>
      <c r="I28" s="36"/>
      <c r="J28" s="37"/>
      <c r="K28" s="30"/>
      <c r="L28" s="29"/>
      <c r="M28" s="30"/>
      <c r="N28" s="30"/>
      <c r="O28" s="30"/>
      <c r="P28" s="30"/>
      <c r="Q28" s="30"/>
      <c r="R28" s="30"/>
      <c r="S28" s="30"/>
      <c r="T28" s="30"/>
      <c r="U28" s="30"/>
      <c r="V28" s="31"/>
    </row>
    <row r="29" spans="1:22">
      <c r="A29" s="1" t="s">
        <v>50</v>
      </c>
      <c r="B29" s="29">
        <v>0</v>
      </c>
      <c r="C29" s="30">
        <v>0</v>
      </c>
      <c r="D29" s="30">
        <v>0</v>
      </c>
      <c r="E29" s="30">
        <v>0</v>
      </c>
      <c r="F29" s="30">
        <v>0</v>
      </c>
      <c r="G29" s="31">
        <f>SUM(MN_FINANCIAL)</f>
        <v>0</v>
      </c>
      <c r="H29" s="30"/>
      <c r="I29" s="30"/>
      <c r="J29" s="30"/>
      <c r="K29" s="30"/>
      <c r="L29" s="29"/>
      <c r="M29" s="30"/>
      <c r="N29" s="30"/>
      <c r="O29" s="30"/>
      <c r="P29" s="30"/>
      <c r="Q29" s="30"/>
      <c r="R29" s="30"/>
      <c r="S29" s="30"/>
      <c r="T29" s="30"/>
      <c r="U29" s="30"/>
      <c r="V29" s="31"/>
    </row>
    <row r="30" spans="1:22">
      <c r="A30" s="1" t="s">
        <v>51</v>
      </c>
      <c r="B30" s="29">
        <v>0</v>
      </c>
      <c r="C30" s="30">
        <v>0</v>
      </c>
      <c r="D30" s="30">
        <v>0</v>
      </c>
      <c r="E30" s="30">
        <v>0</v>
      </c>
      <c r="F30" s="30">
        <v>0</v>
      </c>
      <c r="G30" s="31">
        <f>SUM(MS_FINANCIAL)</f>
        <v>0</v>
      </c>
      <c r="H30" s="30"/>
      <c r="I30" s="30"/>
      <c r="J30" s="30"/>
      <c r="K30" s="30"/>
      <c r="L30" s="29"/>
      <c r="M30" s="30"/>
      <c r="N30" s="30"/>
      <c r="O30" s="30"/>
      <c r="P30" s="30"/>
      <c r="Q30" s="30"/>
      <c r="R30" s="30"/>
      <c r="S30" s="30"/>
      <c r="T30" s="30"/>
      <c r="U30" s="30"/>
      <c r="V30" s="31"/>
    </row>
    <row r="31" spans="1:22">
      <c r="A31" s="1" t="s">
        <v>52</v>
      </c>
      <c r="B31" s="29">
        <v>0</v>
      </c>
      <c r="C31" s="30">
        <v>0</v>
      </c>
      <c r="D31" s="30">
        <v>0</v>
      </c>
      <c r="E31" s="30">
        <v>0</v>
      </c>
      <c r="F31" s="30">
        <v>0</v>
      </c>
      <c r="G31" s="31">
        <f>SUM(MO_FINANCIAL)</f>
        <v>0</v>
      </c>
      <c r="H31" s="30"/>
      <c r="I31" s="30"/>
      <c r="J31" s="30"/>
      <c r="K31" s="30"/>
      <c r="L31" s="29"/>
      <c r="M31" s="30"/>
      <c r="N31" s="30"/>
      <c r="O31" s="30"/>
      <c r="P31" s="30"/>
      <c r="Q31" s="30"/>
      <c r="R31" s="30"/>
      <c r="S31" s="30"/>
      <c r="T31" s="30"/>
      <c r="U31" s="30"/>
      <c r="V31" s="31"/>
    </row>
    <row r="32" spans="1:22">
      <c r="A32" s="1" t="s">
        <v>53</v>
      </c>
      <c r="B32" s="29">
        <v>0</v>
      </c>
      <c r="C32" s="30">
        <v>0</v>
      </c>
      <c r="D32" s="30">
        <v>0</v>
      </c>
      <c r="E32" s="30">
        <v>0</v>
      </c>
      <c r="F32" s="30">
        <v>0</v>
      </c>
      <c r="G32" s="31">
        <f>SUM(MT_FINANCIAL)</f>
        <v>0</v>
      </c>
      <c r="H32" s="30"/>
      <c r="I32" s="30"/>
      <c r="J32" s="30"/>
      <c r="K32" s="30"/>
      <c r="L32" s="29"/>
      <c r="M32" s="30"/>
      <c r="N32" s="30"/>
      <c r="O32" s="30"/>
      <c r="P32" s="30"/>
      <c r="Q32" s="30"/>
      <c r="R32" s="30"/>
      <c r="S32" s="30"/>
      <c r="T32" s="30"/>
      <c r="U32" s="30"/>
      <c r="V32" s="31"/>
    </row>
    <row r="33" spans="1:22">
      <c r="A33" s="1" t="s">
        <v>54</v>
      </c>
      <c r="B33" s="29">
        <v>0</v>
      </c>
      <c r="C33" s="30">
        <v>0</v>
      </c>
      <c r="D33" s="30">
        <v>0</v>
      </c>
      <c r="E33" s="30">
        <v>0</v>
      </c>
      <c r="F33" s="30">
        <v>0</v>
      </c>
      <c r="G33" s="31">
        <f>SUM(NE_FINANCIAL)</f>
        <v>0</v>
      </c>
      <c r="H33" s="30"/>
      <c r="I33" s="30"/>
      <c r="J33" s="30"/>
      <c r="K33" s="30"/>
      <c r="L33" s="29"/>
      <c r="M33" s="30"/>
      <c r="N33" s="30"/>
      <c r="O33" s="30"/>
      <c r="P33" s="30"/>
      <c r="Q33" s="30"/>
      <c r="R33" s="30"/>
      <c r="S33" s="30"/>
      <c r="T33" s="30"/>
      <c r="U33" s="30"/>
      <c r="V33" s="31"/>
    </row>
    <row r="34" spans="1:22">
      <c r="A34" s="1" t="s">
        <v>55</v>
      </c>
      <c r="B34" s="29">
        <v>0</v>
      </c>
      <c r="C34" s="30">
        <v>0</v>
      </c>
      <c r="D34" s="30">
        <v>0</v>
      </c>
      <c r="E34" s="30">
        <v>0</v>
      </c>
      <c r="F34" s="30">
        <v>0</v>
      </c>
      <c r="G34" s="31">
        <f>SUM(NV_FINANCIAL)</f>
        <v>0</v>
      </c>
      <c r="H34" s="30"/>
      <c r="I34" s="30"/>
      <c r="J34" s="30"/>
      <c r="K34" s="30"/>
      <c r="L34" s="29"/>
      <c r="M34" s="30"/>
      <c r="N34" s="30"/>
      <c r="O34" s="30"/>
      <c r="P34" s="30"/>
      <c r="Q34" s="30"/>
      <c r="R34" s="30"/>
      <c r="S34" s="30"/>
      <c r="T34" s="30"/>
      <c r="U34" s="30"/>
      <c r="V34" s="31"/>
    </row>
    <row r="35" spans="1:22">
      <c r="A35" s="1" t="s">
        <v>56</v>
      </c>
      <c r="B35" s="29">
        <v>0</v>
      </c>
      <c r="C35" s="30">
        <v>0</v>
      </c>
      <c r="D35" s="30">
        <v>0</v>
      </c>
      <c r="E35" s="30">
        <v>0</v>
      </c>
      <c r="F35" s="30">
        <v>0</v>
      </c>
      <c r="G35" s="31">
        <f>SUM(NH_FINANCIAL)</f>
        <v>0</v>
      </c>
      <c r="H35" s="30"/>
      <c r="I35" s="30"/>
      <c r="J35" s="30"/>
      <c r="K35" s="30"/>
      <c r="L35" s="29"/>
      <c r="M35" s="30"/>
      <c r="N35" s="30"/>
      <c r="O35" s="30"/>
      <c r="P35" s="30"/>
      <c r="Q35" s="30"/>
      <c r="R35" s="30"/>
      <c r="S35" s="30"/>
      <c r="T35" s="30"/>
      <c r="U35" s="30"/>
      <c r="V35" s="31"/>
    </row>
    <row r="36" spans="1:22">
      <c r="A36" s="1" t="s">
        <v>57</v>
      </c>
      <c r="B36" s="29">
        <v>0</v>
      </c>
      <c r="C36" s="30">
        <v>0</v>
      </c>
      <c r="D36" s="30">
        <v>0</v>
      </c>
      <c r="E36" s="30">
        <v>0</v>
      </c>
      <c r="F36" s="30">
        <v>0</v>
      </c>
      <c r="G36" s="31">
        <f>SUM(NJ_FINANCIAL)</f>
        <v>0</v>
      </c>
      <c r="H36" s="30"/>
      <c r="I36" s="30"/>
      <c r="J36" s="30"/>
      <c r="K36" s="30"/>
      <c r="L36" s="29"/>
      <c r="M36" s="30"/>
      <c r="N36" s="30"/>
      <c r="O36" s="30"/>
      <c r="P36" s="30"/>
      <c r="Q36" s="30"/>
      <c r="R36" s="30"/>
      <c r="S36" s="30"/>
      <c r="T36" s="30"/>
      <c r="U36" s="30"/>
      <c r="V36" s="31"/>
    </row>
    <row r="37" spans="1:22">
      <c r="A37" s="1" t="s">
        <v>58</v>
      </c>
      <c r="B37" s="29">
        <v>0</v>
      </c>
      <c r="C37" s="30">
        <v>0</v>
      </c>
      <c r="D37" s="30">
        <v>0</v>
      </c>
      <c r="E37" s="30">
        <v>0</v>
      </c>
      <c r="F37" s="30">
        <v>0</v>
      </c>
      <c r="G37" s="31">
        <f>SUM(NM_FINANCIAL)</f>
        <v>0</v>
      </c>
      <c r="H37" s="30"/>
      <c r="I37" s="30"/>
      <c r="J37" s="30"/>
      <c r="K37" s="30"/>
      <c r="L37" s="29"/>
      <c r="M37" s="30"/>
      <c r="N37" s="30"/>
      <c r="O37" s="30"/>
      <c r="P37" s="30"/>
      <c r="Q37" s="30"/>
      <c r="R37" s="30"/>
      <c r="S37" s="30"/>
      <c r="T37" s="30"/>
      <c r="U37" s="30"/>
      <c r="V37" s="31"/>
    </row>
    <row r="38" spans="1:22">
      <c r="A38" s="1" t="s">
        <v>59</v>
      </c>
      <c r="B38" s="29">
        <v>0</v>
      </c>
      <c r="C38" s="30">
        <v>0</v>
      </c>
      <c r="D38" s="30">
        <v>0</v>
      </c>
      <c r="E38" s="30">
        <v>0</v>
      </c>
      <c r="F38" s="30">
        <v>0</v>
      </c>
      <c r="G38" s="31">
        <f>SUM(NY_FINANCIAL)</f>
        <v>0</v>
      </c>
      <c r="H38" s="30"/>
      <c r="I38" s="30"/>
      <c r="J38" s="30"/>
      <c r="K38" s="30"/>
      <c r="L38" s="29"/>
      <c r="M38" s="30"/>
      <c r="N38" s="30"/>
      <c r="O38" s="30"/>
      <c r="P38" s="30"/>
      <c r="Q38" s="30"/>
      <c r="R38" s="30"/>
      <c r="S38" s="30"/>
      <c r="T38" s="30"/>
      <c r="U38" s="30"/>
      <c r="V38" s="31"/>
    </row>
    <row r="39" spans="1:22">
      <c r="A39" s="1" t="s">
        <v>60</v>
      </c>
      <c r="B39" s="29">
        <v>0</v>
      </c>
      <c r="C39" s="30">
        <v>0</v>
      </c>
      <c r="D39" s="30">
        <v>0</v>
      </c>
      <c r="E39" s="30">
        <v>0</v>
      </c>
      <c r="F39" s="30">
        <v>0</v>
      </c>
      <c r="G39" s="31">
        <f>SUM(NC_FINANCIAL)</f>
        <v>0</v>
      </c>
      <c r="H39" s="30"/>
      <c r="I39" s="30"/>
      <c r="J39" s="30"/>
      <c r="K39" s="30"/>
      <c r="L39" s="29"/>
      <c r="M39" s="30"/>
      <c r="N39" s="30"/>
      <c r="O39" s="30"/>
      <c r="P39" s="30"/>
      <c r="Q39" s="30"/>
      <c r="R39" s="30"/>
      <c r="S39" s="30"/>
      <c r="T39" s="30"/>
      <c r="U39" s="30"/>
      <c r="V39" s="31"/>
    </row>
    <row r="40" spans="1:22">
      <c r="A40" s="1" t="s">
        <v>61</v>
      </c>
      <c r="B40" s="29">
        <v>0</v>
      </c>
      <c r="C40" s="30">
        <v>0</v>
      </c>
      <c r="D40" s="30">
        <v>0</v>
      </c>
      <c r="E40" s="30">
        <v>0</v>
      </c>
      <c r="F40" s="30">
        <v>0</v>
      </c>
      <c r="G40" s="31">
        <f>SUM(ND_FINANCIAL)</f>
        <v>0</v>
      </c>
      <c r="H40" s="30"/>
      <c r="I40" s="30"/>
      <c r="J40" s="30"/>
      <c r="K40" s="30"/>
      <c r="L40" s="29"/>
      <c r="M40" s="30"/>
      <c r="N40" s="30"/>
      <c r="O40" s="30"/>
      <c r="P40" s="30"/>
      <c r="Q40" s="30"/>
      <c r="R40" s="30"/>
      <c r="S40" s="30"/>
      <c r="T40" s="30"/>
      <c r="U40" s="30"/>
      <c r="V40" s="31"/>
    </row>
    <row r="41" spans="1:22">
      <c r="A41" s="1" t="s">
        <v>62</v>
      </c>
      <c r="B41" s="29">
        <v>0</v>
      </c>
      <c r="C41" s="30">
        <v>0</v>
      </c>
      <c r="D41" s="30">
        <v>0</v>
      </c>
      <c r="E41" s="30">
        <v>0</v>
      </c>
      <c r="F41" s="30">
        <v>0</v>
      </c>
      <c r="G41" s="31">
        <f>SUM(OH_FINANCIAL)</f>
        <v>0</v>
      </c>
      <c r="H41" s="30"/>
      <c r="I41" s="30"/>
      <c r="J41" s="30"/>
      <c r="K41" s="30"/>
      <c r="L41" s="29"/>
      <c r="M41" s="30"/>
      <c r="N41" s="30"/>
      <c r="O41" s="30"/>
      <c r="P41" s="30"/>
      <c r="Q41" s="30"/>
      <c r="R41" s="30"/>
      <c r="S41" s="30"/>
      <c r="T41" s="30"/>
      <c r="U41" s="30"/>
      <c r="V41" s="31"/>
    </row>
    <row r="42" spans="1:22">
      <c r="A42" s="1" t="s">
        <v>63</v>
      </c>
      <c r="B42" s="29">
        <v>0</v>
      </c>
      <c r="C42" s="30">
        <v>0</v>
      </c>
      <c r="D42" s="30">
        <v>0</v>
      </c>
      <c r="E42" s="30">
        <v>0</v>
      </c>
      <c r="F42" s="30">
        <v>0</v>
      </c>
      <c r="G42" s="31">
        <f>SUM(OK_FINANCIAL)</f>
        <v>0</v>
      </c>
      <c r="H42" s="30"/>
      <c r="I42" s="30"/>
      <c r="J42" s="30"/>
      <c r="K42" s="30"/>
      <c r="L42" s="29"/>
      <c r="M42" s="30"/>
      <c r="N42" s="30"/>
      <c r="O42" s="30"/>
      <c r="P42" s="30"/>
      <c r="Q42" s="30"/>
      <c r="R42" s="30"/>
      <c r="S42" s="30"/>
      <c r="T42" s="30"/>
      <c r="U42" s="30"/>
      <c r="V42" s="31"/>
    </row>
    <row r="43" spans="1:22">
      <c r="A43" s="1" t="s">
        <v>64</v>
      </c>
      <c r="B43" s="29">
        <v>0</v>
      </c>
      <c r="C43" s="30">
        <v>0</v>
      </c>
      <c r="D43" s="30">
        <v>0</v>
      </c>
      <c r="E43" s="30">
        <v>0</v>
      </c>
      <c r="F43" s="30">
        <v>0</v>
      </c>
      <c r="G43" s="31">
        <f>SUM(OR_FINANCIAL)</f>
        <v>0</v>
      </c>
      <c r="H43" s="30"/>
      <c r="I43" s="30"/>
      <c r="J43" s="30"/>
      <c r="K43" s="30"/>
      <c r="L43" s="29"/>
      <c r="M43" s="30"/>
      <c r="N43" s="30"/>
      <c r="O43" s="30"/>
      <c r="P43" s="30"/>
      <c r="Q43" s="30"/>
      <c r="R43" s="30"/>
      <c r="S43" s="30"/>
      <c r="T43" s="30"/>
      <c r="U43" s="30"/>
      <c r="V43" s="31"/>
    </row>
    <row r="44" spans="1:22">
      <c r="A44" s="1" t="s">
        <v>65</v>
      </c>
      <c r="B44" s="29">
        <v>0</v>
      </c>
      <c r="C44" s="30">
        <v>0</v>
      </c>
      <c r="D44" s="30">
        <v>0</v>
      </c>
      <c r="E44" s="30">
        <v>0</v>
      </c>
      <c r="F44" s="30">
        <v>0</v>
      </c>
      <c r="G44" s="31">
        <f>SUM(PA_FINANCIAL)</f>
        <v>0</v>
      </c>
      <c r="H44" s="30"/>
      <c r="I44" s="30"/>
      <c r="J44" s="30"/>
      <c r="K44" s="30"/>
      <c r="L44" s="29"/>
      <c r="M44" s="30"/>
      <c r="N44" s="30"/>
      <c r="O44" s="30"/>
      <c r="P44" s="30"/>
      <c r="Q44" s="30"/>
      <c r="R44" s="30"/>
      <c r="S44" s="30"/>
      <c r="T44" s="30"/>
      <c r="U44" s="30"/>
      <c r="V44" s="31"/>
    </row>
    <row r="45" spans="1:22">
      <c r="A45" s="1" t="s">
        <v>66</v>
      </c>
      <c r="B45" s="29">
        <v>0</v>
      </c>
      <c r="C45" s="30">
        <v>0</v>
      </c>
      <c r="D45" s="30">
        <v>0</v>
      </c>
      <c r="E45" s="30">
        <v>0</v>
      </c>
      <c r="F45" s="30">
        <v>0</v>
      </c>
      <c r="G45" s="31">
        <f>SUM(PR_FINANCIAL)</f>
        <v>0</v>
      </c>
      <c r="H45" s="30"/>
      <c r="I45" s="30"/>
      <c r="J45" s="30"/>
      <c r="K45" s="30"/>
      <c r="L45" s="29"/>
      <c r="M45" s="30"/>
      <c r="N45" s="30"/>
      <c r="O45" s="30"/>
      <c r="P45" s="30"/>
      <c r="Q45" s="30"/>
      <c r="R45" s="30"/>
      <c r="S45" s="30"/>
      <c r="T45" s="30"/>
      <c r="U45" s="30"/>
      <c r="V45" s="31"/>
    </row>
    <row r="46" spans="1:22">
      <c r="A46" s="1" t="s">
        <v>67</v>
      </c>
      <c r="B46" s="29">
        <v>0</v>
      </c>
      <c r="C46" s="30">
        <v>0</v>
      </c>
      <c r="D46" s="30">
        <v>0</v>
      </c>
      <c r="E46" s="30">
        <v>0</v>
      </c>
      <c r="F46" s="30">
        <v>0</v>
      </c>
      <c r="G46" s="31">
        <f>SUM(RI_FINANCIAL)</f>
        <v>0</v>
      </c>
      <c r="H46" s="30"/>
      <c r="I46" s="30"/>
      <c r="J46" s="30"/>
      <c r="K46" s="30"/>
      <c r="L46" s="29"/>
      <c r="M46" s="30"/>
      <c r="N46" s="30"/>
      <c r="O46" s="30"/>
      <c r="P46" s="30"/>
      <c r="Q46" s="30"/>
      <c r="R46" s="30"/>
      <c r="S46" s="30"/>
      <c r="T46" s="30"/>
      <c r="U46" s="30"/>
      <c r="V46" s="31"/>
    </row>
    <row r="47" spans="1:22">
      <c r="A47" s="1" t="s">
        <v>68</v>
      </c>
      <c r="B47" s="29">
        <v>0</v>
      </c>
      <c r="C47" s="30">
        <v>0</v>
      </c>
      <c r="D47" s="30">
        <v>0</v>
      </c>
      <c r="E47" s="30">
        <v>0</v>
      </c>
      <c r="F47" s="30">
        <v>0</v>
      </c>
      <c r="G47" s="31">
        <f>SUM(SC_FINANCIAL)</f>
        <v>0</v>
      </c>
      <c r="H47" s="30"/>
      <c r="I47" s="30"/>
      <c r="J47" s="30"/>
      <c r="K47" s="30"/>
      <c r="L47" s="29"/>
      <c r="M47" s="30"/>
      <c r="N47" s="30"/>
      <c r="O47" s="30"/>
      <c r="P47" s="30"/>
      <c r="Q47" s="30"/>
      <c r="R47" s="30"/>
      <c r="S47" s="30"/>
      <c r="T47" s="30"/>
      <c r="U47" s="30"/>
      <c r="V47" s="31"/>
    </row>
    <row r="48" spans="1:22">
      <c r="A48" s="1" t="s">
        <v>69</v>
      </c>
      <c r="B48" s="29">
        <v>0</v>
      </c>
      <c r="C48" s="30">
        <v>0</v>
      </c>
      <c r="D48" s="30">
        <v>0</v>
      </c>
      <c r="E48" s="30">
        <v>0</v>
      </c>
      <c r="F48" s="30">
        <v>0</v>
      </c>
      <c r="G48" s="31">
        <f>SUM(SD_FINANCIAL)</f>
        <v>0</v>
      </c>
      <c r="H48" s="30"/>
      <c r="I48" s="30"/>
      <c r="J48" s="30"/>
      <c r="K48" s="30"/>
      <c r="L48" s="29"/>
      <c r="M48" s="30"/>
      <c r="N48" s="30"/>
      <c r="O48" s="30"/>
      <c r="P48" s="30"/>
      <c r="Q48" s="30"/>
      <c r="R48" s="30"/>
      <c r="S48" s="30"/>
      <c r="T48" s="30"/>
      <c r="U48" s="30"/>
      <c r="V48" s="31"/>
    </row>
    <row r="49" spans="1:22">
      <c r="A49" s="1" t="s">
        <v>70</v>
      </c>
      <c r="B49" s="29">
        <v>0</v>
      </c>
      <c r="C49" s="30">
        <v>0</v>
      </c>
      <c r="D49" s="30">
        <v>0</v>
      </c>
      <c r="E49" s="30">
        <v>0</v>
      </c>
      <c r="F49" s="30">
        <v>0</v>
      </c>
      <c r="G49" s="31">
        <f>SUM(TN_FINANCIAL)</f>
        <v>0</v>
      </c>
      <c r="H49" s="30"/>
      <c r="I49" s="30"/>
      <c r="J49" s="30"/>
      <c r="K49" s="30"/>
      <c r="L49" s="29"/>
      <c r="M49" s="30"/>
      <c r="N49" s="30"/>
      <c r="O49" s="30"/>
      <c r="P49" s="30"/>
      <c r="Q49" s="30"/>
      <c r="R49" s="30"/>
      <c r="S49" s="30"/>
      <c r="T49" s="30"/>
      <c r="U49" s="30"/>
      <c r="V49" s="31"/>
    </row>
    <row r="50" spans="1:22">
      <c r="A50" s="1" t="s">
        <v>71</v>
      </c>
      <c r="B50" s="29">
        <v>0</v>
      </c>
      <c r="C50" s="30">
        <v>0</v>
      </c>
      <c r="D50" s="30">
        <v>0</v>
      </c>
      <c r="E50" s="30">
        <v>0</v>
      </c>
      <c r="F50" s="30">
        <v>0</v>
      </c>
      <c r="G50" s="31">
        <f>SUM(TX_FINANCIAL)</f>
        <v>0</v>
      </c>
      <c r="H50" s="30"/>
      <c r="I50" s="30"/>
      <c r="J50" s="30"/>
      <c r="K50" s="30"/>
      <c r="L50" s="29"/>
      <c r="M50" s="30"/>
      <c r="N50" s="30"/>
      <c r="O50" s="30"/>
      <c r="P50" s="30"/>
      <c r="Q50" s="30"/>
      <c r="R50" s="30"/>
      <c r="S50" s="30"/>
      <c r="T50" s="30"/>
      <c r="U50" s="30"/>
      <c r="V50" s="31"/>
    </row>
    <row r="51" spans="1:22">
      <c r="A51" s="1" t="s">
        <v>72</v>
      </c>
      <c r="B51" s="29">
        <v>0</v>
      </c>
      <c r="C51" s="30">
        <v>0</v>
      </c>
      <c r="D51" s="30">
        <v>0</v>
      </c>
      <c r="E51" s="30">
        <v>0</v>
      </c>
      <c r="F51" s="30">
        <v>0</v>
      </c>
      <c r="G51" s="31">
        <f>SUM(UT_FINANCIAL)</f>
        <v>0</v>
      </c>
      <c r="H51" s="30"/>
      <c r="I51" s="30"/>
      <c r="J51" s="30"/>
      <c r="K51" s="30"/>
      <c r="L51" s="29"/>
      <c r="M51" s="30"/>
      <c r="N51" s="30"/>
      <c r="O51" s="30"/>
      <c r="P51" s="30"/>
      <c r="Q51" s="30"/>
      <c r="R51" s="30"/>
      <c r="S51" s="30"/>
      <c r="T51" s="30"/>
      <c r="U51" s="30"/>
      <c r="V51" s="31"/>
    </row>
    <row r="52" spans="1:22">
      <c r="A52" s="1" t="s">
        <v>73</v>
      </c>
      <c r="B52" s="29">
        <v>0</v>
      </c>
      <c r="C52" s="30">
        <v>0</v>
      </c>
      <c r="D52" s="30">
        <v>0</v>
      </c>
      <c r="E52" s="30">
        <v>0</v>
      </c>
      <c r="F52" s="30">
        <v>0</v>
      </c>
      <c r="G52" s="31">
        <f>SUM(VT_FINANCIAL)</f>
        <v>0</v>
      </c>
      <c r="H52" s="30"/>
      <c r="I52" s="30"/>
      <c r="J52" s="30"/>
      <c r="K52" s="30"/>
      <c r="L52" s="29"/>
      <c r="M52" s="30"/>
      <c r="N52" s="30"/>
      <c r="O52" s="30"/>
      <c r="P52" s="30"/>
      <c r="Q52" s="30"/>
      <c r="R52" s="30"/>
      <c r="S52" s="30"/>
      <c r="T52" s="30"/>
      <c r="U52" s="30"/>
      <c r="V52" s="31"/>
    </row>
    <row r="53" spans="1:22">
      <c r="A53" s="1" t="s">
        <v>74</v>
      </c>
      <c r="B53" s="29">
        <v>0</v>
      </c>
      <c r="C53" s="30">
        <v>0</v>
      </c>
      <c r="D53" s="30">
        <v>0</v>
      </c>
      <c r="E53" s="30">
        <v>0</v>
      </c>
      <c r="F53" s="30">
        <v>0</v>
      </c>
      <c r="G53" s="31">
        <f>SUM(VA_FINANCIAL)</f>
        <v>0</v>
      </c>
      <c r="H53" s="30"/>
      <c r="I53" s="30"/>
      <c r="J53" s="30"/>
      <c r="K53" s="30"/>
      <c r="L53" s="29"/>
      <c r="M53" s="30"/>
      <c r="N53" s="30"/>
      <c r="O53" s="30"/>
      <c r="P53" s="30"/>
      <c r="Q53" s="30"/>
      <c r="R53" s="30"/>
      <c r="S53" s="30"/>
      <c r="T53" s="30"/>
      <c r="U53" s="30"/>
      <c r="V53" s="31"/>
    </row>
    <row r="54" spans="1:22">
      <c r="A54" s="1" t="s">
        <v>75</v>
      </c>
      <c r="B54" s="29">
        <v>0</v>
      </c>
      <c r="C54" s="30">
        <v>0</v>
      </c>
      <c r="D54" s="30">
        <v>0</v>
      </c>
      <c r="E54" s="30">
        <v>0</v>
      </c>
      <c r="F54" s="30">
        <v>0</v>
      </c>
      <c r="G54" s="31">
        <f>SUM(WA_FINANCIAL)</f>
        <v>0</v>
      </c>
      <c r="H54" s="30"/>
      <c r="I54" s="30"/>
      <c r="J54" s="30"/>
      <c r="K54" s="30"/>
      <c r="L54" s="29"/>
      <c r="M54" s="30"/>
      <c r="N54" s="30"/>
      <c r="O54" s="30"/>
      <c r="P54" s="30"/>
      <c r="Q54" s="30"/>
      <c r="R54" s="30"/>
      <c r="S54" s="30"/>
      <c r="T54" s="30"/>
      <c r="U54" s="30"/>
      <c r="V54" s="31"/>
    </row>
    <row r="55" spans="1:22">
      <c r="A55" s="1" t="s">
        <v>76</v>
      </c>
      <c r="B55" s="29">
        <v>0</v>
      </c>
      <c r="C55" s="30">
        <v>0</v>
      </c>
      <c r="D55" s="30">
        <v>0</v>
      </c>
      <c r="E55" s="30">
        <v>0</v>
      </c>
      <c r="F55" s="30">
        <v>0</v>
      </c>
      <c r="G55" s="31">
        <f>SUM(WV_FINANCIAL)</f>
        <v>0</v>
      </c>
      <c r="H55" s="30"/>
      <c r="I55" s="30"/>
      <c r="J55" s="30"/>
      <c r="K55" s="30"/>
      <c r="L55" s="29"/>
      <c r="M55" s="30"/>
      <c r="N55" s="30"/>
      <c r="O55" s="30"/>
      <c r="P55" s="30"/>
      <c r="Q55" s="30"/>
      <c r="R55" s="30"/>
      <c r="S55" s="30"/>
      <c r="T55" s="30"/>
      <c r="U55" s="30"/>
      <c r="V55" s="31"/>
    </row>
    <row r="56" spans="1:22">
      <c r="A56" s="1" t="s">
        <v>77</v>
      </c>
      <c r="B56" s="29">
        <v>0</v>
      </c>
      <c r="C56" s="30">
        <v>0</v>
      </c>
      <c r="D56" s="30">
        <v>0</v>
      </c>
      <c r="E56" s="30">
        <v>0</v>
      </c>
      <c r="F56" s="30">
        <v>0</v>
      </c>
      <c r="G56" s="31">
        <f>SUM(WI_FINANCIAL)</f>
        <v>0</v>
      </c>
      <c r="H56" s="30"/>
      <c r="I56" s="30"/>
      <c r="J56" s="30"/>
      <c r="K56" s="30"/>
      <c r="L56" s="29"/>
      <c r="M56" s="30"/>
      <c r="N56" s="30"/>
      <c r="O56" s="30"/>
      <c r="P56" s="30"/>
      <c r="Q56" s="30"/>
      <c r="R56" s="30"/>
      <c r="S56" s="30"/>
      <c r="T56" s="30"/>
      <c r="U56" s="30"/>
      <c r="V56" s="31"/>
    </row>
    <row r="57" spans="1:22">
      <c r="A57" s="1" t="s">
        <v>78</v>
      </c>
      <c r="B57" s="29">
        <v>0</v>
      </c>
      <c r="C57" s="30">
        <v>0</v>
      </c>
      <c r="D57" s="30">
        <v>0</v>
      </c>
      <c r="E57" s="30">
        <v>0</v>
      </c>
      <c r="F57" s="30">
        <v>0</v>
      </c>
      <c r="G57" s="31">
        <f>SUM(WY_FINANCIAL)</f>
        <v>0</v>
      </c>
      <c r="H57" s="30"/>
      <c r="I57" s="30"/>
      <c r="J57" s="30"/>
      <c r="K57" s="30"/>
      <c r="L57" s="29"/>
      <c r="M57" s="30"/>
      <c r="N57" s="30"/>
      <c r="O57" s="30"/>
      <c r="P57" s="30"/>
      <c r="Q57" s="30"/>
      <c r="R57" s="30"/>
      <c r="S57" s="30"/>
      <c r="T57" s="30"/>
      <c r="U57" s="30"/>
      <c r="V57" s="31"/>
    </row>
    <row r="58" spans="1:22">
      <c r="A58" s="1" t="s">
        <v>79</v>
      </c>
      <c r="B58" s="29">
        <v>0</v>
      </c>
      <c r="C58" s="30">
        <v>0</v>
      </c>
      <c r="D58" s="30">
        <v>0</v>
      </c>
      <c r="E58" s="30">
        <v>0</v>
      </c>
      <c r="F58" s="30">
        <v>0</v>
      </c>
      <c r="G58" s="31">
        <f>SUM(OT_FINANCIAL)</f>
        <v>0</v>
      </c>
      <c r="H58" s="30"/>
      <c r="I58" s="30"/>
      <c r="J58" s="30"/>
      <c r="K58" s="30"/>
      <c r="L58" s="29"/>
      <c r="M58" s="30"/>
      <c r="N58" s="30"/>
      <c r="O58" s="30"/>
      <c r="P58" s="30"/>
      <c r="Q58" s="30"/>
      <c r="R58" s="30"/>
      <c r="S58" s="30"/>
      <c r="T58" s="30"/>
      <c r="U58" s="30"/>
      <c r="V58" s="31"/>
    </row>
    <row r="59" spans="1:22">
      <c r="B59" s="29"/>
      <c r="C59" s="30"/>
      <c r="D59" s="30"/>
      <c r="E59" s="30"/>
      <c r="F59" s="30"/>
      <c r="G59" s="31"/>
      <c r="H59" s="30"/>
      <c r="I59" s="30"/>
      <c r="J59" s="30"/>
      <c r="K59" s="30"/>
      <c r="L59" s="29"/>
      <c r="M59" s="30"/>
      <c r="N59" s="30"/>
      <c r="O59" s="30"/>
      <c r="P59" s="30"/>
      <c r="Q59" s="30"/>
      <c r="R59" s="30"/>
      <c r="S59" s="30"/>
      <c r="T59" s="30"/>
      <c r="U59" s="30"/>
      <c r="V59" s="31"/>
    </row>
    <row r="60" spans="1:22">
      <c r="A60" s="1" t="s">
        <v>8</v>
      </c>
      <c r="B60" s="29">
        <f>SUM(LIFE)</f>
        <v>2137779.3229980012</v>
      </c>
      <c r="C60" s="30">
        <f>SUM(ALLOCATED)</f>
        <v>1170473.7981022638</v>
      </c>
      <c r="D60" s="30">
        <f>SUM(HEALTH)</f>
        <v>10279.638899735133</v>
      </c>
      <c r="E60" s="30">
        <f>SUM(UNALLOCATED)</f>
        <v>0</v>
      </c>
      <c r="F60" s="30">
        <f>SUM(LTC)</f>
        <v>0</v>
      </c>
      <c r="G60" s="31">
        <f>SUM(ALL_BLOCKS)</f>
        <v>3318532.7600000002</v>
      </c>
      <c r="H60" s="30"/>
      <c r="I60" s="30"/>
      <c r="J60" s="30"/>
      <c r="K60" s="30"/>
      <c r="L60" s="29">
        <f>SUM(LIFE_CALLED)</f>
        <v>2800000</v>
      </c>
      <c r="M60" s="30">
        <f>SUM(LIFE_REFUNDED)</f>
        <v>0</v>
      </c>
      <c r="N60" s="30"/>
      <c r="O60" s="30">
        <f>SUM(ALLOC_CALLED)</f>
        <v>568170</v>
      </c>
      <c r="P60" s="30">
        <f>SUM(ALLOC_REFUNDED)</f>
        <v>0</v>
      </c>
      <c r="Q60" s="30"/>
      <c r="R60" s="30">
        <f>SUM(HEALTH_CALLED)</f>
        <v>13000</v>
      </c>
      <c r="S60" s="30">
        <f>SUM(HEALTH_REFUNDED)</f>
        <v>0</v>
      </c>
      <c r="T60" s="30"/>
      <c r="U60" s="30">
        <f>SUM(UNALLOC_CALLED)</f>
        <v>0</v>
      </c>
      <c r="V60" s="31">
        <f>SUM(UNALLOC_REFUNDED)</f>
        <v>0</v>
      </c>
    </row>
    <row r="61" spans="1:22" ht="5.0999999999999996" customHeight="1">
      <c r="B61" s="8"/>
      <c r="G61" s="11"/>
      <c r="L61" s="8"/>
      <c r="V61" s="11"/>
    </row>
    <row r="62" spans="1:22">
      <c r="B62" s="8"/>
      <c r="G62" s="11"/>
      <c r="L62" s="122" t="s">
        <v>80</v>
      </c>
      <c r="M62" s="123"/>
      <c r="N62" s="123"/>
      <c r="O62" s="123"/>
      <c r="P62" s="123"/>
      <c r="Q62" s="123"/>
      <c r="R62" s="123"/>
      <c r="S62" s="123"/>
      <c r="T62" s="123"/>
      <c r="U62" s="123"/>
      <c r="V62" s="124"/>
    </row>
    <row r="63" spans="1:22">
      <c r="B63" s="8"/>
      <c r="G63" s="11"/>
      <c r="L63" s="125"/>
      <c r="M63" s="123"/>
      <c r="N63" s="123"/>
      <c r="O63" s="123"/>
      <c r="P63" s="123"/>
      <c r="Q63" s="123"/>
      <c r="R63" s="123"/>
      <c r="S63" s="123"/>
      <c r="T63" s="123"/>
      <c r="U63" s="123"/>
      <c r="V63" s="124"/>
    </row>
    <row r="64" spans="1:22">
      <c r="B64" s="10"/>
      <c r="C64" s="7"/>
      <c r="D64" s="7"/>
      <c r="E64" s="7"/>
      <c r="F64" s="7"/>
      <c r="G64" s="13"/>
      <c r="L64" s="126"/>
      <c r="M64" s="127"/>
      <c r="N64" s="127"/>
      <c r="O64" s="127"/>
      <c r="P64" s="127"/>
      <c r="Q64" s="127"/>
      <c r="R64" s="127"/>
      <c r="S64" s="127"/>
      <c r="T64" s="127"/>
      <c r="U64" s="127"/>
      <c r="V64" s="128"/>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V64"/>
  <sheetViews>
    <sheetView zoomScale="75" workbookViewId="0">
      <selection sqref="A1:XFD1048576"/>
    </sheetView>
  </sheetViews>
  <sheetFormatPr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129" t="s">
        <v>89</v>
      </c>
      <c r="B1" s="123"/>
      <c r="C1" s="123"/>
      <c r="D1" s="123"/>
      <c r="E1" s="123"/>
      <c r="F1" s="123"/>
      <c r="G1" s="123"/>
    </row>
    <row r="3" spans="1:22">
      <c r="B3" s="130" t="s">
        <v>1</v>
      </c>
      <c r="C3" s="131"/>
      <c r="D3" s="131"/>
      <c r="E3" s="131"/>
      <c r="F3" s="131"/>
      <c r="G3" s="132"/>
      <c r="L3" s="133" t="s">
        <v>2</v>
      </c>
      <c r="M3" s="134"/>
      <c r="N3" s="134"/>
      <c r="O3" s="134"/>
      <c r="P3" s="134"/>
      <c r="Q3" s="134"/>
      <c r="R3" s="134"/>
      <c r="S3" s="134"/>
      <c r="T3" s="134"/>
      <c r="U3" s="134"/>
      <c r="V3" s="135"/>
    </row>
    <row r="4" spans="1:22">
      <c r="B4" s="8"/>
      <c r="G4" s="11"/>
      <c r="L4" s="136" t="s">
        <v>3</v>
      </c>
      <c r="M4" s="137"/>
      <c r="N4" s="4"/>
      <c r="O4" s="138" t="s">
        <v>4</v>
      </c>
      <c r="P4" s="137"/>
      <c r="Q4" s="4"/>
      <c r="R4" s="138" t="s">
        <v>5</v>
      </c>
      <c r="S4" s="137"/>
      <c r="T4" s="4"/>
      <c r="U4" s="138" t="s">
        <v>6</v>
      </c>
      <c r="V4" s="139"/>
    </row>
    <row r="5" spans="1:22" ht="60" customHeight="1">
      <c r="B5" s="9" t="s">
        <v>3</v>
      </c>
      <c r="C5" s="5" t="s">
        <v>4</v>
      </c>
      <c r="D5" s="5" t="s">
        <v>5</v>
      </c>
      <c r="E5" s="5" t="s">
        <v>6</v>
      </c>
      <c r="F5" s="5" t="s">
        <v>7</v>
      </c>
      <c r="G5" s="12" t="s">
        <v>8</v>
      </c>
      <c r="L5" s="15" t="s">
        <v>9</v>
      </c>
      <c r="M5" s="14" t="s">
        <v>10</v>
      </c>
      <c r="N5" s="14"/>
      <c r="O5" s="14" t="s">
        <v>9</v>
      </c>
      <c r="P5" s="14" t="s">
        <v>10</v>
      </c>
      <c r="Q5" s="14"/>
      <c r="R5" s="14" t="s">
        <v>9</v>
      </c>
      <c r="S5" s="14" t="s">
        <v>10</v>
      </c>
      <c r="T5" s="14"/>
      <c r="U5" s="14" t="s">
        <v>9</v>
      </c>
      <c r="V5" s="16" t="s">
        <v>10</v>
      </c>
    </row>
    <row r="6" spans="1:22">
      <c r="A6" s="1" t="s">
        <v>11</v>
      </c>
      <c r="B6" s="29">
        <v>0</v>
      </c>
      <c r="C6" s="30">
        <v>0</v>
      </c>
      <c r="D6" s="30">
        <v>0</v>
      </c>
      <c r="E6" s="30">
        <v>0</v>
      </c>
      <c r="F6" s="30">
        <v>0</v>
      </c>
      <c r="G6" s="31">
        <f>SUM(AL_FINANCIAL)</f>
        <v>0</v>
      </c>
      <c r="H6" s="30"/>
      <c r="I6" s="30"/>
      <c r="J6" s="30"/>
      <c r="K6" s="30"/>
      <c r="L6" s="29"/>
      <c r="M6" s="30"/>
      <c r="N6" s="30"/>
      <c r="O6" s="30"/>
      <c r="P6" s="30"/>
      <c r="Q6" s="30"/>
      <c r="R6" s="30"/>
      <c r="S6" s="30"/>
      <c r="T6" s="30"/>
      <c r="U6" s="30"/>
      <c r="V6" s="31"/>
    </row>
    <row r="7" spans="1:22">
      <c r="A7" s="1" t="s">
        <v>12</v>
      </c>
      <c r="B7" s="29">
        <v>0</v>
      </c>
      <c r="C7" s="30">
        <v>0</v>
      </c>
      <c r="D7" s="30">
        <v>0</v>
      </c>
      <c r="E7" s="30">
        <v>0</v>
      </c>
      <c r="F7" s="30">
        <v>0</v>
      </c>
      <c r="G7" s="31">
        <f>SUM(AK_FINANCIAL)</f>
        <v>0</v>
      </c>
      <c r="H7" s="30"/>
      <c r="I7" s="32"/>
      <c r="J7" s="33"/>
      <c r="K7" s="30"/>
      <c r="L7" s="29"/>
      <c r="M7" s="30"/>
      <c r="N7" s="30"/>
      <c r="O7" s="30"/>
      <c r="P7" s="30"/>
      <c r="Q7" s="30"/>
      <c r="R7" s="30"/>
      <c r="S7" s="30"/>
      <c r="T7" s="30"/>
      <c r="U7" s="30"/>
      <c r="V7" s="31"/>
    </row>
    <row r="8" spans="1:22">
      <c r="A8" s="1" t="s">
        <v>13</v>
      </c>
      <c r="B8" s="29">
        <v>292195.74565897021</v>
      </c>
      <c r="C8" s="30">
        <v>3162530.468816313</v>
      </c>
      <c r="D8" s="30">
        <v>-13983.454475283674</v>
      </c>
      <c r="E8" s="30">
        <v>0</v>
      </c>
      <c r="F8" s="30">
        <v>0</v>
      </c>
      <c r="G8" s="31">
        <f>SUM(AZ_FINANCIAL)</f>
        <v>3440742.76</v>
      </c>
      <c r="H8" s="30"/>
      <c r="I8" s="34" t="s">
        <v>14</v>
      </c>
      <c r="J8" s="35"/>
      <c r="K8" s="30"/>
      <c r="L8" s="29">
        <v>0</v>
      </c>
      <c r="M8" s="30">
        <v>0</v>
      </c>
      <c r="N8" s="30"/>
      <c r="O8" s="30">
        <v>5266318</v>
      </c>
      <c r="P8" s="30">
        <v>0</v>
      </c>
      <c r="Q8" s="30"/>
      <c r="R8" s="30">
        <v>10907</v>
      </c>
      <c r="S8" s="30">
        <v>0</v>
      </c>
      <c r="T8" s="30"/>
      <c r="U8" s="30">
        <v>0</v>
      </c>
      <c r="V8" s="31">
        <v>0</v>
      </c>
    </row>
    <row r="9" spans="1:22">
      <c r="A9" s="1" t="s">
        <v>15</v>
      </c>
      <c r="B9" s="29">
        <v>0</v>
      </c>
      <c r="C9" s="30">
        <v>0</v>
      </c>
      <c r="D9" s="30">
        <v>0</v>
      </c>
      <c r="E9" s="30">
        <v>0</v>
      </c>
      <c r="F9" s="30">
        <v>0</v>
      </c>
      <c r="G9" s="31">
        <f>SUM(AR_FINANCIAL)</f>
        <v>0</v>
      </c>
      <c r="H9" s="30"/>
      <c r="I9" s="34"/>
      <c r="J9" s="35"/>
      <c r="K9" s="30"/>
      <c r="L9" s="29"/>
      <c r="M9" s="30"/>
      <c r="N9" s="30"/>
      <c r="O9" s="30"/>
      <c r="P9" s="30"/>
      <c r="Q9" s="30"/>
      <c r="R9" s="30"/>
      <c r="S9" s="30"/>
      <c r="T9" s="30"/>
      <c r="U9" s="30"/>
      <c r="V9" s="31"/>
    </row>
    <row r="10" spans="1:22">
      <c r="A10" s="1" t="s">
        <v>16</v>
      </c>
      <c r="B10" s="29">
        <v>0</v>
      </c>
      <c r="C10" s="30">
        <v>0</v>
      </c>
      <c r="D10" s="30">
        <v>0</v>
      </c>
      <c r="E10" s="30">
        <v>0</v>
      </c>
      <c r="F10" s="30">
        <v>0</v>
      </c>
      <c r="G10" s="31">
        <f>SUM(CA_FINANCIAL)</f>
        <v>0</v>
      </c>
      <c r="H10" s="30"/>
      <c r="I10" s="34" t="s">
        <v>17</v>
      </c>
      <c r="J10" s="35">
        <v>100984376</v>
      </c>
      <c r="K10" s="30"/>
      <c r="L10" s="29"/>
      <c r="M10" s="30"/>
      <c r="N10" s="30"/>
      <c r="O10" s="30"/>
      <c r="P10" s="30"/>
      <c r="Q10" s="30"/>
      <c r="R10" s="30"/>
      <c r="S10" s="30"/>
      <c r="T10" s="30"/>
      <c r="U10" s="30"/>
      <c r="V10" s="31"/>
    </row>
    <row r="11" spans="1:22">
      <c r="A11" s="1" t="s">
        <v>18</v>
      </c>
      <c r="B11" s="29">
        <v>0</v>
      </c>
      <c r="C11" s="30">
        <v>0</v>
      </c>
      <c r="D11" s="30">
        <v>0</v>
      </c>
      <c r="E11" s="30">
        <v>0</v>
      </c>
      <c r="F11" s="30">
        <v>0</v>
      </c>
      <c r="G11" s="31">
        <f>SUM(CO_FINANCIAL)</f>
        <v>0</v>
      </c>
      <c r="H11" s="30"/>
      <c r="I11" s="34"/>
      <c r="J11" s="35"/>
      <c r="K11" s="30"/>
      <c r="L11" s="29"/>
      <c r="M11" s="30"/>
      <c r="N11" s="30"/>
      <c r="O11" s="30"/>
      <c r="P11" s="30"/>
      <c r="Q11" s="30"/>
      <c r="R11" s="30"/>
      <c r="S11" s="30"/>
      <c r="T11" s="30"/>
      <c r="U11" s="30"/>
      <c r="V11" s="31"/>
    </row>
    <row r="12" spans="1:22">
      <c r="A12" s="1" t="s">
        <v>19</v>
      </c>
      <c r="B12" s="29">
        <v>0</v>
      </c>
      <c r="C12" s="30">
        <v>0</v>
      </c>
      <c r="D12" s="30">
        <v>0</v>
      </c>
      <c r="E12" s="30">
        <v>0</v>
      </c>
      <c r="F12" s="30">
        <v>0</v>
      </c>
      <c r="G12" s="31">
        <f>SUM(CT_FINANCIAL)</f>
        <v>0</v>
      </c>
      <c r="H12" s="30"/>
      <c r="I12" s="34" t="s">
        <v>20</v>
      </c>
      <c r="J12" s="35"/>
      <c r="K12" s="30"/>
      <c r="L12" s="29"/>
      <c r="M12" s="30"/>
      <c r="N12" s="30"/>
      <c r="O12" s="30"/>
      <c r="P12" s="30"/>
      <c r="Q12" s="30"/>
      <c r="R12" s="30"/>
      <c r="S12" s="30"/>
      <c r="T12" s="30"/>
      <c r="U12" s="30"/>
      <c r="V12" s="31"/>
    </row>
    <row r="13" spans="1:22">
      <c r="A13" s="1" t="s">
        <v>21</v>
      </c>
      <c r="B13" s="29">
        <v>0</v>
      </c>
      <c r="C13" s="30">
        <v>0</v>
      </c>
      <c r="D13" s="30">
        <v>0</v>
      </c>
      <c r="E13" s="30">
        <v>0</v>
      </c>
      <c r="F13" s="30">
        <v>0</v>
      </c>
      <c r="G13" s="31">
        <f>SUM(DE_FINANCIAL)</f>
        <v>0</v>
      </c>
      <c r="H13" s="30"/>
      <c r="I13" s="34" t="s">
        <v>22</v>
      </c>
      <c r="J13" s="35">
        <v>15711384</v>
      </c>
      <c r="K13" s="30"/>
      <c r="L13" s="29"/>
      <c r="M13" s="30"/>
      <c r="N13" s="30"/>
      <c r="O13" s="30"/>
      <c r="P13" s="30"/>
      <c r="Q13" s="30"/>
      <c r="R13" s="30"/>
      <c r="S13" s="30"/>
      <c r="T13" s="30"/>
      <c r="U13" s="30"/>
      <c r="V13" s="31"/>
    </row>
    <row r="14" spans="1:22">
      <c r="A14" s="1" t="s">
        <v>23</v>
      </c>
      <c r="B14" s="29">
        <v>0</v>
      </c>
      <c r="C14" s="30">
        <v>0</v>
      </c>
      <c r="D14" s="30">
        <v>0</v>
      </c>
      <c r="E14" s="30">
        <v>0</v>
      </c>
      <c r="F14" s="30">
        <v>0</v>
      </c>
      <c r="G14" s="31">
        <f>SUM(DC_FINANCIAL)</f>
        <v>0</v>
      </c>
      <c r="H14" s="30"/>
      <c r="I14" s="34" t="s">
        <v>24</v>
      </c>
      <c r="J14" s="35">
        <v>1007803.02</v>
      </c>
      <c r="K14" s="30"/>
      <c r="L14" s="29"/>
      <c r="M14" s="30"/>
      <c r="N14" s="30"/>
      <c r="O14" s="30"/>
      <c r="P14" s="30"/>
      <c r="Q14" s="30"/>
      <c r="R14" s="30"/>
      <c r="S14" s="30"/>
      <c r="T14" s="30"/>
      <c r="U14" s="30"/>
      <c r="V14" s="31"/>
    </row>
    <row r="15" spans="1:22">
      <c r="A15" s="1" t="s">
        <v>25</v>
      </c>
      <c r="B15" s="29">
        <v>0</v>
      </c>
      <c r="C15" s="30">
        <v>0</v>
      </c>
      <c r="D15" s="30">
        <v>0</v>
      </c>
      <c r="E15" s="30">
        <v>0</v>
      </c>
      <c r="F15" s="30">
        <v>0</v>
      </c>
      <c r="G15" s="31">
        <f>SUM(FL_FINANCIAL)</f>
        <v>0</v>
      </c>
      <c r="H15" s="30"/>
      <c r="I15" s="34" t="s">
        <v>26</v>
      </c>
      <c r="J15" s="35">
        <v>776736.9800000001</v>
      </c>
      <c r="K15" s="30"/>
      <c r="L15" s="29"/>
      <c r="M15" s="30"/>
      <c r="N15" s="30"/>
      <c r="O15" s="30"/>
      <c r="P15" s="30"/>
      <c r="Q15" s="30"/>
      <c r="R15" s="30"/>
      <c r="S15" s="30"/>
      <c r="T15" s="30"/>
      <c r="U15" s="30"/>
      <c r="V15" s="31"/>
    </row>
    <row r="16" spans="1:22">
      <c r="A16" s="1" t="s">
        <v>27</v>
      </c>
      <c r="B16" s="29">
        <v>0</v>
      </c>
      <c r="C16" s="30">
        <v>0</v>
      </c>
      <c r="D16" s="30">
        <v>0</v>
      </c>
      <c r="E16" s="30">
        <v>0</v>
      </c>
      <c r="F16" s="30">
        <v>0</v>
      </c>
      <c r="G16" s="31">
        <f>SUM(GA_FINANCIAL)</f>
        <v>0</v>
      </c>
      <c r="H16" s="30"/>
      <c r="I16" s="34" t="s">
        <v>28</v>
      </c>
      <c r="J16" s="35">
        <v>0</v>
      </c>
      <c r="K16" s="30"/>
      <c r="L16" s="29"/>
      <c r="M16" s="30"/>
      <c r="N16" s="30"/>
      <c r="O16" s="30"/>
      <c r="P16" s="30"/>
      <c r="Q16" s="30"/>
      <c r="R16" s="30"/>
      <c r="S16" s="30"/>
      <c r="T16" s="30"/>
      <c r="U16" s="30"/>
      <c r="V16" s="31"/>
    </row>
    <row r="17" spans="1:22">
      <c r="A17" s="1" t="s">
        <v>29</v>
      </c>
      <c r="B17" s="29">
        <v>0</v>
      </c>
      <c r="C17" s="30">
        <v>0</v>
      </c>
      <c r="D17" s="30">
        <v>0</v>
      </c>
      <c r="E17" s="30">
        <v>0</v>
      </c>
      <c r="F17" s="30">
        <v>0</v>
      </c>
      <c r="G17" s="31">
        <f>SUM(HI_FINANCIAL)</f>
        <v>0</v>
      </c>
      <c r="H17" s="30"/>
      <c r="I17" s="34"/>
      <c r="J17" s="35"/>
      <c r="K17" s="30"/>
      <c r="L17" s="29"/>
      <c r="M17" s="30"/>
      <c r="N17" s="30"/>
      <c r="O17" s="30"/>
      <c r="P17" s="30"/>
      <c r="Q17" s="30"/>
      <c r="R17" s="30"/>
      <c r="S17" s="30"/>
      <c r="T17" s="30"/>
      <c r="U17" s="30"/>
      <c r="V17" s="31"/>
    </row>
    <row r="18" spans="1:22">
      <c r="A18" s="1" t="s">
        <v>30</v>
      </c>
      <c r="B18" s="29">
        <v>0</v>
      </c>
      <c r="C18" s="30">
        <v>0</v>
      </c>
      <c r="D18" s="30">
        <v>0</v>
      </c>
      <c r="E18" s="30">
        <v>0</v>
      </c>
      <c r="F18" s="30">
        <v>0</v>
      </c>
      <c r="G18" s="31">
        <f>SUM(ID_FINANCIAL)</f>
        <v>0</v>
      </c>
      <c r="H18" s="30"/>
      <c r="I18" s="34" t="s">
        <v>31</v>
      </c>
      <c r="J18" s="35"/>
      <c r="K18" s="30"/>
      <c r="L18" s="29"/>
      <c r="M18" s="30"/>
      <c r="N18" s="30"/>
      <c r="O18" s="30"/>
      <c r="P18" s="30"/>
      <c r="Q18" s="30"/>
      <c r="R18" s="30"/>
      <c r="S18" s="30"/>
      <c r="T18" s="30"/>
      <c r="U18" s="30"/>
      <c r="V18" s="31"/>
    </row>
    <row r="19" spans="1:22">
      <c r="A19" s="1" t="s">
        <v>32</v>
      </c>
      <c r="B19" s="29">
        <v>1472917.5463450828</v>
      </c>
      <c r="C19" s="30">
        <v>27571943.965317987</v>
      </c>
      <c r="D19" s="30">
        <v>-104763.61166306857</v>
      </c>
      <c r="E19" s="30">
        <v>0</v>
      </c>
      <c r="F19" s="30">
        <v>0</v>
      </c>
      <c r="G19" s="31">
        <f>SUM(IL_FINANCIAL)</f>
        <v>28940097.899999999</v>
      </c>
      <c r="H19" s="30"/>
      <c r="I19" s="34" t="s">
        <v>33</v>
      </c>
      <c r="J19" s="35">
        <v>31395970.34</v>
      </c>
      <c r="K19" s="30"/>
      <c r="L19" s="29">
        <v>4451000</v>
      </c>
      <c r="M19" s="30">
        <v>3470000</v>
      </c>
      <c r="N19" s="30"/>
      <c r="O19" s="30">
        <v>59749000</v>
      </c>
      <c r="P19" s="30">
        <v>39945000</v>
      </c>
      <c r="Q19" s="30"/>
      <c r="R19" s="30">
        <v>1300000</v>
      </c>
      <c r="S19" s="30">
        <v>1500000</v>
      </c>
      <c r="T19" s="30"/>
      <c r="U19" s="30">
        <v>8000000</v>
      </c>
      <c r="V19" s="31">
        <v>2700000</v>
      </c>
    </row>
    <row r="20" spans="1:22">
      <c r="A20" s="1" t="s">
        <v>34</v>
      </c>
      <c r="B20" s="29">
        <v>6576.2247838514159</v>
      </c>
      <c r="C20" s="30">
        <v>555216.63375590381</v>
      </c>
      <c r="D20" s="30">
        <v>418.14146024488764</v>
      </c>
      <c r="E20" s="30">
        <v>0</v>
      </c>
      <c r="F20" s="30">
        <v>0</v>
      </c>
      <c r="G20" s="31">
        <f>SUM(IN_FINANCIAL)</f>
        <v>562211.00000000012</v>
      </c>
      <c r="H20" s="30"/>
      <c r="I20" s="34" t="s">
        <v>35</v>
      </c>
      <c r="J20" s="35">
        <v>15711384</v>
      </c>
      <c r="K20" s="30"/>
      <c r="L20" s="29"/>
      <c r="M20" s="30"/>
      <c r="N20" s="30"/>
      <c r="O20" s="30"/>
      <c r="P20" s="30"/>
      <c r="Q20" s="30"/>
      <c r="R20" s="30"/>
      <c r="S20" s="30"/>
      <c r="T20" s="30"/>
      <c r="U20" s="30"/>
      <c r="V20" s="31"/>
    </row>
    <row r="21" spans="1:22">
      <c r="A21" s="1" t="s">
        <v>36</v>
      </c>
      <c r="B21" s="29">
        <v>0</v>
      </c>
      <c r="C21" s="30">
        <v>0</v>
      </c>
      <c r="D21" s="30">
        <v>0</v>
      </c>
      <c r="E21" s="30">
        <v>0</v>
      </c>
      <c r="F21" s="30">
        <v>0</v>
      </c>
      <c r="G21" s="31">
        <f>SUM(IA_FINANCIAL)</f>
        <v>0</v>
      </c>
      <c r="H21" s="30"/>
      <c r="I21" s="34" t="s">
        <v>37</v>
      </c>
      <c r="J21" s="35"/>
      <c r="K21" s="30"/>
      <c r="L21" s="29"/>
      <c r="M21" s="30"/>
      <c r="N21" s="30"/>
      <c r="O21" s="30"/>
      <c r="P21" s="30"/>
      <c r="Q21" s="30"/>
      <c r="R21" s="30"/>
      <c r="S21" s="30"/>
      <c r="T21" s="30"/>
      <c r="U21" s="30"/>
      <c r="V21" s="31"/>
    </row>
    <row r="22" spans="1:22">
      <c r="A22" s="1" t="s">
        <v>38</v>
      </c>
      <c r="B22" s="29">
        <v>0</v>
      </c>
      <c r="C22" s="30">
        <v>0</v>
      </c>
      <c r="D22" s="30">
        <v>0</v>
      </c>
      <c r="E22" s="30">
        <v>0</v>
      </c>
      <c r="F22" s="30">
        <v>0</v>
      </c>
      <c r="G22" s="31">
        <f>SUM(KS_FINANCIAL)</f>
        <v>0</v>
      </c>
      <c r="H22" s="30"/>
      <c r="I22" s="34" t="s">
        <v>39</v>
      </c>
      <c r="J22" s="35">
        <v>0</v>
      </c>
      <c r="K22" s="30"/>
      <c r="L22" s="29"/>
      <c r="M22" s="30"/>
      <c r="N22" s="30"/>
      <c r="O22" s="30"/>
      <c r="P22" s="30"/>
      <c r="Q22" s="30"/>
      <c r="R22" s="30"/>
      <c r="S22" s="30"/>
      <c r="T22" s="30"/>
      <c r="U22" s="30"/>
      <c r="V22" s="31"/>
    </row>
    <row r="23" spans="1:22">
      <c r="A23" s="1" t="s">
        <v>40</v>
      </c>
      <c r="B23" s="29">
        <v>0</v>
      </c>
      <c r="C23" s="30">
        <v>0</v>
      </c>
      <c r="D23" s="30">
        <v>0</v>
      </c>
      <c r="E23" s="30">
        <v>0</v>
      </c>
      <c r="F23" s="30">
        <v>0</v>
      </c>
      <c r="G23" s="31">
        <f>SUM(KY_FINANCIAL)</f>
        <v>0</v>
      </c>
      <c r="H23" s="30"/>
      <c r="I23" s="34" t="s">
        <v>41</v>
      </c>
      <c r="J23" s="35"/>
      <c r="K23" s="30"/>
      <c r="L23" s="29"/>
      <c r="M23" s="30"/>
      <c r="N23" s="30"/>
      <c r="O23" s="30"/>
      <c r="P23" s="30"/>
      <c r="Q23" s="30"/>
      <c r="R23" s="30"/>
      <c r="S23" s="30"/>
      <c r="T23" s="30"/>
      <c r="U23" s="30"/>
      <c r="V23" s="31"/>
    </row>
    <row r="24" spans="1:22">
      <c r="A24" s="1" t="s">
        <v>42</v>
      </c>
      <c r="B24" s="29">
        <v>0</v>
      </c>
      <c r="C24" s="30">
        <v>0</v>
      </c>
      <c r="D24" s="30">
        <v>0</v>
      </c>
      <c r="E24" s="30">
        <v>0</v>
      </c>
      <c r="F24" s="30">
        <v>0</v>
      </c>
      <c r="G24" s="31">
        <f>SUM(LA_FINANCIAL)</f>
        <v>0</v>
      </c>
      <c r="H24" s="30"/>
      <c r="I24" s="34" t="s">
        <v>43</v>
      </c>
      <c r="J24" s="35">
        <v>38146878</v>
      </c>
      <c r="K24" s="30"/>
      <c r="L24" s="29"/>
      <c r="M24" s="30"/>
      <c r="N24" s="30"/>
      <c r="O24" s="30"/>
      <c r="P24" s="30"/>
      <c r="Q24" s="30"/>
      <c r="R24" s="30"/>
      <c r="S24" s="30"/>
      <c r="T24" s="30"/>
      <c r="U24" s="30"/>
      <c r="V24" s="31"/>
    </row>
    <row r="25" spans="1:22">
      <c r="A25" s="1" t="s">
        <v>44</v>
      </c>
      <c r="B25" s="29">
        <v>0</v>
      </c>
      <c r="C25" s="30">
        <v>0</v>
      </c>
      <c r="D25" s="30">
        <v>0</v>
      </c>
      <c r="E25" s="30">
        <v>0</v>
      </c>
      <c r="F25" s="30">
        <v>0</v>
      </c>
      <c r="G25" s="31">
        <f>SUM(ME_FINANCIAL)</f>
        <v>0</v>
      </c>
      <c r="H25" s="30"/>
      <c r="I25" s="34"/>
      <c r="J25" s="35"/>
      <c r="K25" s="30"/>
      <c r="L25" s="29"/>
      <c r="M25" s="30"/>
      <c r="N25" s="30"/>
      <c r="O25" s="30"/>
      <c r="P25" s="30"/>
      <c r="Q25" s="30"/>
      <c r="R25" s="30"/>
      <c r="S25" s="30"/>
      <c r="T25" s="30"/>
      <c r="U25" s="30"/>
      <c r="V25" s="31"/>
    </row>
    <row r="26" spans="1:22">
      <c r="A26" s="1" t="s">
        <v>45</v>
      </c>
      <c r="B26" s="29">
        <v>0</v>
      </c>
      <c r="C26" s="30">
        <v>0</v>
      </c>
      <c r="D26" s="30">
        <v>0</v>
      </c>
      <c r="E26" s="30">
        <v>0</v>
      </c>
      <c r="F26" s="30">
        <v>0</v>
      </c>
      <c r="G26" s="31">
        <f>SUM(MD_FINANCIAL)</f>
        <v>0</v>
      </c>
      <c r="H26" s="30"/>
      <c r="I26" s="34" t="s">
        <v>46</v>
      </c>
      <c r="J26" s="35">
        <f>SUM(ADD_FINANCIAL)-SUM(LESS_FINANCIAL)</f>
        <v>33226067.659999996</v>
      </c>
      <c r="K26" s="30"/>
      <c r="L26" s="29"/>
      <c r="M26" s="30"/>
      <c r="N26" s="30"/>
      <c r="O26" s="30"/>
      <c r="P26" s="30"/>
      <c r="Q26" s="30"/>
      <c r="R26" s="30"/>
      <c r="S26" s="30"/>
      <c r="T26" s="30"/>
      <c r="U26" s="30"/>
      <c r="V26" s="31"/>
    </row>
    <row r="27" spans="1:22">
      <c r="A27" s="1" t="s">
        <v>47</v>
      </c>
      <c r="B27" s="29">
        <v>0</v>
      </c>
      <c r="C27" s="30">
        <v>0</v>
      </c>
      <c r="D27" s="30">
        <v>0</v>
      </c>
      <c r="E27" s="30">
        <v>0</v>
      </c>
      <c r="F27" s="30">
        <v>0</v>
      </c>
      <c r="G27" s="31">
        <f>SUM(MA_FINANCIAL)</f>
        <v>0</v>
      </c>
      <c r="H27" s="30"/>
      <c r="I27" s="34" t="s">
        <v>48</v>
      </c>
      <c r="J27" s="35">
        <f>SUM(ALL_BLOCKS)</f>
        <v>33226067.659999996</v>
      </c>
      <c r="K27" s="30"/>
      <c r="L27" s="29"/>
      <c r="M27" s="30"/>
      <c r="N27" s="30"/>
      <c r="O27" s="30"/>
      <c r="P27" s="30"/>
      <c r="Q27" s="30"/>
      <c r="R27" s="30"/>
      <c r="S27" s="30"/>
      <c r="T27" s="30"/>
      <c r="U27" s="30"/>
      <c r="V27" s="31"/>
    </row>
    <row r="28" spans="1:22">
      <c r="A28" s="1" t="s">
        <v>49</v>
      </c>
      <c r="B28" s="29">
        <v>0</v>
      </c>
      <c r="C28" s="30">
        <v>0</v>
      </c>
      <c r="D28" s="30">
        <v>0</v>
      </c>
      <c r="E28" s="30">
        <v>0</v>
      </c>
      <c r="F28" s="30">
        <v>0</v>
      </c>
      <c r="G28" s="31">
        <f>SUM(MI_FINANCIAL)</f>
        <v>0</v>
      </c>
      <c r="H28" s="30"/>
      <c r="I28" s="36"/>
      <c r="J28" s="37"/>
      <c r="K28" s="30"/>
      <c r="L28" s="29"/>
      <c r="M28" s="30"/>
      <c r="N28" s="30"/>
      <c r="O28" s="30"/>
      <c r="P28" s="30"/>
      <c r="Q28" s="30"/>
      <c r="R28" s="30"/>
      <c r="S28" s="30"/>
      <c r="T28" s="30"/>
      <c r="U28" s="30"/>
      <c r="V28" s="31"/>
    </row>
    <row r="29" spans="1:22">
      <c r="A29" s="1" t="s">
        <v>50</v>
      </c>
      <c r="B29" s="29">
        <v>0</v>
      </c>
      <c r="C29" s="30">
        <v>0</v>
      </c>
      <c r="D29" s="30">
        <v>0</v>
      </c>
      <c r="E29" s="30">
        <v>0</v>
      </c>
      <c r="F29" s="30">
        <v>0</v>
      </c>
      <c r="G29" s="31">
        <f>SUM(MN_FINANCIAL)</f>
        <v>0</v>
      </c>
      <c r="H29" s="30"/>
      <c r="I29" s="30"/>
      <c r="J29" s="30"/>
      <c r="K29" s="30"/>
      <c r="L29" s="29"/>
      <c r="M29" s="30"/>
      <c r="N29" s="30"/>
      <c r="O29" s="30"/>
      <c r="P29" s="30"/>
      <c r="Q29" s="30"/>
      <c r="R29" s="30"/>
      <c r="S29" s="30"/>
      <c r="T29" s="30"/>
      <c r="U29" s="30"/>
      <c r="V29" s="31"/>
    </row>
    <row r="30" spans="1:22">
      <c r="A30" s="1" t="s">
        <v>51</v>
      </c>
      <c r="B30" s="29">
        <v>0</v>
      </c>
      <c r="C30" s="30">
        <v>0</v>
      </c>
      <c r="D30" s="30">
        <v>0</v>
      </c>
      <c r="E30" s="30">
        <v>0</v>
      </c>
      <c r="F30" s="30">
        <v>0</v>
      </c>
      <c r="G30" s="31">
        <f>SUM(MS_FINANCIAL)</f>
        <v>0</v>
      </c>
      <c r="H30" s="30"/>
      <c r="I30" s="30"/>
      <c r="J30" s="30"/>
      <c r="K30" s="30"/>
      <c r="L30" s="29"/>
      <c r="M30" s="30"/>
      <c r="N30" s="30"/>
      <c r="O30" s="30"/>
      <c r="P30" s="30"/>
      <c r="Q30" s="30"/>
      <c r="R30" s="30"/>
      <c r="S30" s="30"/>
      <c r="T30" s="30"/>
      <c r="U30" s="30"/>
      <c r="V30" s="31"/>
    </row>
    <row r="31" spans="1:22">
      <c r="A31" s="1" t="s">
        <v>52</v>
      </c>
      <c r="B31" s="29">
        <v>0</v>
      </c>
      <c r="C31" s="30">
        <v>0</v>
      </c>
      <c r="D31" s="30">
        <v>0</v>
      </c>
      <c r="E31" s="30">
        <v>0</v>
      </c>
      <c r="F31" s="30">
        <v>0</v>
      </c>
      <c r="G31" s="31">
        <f>SUM(MO_FINANCIAL)</f>
        <v>0</v>
      </c>
      <c r="H31" s="30"/>
      <c r="I31" s="30"/>
      <c r="J31" s="30"/>
      <c r="K31" s="30"/>
      <c r="L31" s="29"/>
      <c r="M31" s="30"/>
      <c r="N31" s="30"/>
      <c r="O31" s="30"/>
      <c r="P31" s="30"/>
      <c r="Q31" s="30"/>
      <c r="R31" s="30"/>
      <c r="S31" s="30"/>
      <c r="T31" s="30"/>
      <c r="U31" s="30"/>
      <c r="V31" s="31"/>
    </row>
    <row r="32" spans="1:22">
      <c r="A32" s="1" t="s">
        <v>53</v>
      </c>
      <c r="B32" s="29">
        <v>0</v>
      </c>
      <c r="C32" s="30">
        <v>0</v>
      </c>
      <c r="D32" s="30">
        <v>0</v>
      </c>
      <c r="E32" s="30">
        <v>0</v>
      </c>
      <c r="F32" s="30">
        <v>0</v>
      </c>
      <c r="G32" s="31">
        <f>SUM(MT_FINANCIAL)</f>
        <v>0</v>
      </c>
      <c r="H32" s="30"/>
      <c r="I32" s="30"/>
      <c r="J32" s="30"/>
      <c r="K32" s="30"/>
      <c r="L32" s="29"/>
      <c r="M32" s="30"/>
      <c r="N32" s="30"/>
      <c r="O32" s="30"/>
      <c r="P32" s="30"/>
      <c r="Q32" s="30"/>
      <c r="R32" s="30"/>
      <c r="S32" s="30"/>
      <c r="T32" s="30"/>
      <c r="U32" s="30"/>
      <c r="V32" s="31"/>
    </row>
    <row r="33" spans="1:22">
      <c r="A33" s="1" t="s">
        <v>54</v>
      </c>
      <c r="B33" s="29">
        <v>0</v>
      </c>
      <c r="C33" s="30">
        <v>0</v>
      </c>
      <c r="D33" s="30">
        <v>0</v>
      </c>
      <c r="E33" s="30">
        <v>0</v>
      </c>
      <c r="F33" s="30">
        <v>0</v>
      </c>
      <c r="G33" s="31">
        <f>SUM(NE_FINANCIAL)</f>
        <v>0</v>
      </c>
      <c r="H33" s="30"/>
      <c r="I33" s="30"/>
      <c r="J33" s="30"/>
      <c r="K33" s="30"/>
      <c r="L33" s="29"/>
      <c r="M33" s="30"/>
      <c r="N33" s="30"/>
      <c r="O33" s="30"/>
      <c r="P33" s="30"/>
      <c r="Q33" s="30"/>
      <c r="R33" s="30"/>
      <c r="S33" s="30"/>
      <c r="T33" s="30"/>
      <c r="U33" s="30"/>
      <c r="V33" s="31"/>
    </row>
    <row r="34" spans="1:22">
      <c r="A34" s="1" t="s">
        <v>55</v>
      </c>
      <c r="B34" s="29">
        <v>0</v>
      </c>
      <c r="C34" s="30">
        <v>0</v>
      </c>
      <c r="D34" s="30">
        <v>0</v>
      </c>
      <c r="E34" s="30">
        <v>0</v>
      </c>
      <c r="F34" s="30">
        <v>0</v>
      </c>
      <c r="G34" s="31">
        <f>SUM(NV_FINANCIAL)</f>
        <v>0</v>
      </c>
      <c r="H34" s="30"/>
      <c r="I34" s="30"/>
      <c r="J34" s="30"/>
      <c r="K34" s="30"/>
      <c r="L34" s="29"/>
      <c r="M34" s="30"/>
      <c r="N34" s="30"/>
      <c r="O34" s="30"/>
      <c r="P34" s="30"/>
      <c r="Q34" s="30"/>
      <c r="R34" s="30"/>
      <c r="S34" s="30"/>
      <c r="T34" s="30"/>
      <c r="U34" s="30"/>
      <c r="V34" s="31"/>
    </row>
    <row r="35" spans="1:22">
      <c r="A35" s="1" t="s">
        <v>56</v>
      </c>
      <c r="B35" s="29">
        <v>0</v>
      </c>
      <c r="C35" s="30">
        <v>0</v>
      </c>
      <c r="D35" s="30">
        <v>0</v>
      </c>
      <c r="E35" s="30">
        <v>0</v>
      </c>
      <c r="F35" s="30">
        <v>0</v>
      </c>
      <c r="G35" s="31">
        <f>SUM(NH_FINANCIAL)</f>
        <v>0</v>
      </c>
      <c r="H35" s="30"/>
      <c r="I35" s="30"/>
      <c r="J35" s="30"/>
      <c r="K35" s="30"/>
      <c r="L35" s="29"/>
      <c r="M35" s="30"/>
      <c r="N35" s="30"/>
      <c r="O35" s="30"/>
      <c r="P35" s="30"/>
      <c r="Q35" s="30"/>
      <c r="R35" s="30"/>
      <c r="S35" s="30"/>
      <c r="T35" s="30"/>
      <c r="U35" s="30"/>
      <c r="V35" s="31"/>
    </row>
    <row r="36" spans="1:22">
      <c r="A36" s="1" t="s">
        <v>57</v>
      </c>
      <c r="B36" s="29">
        <v>0</v>
      </c>
      <c r="C36" s="30">
        <v>0</v>
      </c>
      <c r="D36" s="30">
        <v>0</v>
      </c>
      <c r="E36" s="30">
        <v>0</v>
      </c>
      <c r="F36" s="30">
        <v>0</v>
      </c>
      <c r="G36" s="31">
        <f>SUM(NJ_FINANCIAL)</f>
        <v>0</v>
      </c>
      <c r="H36" s="30"/>
      <c r="I36" s="30"/>
      <c r="J36" s="30"/>
      <c r="K36" s="30"/>
      <c r="L36" s="29"/>
      <c r="M36" s="30"/>
      <c r="N36" s="30"/>
      <c r="O36" s="30"/>
      <c r="P36" s="30"/>
      <c r="Q36" s="30"/>
      <c r="R36" s="30"/>
      <c r="S36" s="30"/>
      <c r="T36" s="30"/>
      <c r="U36" s="30"/>
      <c r="V36" s="31"/>
    </row>
    <row r="37" spans="1:22">
      <c r="A37" s="1" t="s">
        <v>58</v>
      </c>
      <c r="B37" s="29">
        <v>0</v>
      </c>
      <c r="C37" s="30">
        <v>0</v>
      </c>
      <c r="D37" s="30">
        <v>0</v>
      </c>
      <c r="E37" s="30">
        <v>0</v>
      </c>
      <c r="F37" s="30">
        <v>0</v>
      </c>
      <c r="G37" s="31">
        <f>SUM(NM_FINANCIAL)</f>
        <v>0</v>
      </c>
      <c r="H37" s="30"/>
      <c r="I37" s="30"/>
      <c r="J37" s="30"/>
      <c r="K37" s="30"/>
      <c r="L37" s="29"/>
      <c r="M37" s="30"/>
      <c r="N37" s="30"/>
      <c r="O37" s="30"/>
      <c r="P37" s="30"/>
      <c r="Q37" s="30"/>
      <c r="R37" s="30"/>
      <c r="S37" s="30"/>
      <c r="T37" s="30"/>
      <c r="U37" s="30"/>
      <c r="V37" s="31"/>
    </row>
    <row r="38" spans="1:22">
      <c r="A38" s="1" t="s">
        <v>59</v>
      </c>
      <c r="B38" s="29">
        <v>0</v>
      </c>
      <c r="C38" s="30">
        <v>0</v>
      </c>
      <c r="D38" s="30">
        <v>0</v>
      </c>
      <c r="E38" s="30">
        <v>0</v>
      </c>
      <c r="F38" s="30">
        <v>0</v>
      </c>
      <c r="G38" s="31">
        <f>SUM(NY_FINANCIAL)</f>
        <v>0</v>
      </c>
      <c r="H38" s="30"/>
      <c r="I38" s="30"/>
      <c r="J38" s="30"/>
      <c r="K38" s="30"/>
      <c r="L38" s="29"/>
      <c r="M38" s="30"/>
      <c r="N38" s="30"/>
      <c r="O38" s="30"/>
      <c r="P38" s="30"/>
      <c r="Q38" s="30"/>
      <c r="R38" s="30"/>
      <c r="S38" s="30"/>
      <c r="T38" s="30"/>
      <c r="U38" s="30"/>
      <c r="V38" s="31"/>
    </row>
    <row r="39" spans="1:22">
      <c r="A39" s="1" t="s">
        <v>60</v>
      </c>
      <c r="B39" s="29">
        <v>0</v>
      </c>
      <c r="C39" s="30">
        <v>0</v>
      </c>
      <c r="D39" s="30">
        <v>0</v>
      </c>
      <c r="E39" s="30">
        <v>0</v>
      </c>
      <c r="F39" s="30">
        <v>0</v>
      </c>
      <c r="G39" s="31">
        <f>SUM(NC_FINANCIAL)</f>
        <v>0</v>
      </c>
      <c r="H39" s="30"/>
      <c r="I39" s="30"/>
      <c r="J39" s="30"/>
      <c r="K39" s="30"/>
      <c r="L39" s="29"/>
      <c r="M39" s="30"/>
      <c r="N39" s="30"/>
      <c r="O39" s="30"/>
      <c r="P39" s="30"/>
      <c r="Q39" s="30"/>
      <c r="R39" s="30"/>
      <c r="S39" s="30"/>
      <c r="T39" s="30"/>
      <c r="U39" s="30"/>
      <c r="V39" s="31"/>
    </row>
    <row r="40" spans="1:22">
      <c r="A40" s="1" t="s">
        <v>61</v>
      </c>
      <c r="B40" s="29">
        <v>0</v>
      </c>
      <c r="C40" s="30">
        <v>0</v>
      </c>
      <c r="D40" s="30">
        <v>0</v>
      </c>
      <c r="E40" s="30">
        <v>0</v>
      </c>
      <c r="F40" s="30">
        <v>0</v>
      </c>
      <c r="G40" s="31">
        <f>SUM(ND_FINANCIAL)</f>
        <v>0</v>
      </c>
      <c r="H40" s="30"/>
      <c r="I40" s="30"/>
      <c r="J40" s="30"/>
      <c r="K40" s="30"/>
      <c r="L40" s="29"/>
      <c r="M40" s="30"/>
      <c r="N40" s="30"/>
      <c r="O40" s="30"/>
      <c r="P40" s="30"/>
      <c r="Q40" s="30"/>
      <c r="R40" s="30"/>
      <c r="S40" s="30"/>
      <c r="T40" s="30"/>
      <c r="U40" s="30"/>
      <c r="V40" s="31"/>
    </row>
    <row r="41" spans="1:22">
      <c r="A41" s="1" t="s">
        <v>62</v>
      </c>
      <c r="B41" s="29">
        <v>0</v>
      </c>
      <c r="C41" s="30">
        <v>0</v>
      </c>
      <c r="D41" s="30">
        <v>0</v>
      </c>
      <c r="E41" s="30">
        <v>0</v>
      </c>
      <c r="F41" s="30">
        <v>0</v>
      </c>
      <c r="G41" s="31">
        <f>SUM(OH_FINANCIAL)</f>
        <v>0</v>
      </c>
      <c r="H41" s="30"/>
      <c r="I41" s="30"/>
      <c r="J41" s="30"/>
      <c r="K41" s="30"/>
      <c r="L41" s="29"/>
      <c r="M41" s="30"/>
      <c r="N41" s="30"/>
      <c r="O41" s="30"/>
      <c r="P41" s="30"/>
      <c r="Q41" s="30"/>
      <c r="R41" s="30"/>
      <c r="S41" s="30"/>
      <c r="T41" s="30"/>
      <c r="U41" s="30"/>
      <c r="V41" s="31"/>
    </row>
    <row r="42" spans="1:22">
      <c r="A42" s="1" t="s">
        <v>63</v>
      </c>
      <c r="B42" s="29">
        <v>0</v>
      </c>
      <c r="C42" s="30">
        <v>0</v>
      </c>
      <c r="D42" s="30">
        <v>0</v>
      </c>
      <c r="E42" s="30">
        <v>0</v>
      </c>
      <c r="F42" s="30">
        <v>0</v>
      </c>
      <c r="G42" s="31">
        <f>SUM(OK_FINANCIAL)</f>
        <v>0</v>
      </c>
      <c r="H42" s="30"/>
      <c r="I42" s="30"/>
      <c r="J42" s="30"/>
      <c r="K42" s="30"/>
      <c r="L42" s="29"/>
      <c r="M42" s="30"/>
      <c r="N42" s="30"/>
      <c r="O42" s="30"/>
      <c r="P42" s="30"/>
      <c r="Q42" s="30"/>
      <c r="R42" s="30"/>
      <c r="S42" s="30"/>
      <c r="T42" s="30"/>
      <c r="U42" s="30"/>
      <c r="V42" s="31"/>
    </row>
    <row r="43" spans="1:22">
      <c r="A43" s="1" t="s">
        <v>64</v>
      </c>
      <c r="B43" s="29">
        <v>0</v>
      </c>
      <c r="C43" s="30">
        <v>0</v>
      </c>
      <c r="D43" s="30">
        <v>0</v>
      </c>
      <c r="E43" s="30">
        <v>0</v>
      </c>
      <c r="F43" s="30">
        <v>0</v>
      </c>
      <c r="G43" s="31">
        <f>SUM(OR_FINANCIAL)</f>
        <v>0</v>
      </c>
      <c r="H43" s="30"/>
      <c r="I43" s="30"/>
      <c r="J43" s="30"/>
      <c r="K43" s="30"/>
      <c r="L43" s="29"/>
      <c r="M43" s="30"/>
      <c r="N43" s="30"/>
      <c r="O43" s="30"/>
      <c r="P43" s="30"/>
      <c r="Q43" s="30"/>
      <c r="R43" s="30"/>
      <c r="S43" s="30"/>
      <c r="T43" s="30"/>
      <c r="U43" s="30"/>
      <c r="V43" s="31"/>
    </row>
    <row r="44" spans="1:22">
      <c r="A44" s="1" t="s">
        <v>65</v>
      </c>
      <c r="B44" s="29">
        <v>0</v>
      </c>
      <c r="C44" s="30">
        <v>0</v>
      </c>
      <c r="D44" s="30">
        <v>0</v>
      </c>
      <c r="E44" s="30">
        <v>0</v>
      </c>
      <c r="F44" s="30">
        <v>0</v>
      </c>
      <c r="G44" s="31">
        <f>SUM(PA_FINANCIAL)</f>
        <v>0</v>
      </c>
      <c r="H44" s="30"/>
      <c r="I44" s="30"/>
      <c r="J44" s="30"/>
      <c r="K44" s="30"/>
      <c r="L44" s="29"/>
      <c r="M44" s="30"/>
      <c r="N44" s="30"/>
      <c r="O44" s="30"/>
      <c r="P44" s="30"/>
      <c r="Q44" s="30"/>
      <c r="R44" s="30"/>
      <c r="S44" s="30"/>
      <c r="T44" s="30"/>
      <c r="U44" s="30"/>
      <c r="V44" s="31"/>
    </row>
    <row r="45" spans="1:22">
      <c r="A45" s="1" t="s">
        <v>66</v>
      </c>
      <c r="B45" s="29">
        <v>0</v>
      </c>
      <c r="C45" s="30">
        <v>0</v>
      </c>
      <c r="D45" s="30">
        <v>0</v>
      </c>
      <c r="E45" s="30">
        <v>0</v>
      </c>
      <c r="F45" s="30">
        <v>0</v>
      </c>
      <c r="G45" s="31">
        <f>SUM(PR_FINANCIAL)</f>
        <v>0</v>
      </c>
      <c r="H45" s="30"/>
      <c r="I45" s="30"/>
      <c r="J45" s="30"/>
      <c r="K45" s="30"/>
      <c r="L45" s="29"/>
      <c r="M45" s="30"/>
      <c r="N45" s="30"/>
      <c r="O45" s="30"/>
      <c r="P45" s="30"/>
      <c r="Q45" s="30"/>
      <c r="R45" s="30"/>
      <c r="S45" s="30"/>
      <c r="T45" s="30"/>
      <c r="U45" s="30"/>
      <c r="V45" s="31"/>
    </row>
    <row r="46" spans="1:22">
      <c r="A46" s="1" t="s">
        <v>67</v>
      </c>
      <c r="B46" s="29">
        <v>0</v>
      </c>
      <c r="C46" s="30">
        <v>0</v>
      </c>
      <c r="D46" s="30">
        <v>0</v>
      </c>
      <c r="E46" s="30">
        <v>0</v>
      </c>
      <c r="F46" s="30">
        <v>0</v>
      </c>
      <c r="G46" s="31">
        <f>SUM(RI_FINANCIAL)</f>
        <v>0</v>
      </c>
      <c r="H46" s="30"/>
      <c r="I46" s="30"/>
      <c r="J46" s="30"/>
      <c r="K46" s="30"/>
      <c r="L46" s="29"/>
      <c r="M46" s="30"/>
      <c r="N46" s="30"/>
      <c r="O46" s="30"/>
      <c r="P46" s="30"/>
      <c r="Q46" s="30"/>
      <c r="R46" s="30"/>
      <c r="S46" s="30"/>
      <c r="T46" s="30"/>
      <c r="U46" s="30"/>
      <c r="V46" s="31"/>
    </row>
    <row r="47" spans="1:22">
      <c r="A47" s="1" t="s">
        <v>68</v>
      </c>
      <c r="B47" s="29">
        <v>0</v>
      </c>
      <c r="C47" s="30">
        <v>0</v>
      </c>
      <c r="D47" s="30">
        <v>0</v>
      </c>
      <c r="E47" s="30">
        <v>0</v>
      </c>
      <c r="F47" s="30">
        <v>0</v>
      </c>
      <c r="G47" s="31">
        <f>SUM(SC_FINANCIAL)</f>
        <v>0</v>
      </c>
      <c r="H47" s="30"/>
      <c r="I47" s="30"/>
      <c r="J47" s="30"/>
      <c r="K47" s="30"/>
      <c r="L47" s="29"/>
      <c r="M47" s="30"/>
      <c r="N47" s="30"/>
      <c r="O47" s="30"/>
      <c r="P47" s="30"/>
      <c r="Q47" s="30"/>
      <c r="R47" s="30"/>
      <c r="S47" s="30"/>
      <c r="T47" s="30"/>
      <c r="U47" s="30"/>
      <c r="V47" s="31"/>
    </row>
    <row r="48" spans="1:22">
      <c r="A48" s="1" t="s">
        <v>69</v>
      </c>
      <c r="B48" s="29">
        <v>0</v>
      </c>
      <c r="C48" s="30">
        <v>3055</v>
      </c>
      <c r="D48" s="30">
        <v>0</v>
      </c>
      <c r="E48" s="30">
        <v>0</v>
      </c>
      <c r="F48" s="30">
        <v>0</v>
      </c>
      <c r="G48" s="31">
        <f>SUM(SD_FINANCIAL)</f>
        <v>3055</v>
      </c>
      <c r="H48" s="30"/>
      <c r="I48" s="30"/>
      <c r="J48" s="30"/>
      <c r="K48" s="30"/>
      <c r="L48" s="29"/>
      <c r="M48" s="30"/>
      <c r="N48" s="30"/>
      <c r="O48" s="30"/>
      <c r="P48" s="30"/>
      <c r="Q48" s="30"/>
      <c r="R48" s="30"/>
      <c r="S48" s="30"/>
      <c r="T48" s="30"/>
      <c r="U48" s="30"/>
      <c r="V48" s="31"/>
    </row>
    <row r="49" spans="1:22">
      <c r="A49" s="1" t="s">
        <v>70</v>
      </c>
      <c r="B49" s="29">
        <v>0</v>
      </c>
      <c r="C49" s="30">
        <v>0</v>
      </c>
      <c r="D49" s="30">
        <v>0</v>
      </c>
      <c r="E49" s="30">
        <v>0</v>
      </c>
      <c r="F49" s="30">
        <v>0</v>
      </c>
      <c r="G49" s="31">
        <f>SUM(TN_FINANCIAL)</f>
        <v>0</v>
      </c>
      <c r="H49" s="30"/>
      <c r="I49" s="30"/>
      <c r="J49" s="30"/>
      <c r="K49" s="30"/>
      <c r="L49" s="29"/>
      <c r="M49" s="30"/>
      <c r="N49" s="30"/>
      <c r="O49" s="30"/>
      <c r="P49" s="30"/>
      <c r="Q49" s="30"/>
      <c r="R49" s="30"/>
      <c r="S49" s="30"/>
      <c r="T49" s="30"/>
      <c r="U49" s="30"/>
      <c r="V49" s="31"/>
    </row>
    <row r="50" spans="1:22">
      <c r="A50" s="1" t="s">
        <v>71</v>
      </c>
      <c r="B50" s="29">
        <v>22198.152930566066</v>
      </c>
      <c r="C50" s="30">
        <v>257758.92027783114</v>
      </c>
      <c r="D50" s="30">
        <v>3.9267916027889713</v>
      </c>
      <c r="E50" s="30">
        <v>0</v>
      </c>
      <c r="F50" s="30">
        <v>0</v>
      </c>
      <c r="G50" s="31">
        <f>SUM(TX_FINANCIAL)</f>
        <v>279961</v>
      </c>
      <c r="H50" s="30"/>
      <c r="I50" s="30"/>
      <c r="J50" s="30"/>
      <c r="K50" s="30"/>
      <c r="L50" s="29">
        <v>8142</v>
      </c>
      <c r="M50" s="30">
        <v>4861.5120000000006</v>
      </c>
      <c r="N50" s="30"/>
      <c r="O50" s="30">
        <v>742939</v>
      </c>
      <c r="P50" s="30">
        <v>445278.48800000001</v>
      </c>
      <c r="Q50" s="30"/>
      <c r="R50" s="30">
        <v>0</v>
      </c>
      <c r="S50" s="30">
        <v>0</v>
      </c>
      <c r="T50" s="30"/>
      <c r="U50" s="30">
        <v>0</v>
      </c>
      <c r="V50" s="31">
        <v>0</v>
      </c>
    </row>
    <row r="51" spans="1:22">
      <c r="A51" s="1" t="s">
        <v>72</v>
      </c>
      <c r="B51" s="29">
        <v>0</v>
      </c>
      <c r="C51" s="30">
        <v>0</v>
      </c>
      <c r="D51" s="30">
        <v>0</v>
      </c>
      <c r="E51" s="30">
        <v>0</v>
      </c>
      <c r="F51" s="30">
        <v>0</v>
      </c>
      <c r="G51" s="31">
        <f>SUM(UT_FINANCIAL)</f>
        <v>0</v>
      </c>
      <c r="H51" s="30"/>
      <c r="I51" s="30"/>
      <c r="J51" s="30"/>
      <c r="K51" s="30"/>
      <c r="L51" s="29"/>
      <c r="M51" s="30"/>
      <c r="N51" s="30"/>
      <c r="O51" s="30"/>
      <c r="P51" s="30"/>
      <c r="Q51" s="30"/>
      <c r="R51" s="30"/>
      <c r="S51" s="30"/>
      <c r="T51" s="30"/>
      <c r="U51" s="30"/>
      <c r="V51" s="31"/>
    </row>
    <row r="52" spans="1:22">
      <c r="A52" s="1" t="s">
        <v>73</v>
      </c>
      <c r="B52" s="29">
        <v>0</v>
      </c>
      <c r="C52" s="30">
        <v>0</v>
      </c>
      <c r="D52" s="30">
        <v>0</v>
      </c>
      <c r="E52" s="30">
        <v>0</v>
      </c>
      <c r="F52" s="30">
        <v>0</v>
      </c>
      <c r="G52" s="31">
        <f>SUM(VT_FINANCIAL)</f>
        <v>0</v>
      </c>
      <c r="H52" s="30"/>
      <c r="I52" s="30"/>
      <c r="J52" s="30"/>
      <c r="K52" s="30"/>
      <c r="L52" s="29"/>
      <c r="M52" s="30"/>
      <c r="N52" s="30"/>
      <c r="O52" s="30"/>
      <c r="P52" s="30"/>
      <c r="Q52" s="30"/>
      <c r="R52" s="30"/>
      <c r="S52" s="30"/>
      <c r="T52" s="30"/>
      <c r="U52" s="30"/>
      <c r="V52" s="31"/>
    </row>
    <row r="53" spans="1:22">
      <c r="A53" s="1" t="s">
        <v>74</v>
      </c>
      <c r="B53" s="29">
        <v>0</v>
      </c>
      <c r="C53" s="30">
        <v>0</v>
      </c>
      <c r="D53" s="30">
        <v>0</v>
      </c>
      <c r="E53" s="30">
        <v>0</v>
      </c>
      <c r="F53" s="30">
        <v>0</v>
      </c>
      <c r="G53" s="31">
        <f>SUM(VA_FINANCIAL)</f>
        <v>0</v>
      </c>
      <c r="H53" s="30"/>
      <c r="I53" s="30"/>
      <c r="J53" s="30"/>
      <c r="K53" s="30"/>
      <c r="L53" s="29"/>
      <c r="M53" s="30"/>
      <c r="N53" s="30"/>
      <c r="O53" s="30"/>
      <c r="P53" s="30"/>
      <c r="Q53" s="30"/>
      <c r="R53" s="30"/>
      <c r="S53" s="30"/>
      <c r="T53" s="30"/>
      <c r="U53" s="30"/>
      <c r="V53" s="31"/>
    </row>
    <row r="54" spans="1:22">
      <c r="A54" s="1" t="s">
        <v>75</v>
      </c>
      <c r="B54" s="29">
        <v>0</v>
      </c>
      <c r="C54" s="30">
        <v>0</v>
      </c>
      <c r="D54" s="30">
        <v>0</v>
      </c>
      <c r="E54" s="30">
        <v>0</v>
      </c>
      <c r="F54" s="30">
        <v>0</v>
      </c>
      <c r="G54" s="31">
        <f>SUM(WA_FINANCIAL)</f>
        <v>0</v>
      </c>
      <c r="H54" s="30"/>
      <c r="I54" s="30"/>
      <c r="J54" s="30"/>
      <c r="K54" s="30"/>
      <c r="L54" s="29"/>
      <c r="M54" s="30"/>
      <c r="N54" s="30"/>
      <c r="O54" s="30"/>
      <c r="P54" s="30"/>
      <c r="Q54" s="30"/>
      <c r="R54" s="30"/>
      <c r="S54" s="30"/>
      <c r="T54" s="30"/>
      <c r="U54" s="30"/>
      <c r="V54" s="31"/>
    </row>
    <row r="55" spans="1:22">
      <c r="A55" s="1" t="s">
        <v>76</v>
      </c>
      <c r="B55" s="29">
        <v>0</v>
      </c>
      <c r="C55" s="30">
        <v>0</v>
      </c>
      <c r="D55" s="30">
        <v>0</v>
      </c>
      <c r="E55" s="30">
        <v>0</v>
      </c>
      <c r="F55" s="30">
        <v>0</v>
      </c>
      <c r="G55" s="31">
        <f>SUM(WV_FINANCIAL)</f>
        <v>0</v>
      </c>
      <c r="H55" s="30"/>
      <c r="I55" s="30"/>
      <c r="J55" s="30"/>
      <c r="K55" s="30"/>
      <c r="L55" s="29"/>
      <c r="M55" s="30"/>
      <c r="N55" s="30"/>
      <c r="O55" s="30"/>
      <c r="P55" s="30"/>
      <c r="Q55" s="30"/>
      <c r="R55" s="30"/>
      <c r="S55" s="30"/>
      <c r="T55" s="30"/>
      <c r="U55" s="30"/>
      <c r="V55" s="31"/>
    </row>
    <row r="56" spans="1:22">
      <c r="A56" s="1" t="s">
        <v>77</v>
      </c>
      <c r="B56" s="29">
        <v>0</v>
      </c>
      <c r="C56" s="30">
        <v>0</v>
      </c>
      <c r="D56" s="30">
        <v>0</v>
      </c>
      <c r="E56" s="30">
        <v>0</v>
      </c>
      <c r="F56" s="30">
        <v>0</v>
      </c>
      <c r="G56" s="31">
        <f>SUM(WI_FINANCIAL)</f>
        <v>0</v>
      </c>
      <c r="H56" s="30"/>
      <c r="I56" s="30"/>
      <c r="J56" s="30"/>
      <c r="K56" s="30"/>
      <c r="L56" s="29"/>
      <c r="M56" s="30"/>
      <c r="N56" s="30"/>
      <c r="O56" s="30"/>
      <c r="P56" s="30"/>
      <c r="Q56" s="30"/>
      <c r="R56" s="30"/>
      <c r="S56" s="30"/>
      <c r="T56" s="30"/>
      <c r="U56" s="30"/>
      <c r="V56" s="31"/>
    </row>
    <row r="57" spans="1:22">
      <c r="A57" s="1" t="s">
        <v>78</v>
      </c>
      <c r="B57" s="29">
        <v>0</v>
      </c>
      <c r="C57" s="30">
        <v>0</v>
      </c>
      <c r="D57" s="30">
        <v>0</v>
      </c>
      <c r="E57" s="30">
        <v>0</v>
      </c>
      <c r="F57" s="30">
        <v>0</v>
      </c>
      <c r="G57" s="31">
        <f>SUM(WY_FINANCIAL)</f>
        <v>0</v>
      </c>
      <c r="H57" s="30"/>
      <c r="I57" s="30"/>
      <c r="J57" s="30"/>
      <c r="K57" s="30"/>
      <c r="L57" s="29"/>
      <c r="M57" s="30"/>
      <c r="N57" s="30"/>
      <c r="O57" s="30"/>
      <c r="P57" s="30"/>
      <c r="Q57" s="30"/>
      <c r="R57" s="30"/>
      <c r="S57" s="30"/>
      <c r="T57" s="30"/>
      <c r="U57" s="30"/>
      <c r="V57" s="31"/>
    </row>
    <row r="58" spans="1:22">
      <c r="A58" s="1" t="s">
        <v>79</v>
      </c>
      <c r="B58" s="29">
        <v>0</v>
      </c>
      <c r="C58" s="30">
        <v>0</v>
      </c>
      <c r="D58" s="30">
        <v>0</v>
      </c>
      <c r="E58" s="30">
        <v>0</v>
      </c>
      <c r="F58" s="30">
        <v>0</v>
      </c>
      <c r="G58" s="31">
        <f>SUM(OT_FINANCIAL)</f>
        <v>0</v>
      </c>
      <c r="H58" s="30"/>
      <c r="I58" s="30"/>
      <c r="J58" s="30"/>
      <c r="K58" s="30"/>
      <c r="L58" s="29"/>
      <c r="M58" s="30"/>
      <c r="N58" s="30"/>
      <c r="O58" s="30"/>
      <c r="P58" s="30"/>
      <c r="Q58" s="30"/>
      <c r="R58" s="30"/>
      <c r="S58" s="30"/>
      <c r="T58" s="30"/>
      <c r="U58" s="30"/>
      <c r="V58" s="31"/>
    </row>
    <row r="59" spans="1:22">
      <c r="B59" s="29"/>
      <c r="C59" s="30"/>
      <c r="D59" s="30"/>
      <c r="E59" s="30"/>
      <c r="F59" s="30"/>
      <c r="G59" s="31"/>
      <c r="H59" s="30"/>
      <c r="I59" s="30"/>
      <c r="J59" s="30"/>
      <c r="K59" s="30"/>
      <c r="L59" s="29"/>
      <c r="M59" s="30"/>
      <c r="N59" s="30"/>
      <c r="O59" s="30"/>
      <c r="P59" s="30"/>
      <c r="Q59" s="30"/>
      <c r="R59" s="30"/>
      <c r="S59" s="30"/>
      <c r="T59" s="30"/>
      <c r="U59" s="30"/>
      <c r="V59" s="31"/>
    </row>
    <row r="60" spans="1:22">
      <c r="A60" s="1" t="s">
        <v>8</v>
      </c>
      <c r="B60" s="29">
        <f>SUM(LIFE)</f>
        <v>1793887.6697184704</v>
      </c>
      <c r="C60" s="30">
        <f>SUM(ALLOCATED)</f>
        <v>31550504.988168035</v>
      </c>
      <c r="D60" s="30">
        <f>SUM(HEALTH)</f>
        <v>-118324.99788650456</v>
      </c>
      <c r="E60" s="30">
        <f>SUM(UNALLOCATED)</f>
        <v>0</v>
      </c>
      <c r="F60" s="30">
        <f>SUM(LTC)</f>
        <v>0</v>
      </c>
      <c r="G60" s="31">
        <f>SUM(ALL_BLOCKS)</f>
        <v>33226067.659999996</v>
      </c>
      <c r="H60" s="30"/>
      <c r="I60" s="30"/>
      <c r="J60" s="30"/>
      <c r="K60" s="30"/>
      <c r="L60" s="29">
        <f>SUM(LIFE_CALLED)</f>
        <v>4459142</v>
      </c>
      <c r="M60" s="30">
        <f>SUM(LIFE_REFUNDED)</f>
        <v>3474861.5120000001</v>
      </c>
      <c r="N60" s="30"/>
      <c r="O60" s="30">
        <f>SUM(ALLOC_CALLED)</f>
        <v>65758257</v>
      </c>
      <c r="P60" s="30">
        <f>SUM(ALLOC_REFUNDED)</f>
        <v>40390278.487999998</v>
      </c>
      <c r="Q60" s="30"/>
      <c r="R60" s="30">
        <f>SUM(HEALTH_CALLED)</f>
        <v>1310907</v>
      </c>
      <c r="S60" s="30">
        <f>SUM(HEALTH_REFUNDED)</f>
        <v>1500000</v>
      </c>
      <c r="T60" s="30"/>
      <c r="U60" s="30">
        <f>SUM(UNALLOC_CALLED)</f>
        <v>8000000</v>
      </c>
      <c r="V60" s="31">
        <f>SUM(UNALLOC_REFUNDED)</f>
        <v>2700000</v>
      </c>
    </row>
    <row r="61" spans="1:22" ht="5.0999999999999996" customHeight="1">
      <c r="B61" s="8"/>
      <c r="G61" s="11"/>
      <c r="L61" s="8"/>
      <c r="V61" s="11"/>
    </row>
    <row r="62" spans="1:22">
      <c r="B62" s="8"/>
      <c r="G62" s="11"/>
      <c r="L62" s="122" t="s">
        <v>80</v>
      </c>
      <c r="M62" s="123"/>
      <c r="N62" s="123"/>
      <c r="O62" s="123"/>
      <c r="P62" s="123"/>
      <c r="Q62" s="123"/>
      <c r="R62" s="123"/>
      <c r="S62" s="123"/>
      <c r="T62" s="123"/>
      <c r="U62" s="123"/>
      <c r="V62" s="124"/>
    </row>
    <row r="63" spans="1:22">
      <c r="B63" s="8"/>
      <c r="G63" s="11"/>
      <c r="L63" s="125"/>
      <c r="M63" s="123"/>
      <c r="N63" s="123"/>
      <c r="O63" s="123"/>
      <c r="P63" s="123"/>
      <c r="Q63" s="123"/>
      <c r="R63" s="123"/>
      <c r="S63" s="123"/>
      <c r="T63" s="123"/>
      <c r="U63" s="123"/>
      <c r="V63" s="124"/>
    </row>
    <row r="64" spans="1:22">
      <c r="B64" s="10"/>
      <c r="C64" s="7"/>
      <c r="D64" s="7"/>
      <c r="E64" s="7"/>
      <c r="F64" s="7"/>
      <c r="G64" s="13"/>
      <c r="L64" s="126"/>
      <c r="M64" s="127"/>
      <c r="N64" s="127"/>
      <c r="O64" s="127"/>
      <c r="P64" s="127"/>
      <c r="Q64" s="127"/>
      <c r="R64" s="127"/>
      <c r="S64" s="127"/>
      <c r="T64" s="127"/>
      <c r="U64" s="127"/>
      <c r="V64" s="128"/>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ADECC7-5265-421D-AEFD-CB6E173DA9C5}">
  <sheetPr>
    <pageSetUpPr fitToPage="1"/>
  </sheetPr>
  <dimension ref="A1:J63"/>
  <sheetViews>
    <sheetView topLeftCell="A2" zoomScale="75" zoomScaleNormal="75" workbookViewId="0">
      <selection sqref="A1:XFD1048576"/>
    </sheetView>
  </sheetViews>
  <sheetFormatPr defaultRowHeight="15"/>
  <cols>
    <col min="1" max="1" width="39.85546875" style="71" customWidth="1"/>
    <col min="2" max="2" width="19" style="88" customWidth="1"/>
    <col min="3" max="3" width="16.140625" style="89" customWidth="1"/>
    <col min="4" max="4" width="17.28515625" style="87" customWidth="1"/>
    <col min="5" max="5" width="16.28515625" style="87" customWidth="1"/>
    <col min="6" max="7" width="15.7109375" style="87" customWidth="1"/>
    <col min="8" max="8" width="16.85546875" style="87" customWidth="1"/>
    <col min="9" max="9" width="17.28515625" style="71" customWidth="1"/>
    <col min="10" max="10" width="8.85546875" style="71" customWidth="1"/>
    <col min="11" max="16384" width="9.140625" style="52"/>
  </cols>
  <sheetData>
    <row r="1" spans="1:10">
      <c r="J1" s="52"/>
    </row>
    <row r="2" spans="1:10">
      <c r="A2" s="148" t="s">
        <v>642</v>
      </c>
      <c r="B2" s="148"/>
      <c r="C2" s="148"/>
      <c r="D2" s="148"/>
      <c r="E2" s="148"/>
      <c r="F2" s="148"/>
      <c r="G2" s="148"/>
      <c r="H2" s="148"/>
      <c r="J2" s="52"/>
    </row>
    <row r="3" spans="1:10">
      <c r="B3" s="71"/>
      <c r="C3" s="90" t="s">
        <v>623</v>
      </c>
      <c r="J3" s="52"/>
    </row>
    <row r="4" spans="1:10">
      <c r="B4" s="71"/>
      <c r="C4" s="91"/>
      <c r="D4" s="91" t="s">
        <v>614</v>
      </c>
      <c r="E4" s="91" t="s">
        <v>623</v>
      </c>
      <c r="F4" s="91" t="s">
        <v>615</v>
      </c>
      <c r="G4" s="91"/>
      <c r="H4" s="92" t="s">
        <v>623</v>
      </c>
      <c r="J4" s="52"/>
    </row>
    <row r="5" spans="1:10">
      <c r="A5" s="71" t="s">
        <v>623</v>
      </c>
      <c r="B5" s="71"/>
      <c r="C5" s="91" t="s">
        <v>3</v>
      </c>
      <c r="D5" s="91" t="s">
        <v>616</v>
      </c>
      <c r="E5" s="91" t="s">
        <v>5</v>
      </c>
      <c r="F5" s="91" t="s">
        <v>616</v>
      </c>
      <c r="G5" s="94" t="s">
        <v>7</v>
      </c>
      <c r="H5" s="92" t="s">
        <v>8</v>
      </c>
      <c r="J5" s="52"/>
    </row>
    <row r="6" spans="1:10">
      <c r="B6" s="71"/>
      <c r="C6" s="87"/>
      <c r="J6" s="52"/>
    </row>
    <row r="7" spans="1:10">
      <c r="A7" s="78" t="s">
        <v>643</v>
      </c>
      <c r="B7" s="71"/>
      <c r="C7" s="87"/>
      <c r="J7" s="52"/>
    </row>
    <row r="8" spans="1:10">
      <c r="A8" s="71" t="s">
        <v>644</v>
      </c>
      <c r="B8" s="71"/>
      <c r="C8" s="87">
        <f>+Summary!H121</f>
        <v>1766017105.7755387</v>
      </c>
      <c r="D8" s="87">
        <f>+Summary!I121</f>
        <v>3243901018.3238769</v>
      </c>
      <c r="E8" s="87">
        <f>+Summary!J121</f>
        <v>3340043731.7368588</v>
      </c>
      <c r="F8" s="87">
        <f>+Summary!K121</f>
        <v>54352163.42838525</v>
      </c>
      <c r="G8" s="87">
        <f>+Summary!L121</f>
        <v>18056536.368295141</v>
      </c>
      <c r="H8" s="87">
        <f>SUM(C8:G8)</f>
        <v>8422370555.6329546</v>
      </c>
      <c r="J8" s="52"/>
    </row>
    <row r="9" spans="1:10">
      <c r="B9" s="71"/>
      <c r="C9" s="87"/>
      <c r="J9" s="52"/>
    </row>
    <row r="10" spans="1:10">
      <c r="A10" s="78" t="s">
        <v>645</v>
      </c>
      <c r="B10" s="71"/>
      <c r="C10" s="87"/>
      <c r="J10" s="52"/>
    </row>
    <row r="11" spans="1:10">
      <c r="A11" s="71" t="s">
        <v>646</v>
      </c>
      <c r="B11" s="71"/>
      <c r="C11" s="87">
        <f>-Summary!H107</f>
        <v>-290527157.48123705</v>
      </c>
      <c r="D11" s="87">
        <f>-Summary!I107</f>
        <v>-608898588.9439261</v>
      </c>
      <c r="E11" s="87">
        <f>-Summary!J107</f>
        <v>-183413866.54002938</v>
      </c>
      <c r="F11" s="87">
        <f>-Summary!K107</f>
        <v>-22452017.039440565</v>
      </c>
      <c r="G11" s="87">
        <f>-Summary!L107</f>
        <v>0</v>
      </c>
      <c r="H11" s="87">
        <f t="shared" ref="H11:H15" si="0">SUM(C11:G11)</f>
        <v>-1105291630.0046332</v>
      </c>
      <c r="J11" s="52"/>
    </row>
    <row r="12" spans="1:10">
      <c r="A12" s="71" t="s">
        <v>647</v>
      </c>
      <c r="B12" s="71"/>
      <c r="C12" s="87">
        <f>-Summary!H119</f>
        <v>-1876814.5050498566</v>
      </c>
      <c r="D12" s="87">
        <f>-Summary!I119</f>
        <v>-305927.78861455363</v>
      </c>
      <c r="E12" s="87">
        <f>-Summary!J119</f>
        <v>-448292.63042158028</v>
      </c>
      <c r="F12" s="87">
        <f>-Summary!K119</f>
        <v>-28074.675914009502</v>
      </c>
      <c r="G12" s="87">
        <f>-Summary!L119</f>
        <v>0</v>
      </c>
      <c r="H12" s="87">
        <f t="shared" si="0"/>
        <v>-2659109.6</v>
      </c>
      <c r="J12" s="52"/>
    </row>
    <row r="13" spans="1:10">
      <c r="A13" s="71" t="s">
        <v>648</v>
      </c>
      <c r="B13" s="71"/>
      <c r="C13" s="87">
        <f>-Summary!H46</f>
        <v>-98300049.48441413</v>
      </c>
      <c r="D13" s="87">
        <f>-Summary!I46</f>
        <v>-964828967.13654315</v>
      </c>
      <c r="E13" s="87">
        <f>-Summary!J46</f>
        <v>-220490566.40290111</v>
      </c>
      <c r="F13" s="87">
        <f>-Summary!K46</f>
        <v>0</v>
      </c>
      <c r="G13" s="87">
        <f>-Summary!L46</f>
        <v>0</v>
      </c>
      <c r="H13" s="87">
        <f t="shared" si="0"/>
        <v>-1283619583.0238583</v>
      </c>
      <c r="J13" s="52"/>
    </row>
    <row r="14" spans="1:10">
      <c r="A14" s="71" t="s">
        <v>649</v>
      </c>
      <c r="B14" s="71"/>
      <c r="C14" s="87">
        <f>-Summary!H21+Summary!H14</f>
        <v>-220225558.41503549</v>
      </c>
      <c r="D14" s="87">
        <f>-Summary!I21+Summary!I14</f>
        <v>-298830.28304362297</v>
      </c>
      <c r="E14" s="87">
        <f>-Summary!J21+Summary!J14</f>
        <v>-2935484114.8846059</v>
      </c>
      <c r="F14" s="87">
        <f>-Summary!K21+Summary!K14</f>
        <v>0</v>
      </c>
      <c r="G14" s="87">
        <f>-Summary!L21+Summary!L14</f>
        <v>-18056536.368295141</v>
      </c>
      <c r="H14" s="87">
        <f t="shared" si="0"/>
        <v>-3174065039.9509802</v>
      </c>
      <c r="J14" s="52"/>
    </row>
    <row r="15" spans="1:10">
      <c r="A15" s="71" t="s">
        <v>650</v>
      </c>
      <c r="B15" s="71"/>
      <c r="C15" s="87">
        <f>-Summary!H9</f>
        <v>-210029.4333002269</v>
      </c>
      <c r="D15" s="87">
        <f>-Summary!I9</f>
        <v>-93116.427799362893</v>
      </c>
      <c r="E15" s="87">
        <f>-Summary!J9</f>
        <v>-206891.27890041014</v>
      </c>
      <c r="F15" s="87">
        <f>-Summary!K9</f>
        <v>0</v>
      </c>
      <c r="G15" s="87">
        <f>-Summary!L9</f>
        <v>0</v>
      </c>
      <c r="H15" s="87">
        <f t="shared" si="0"/>
        <v>-510037.1399999999</v>
      </c>
      <c r="J15" s="52"/>
    </row>
    <row r="16" spans="1:10">
      <c r="B16" s="71"/>
      <c r="C16" s="87"/>
      <c r="J16" s="52"/>
    </row>
    <row r="17" spans="1:10">
      <c r="A17" s="78" t="s">
        <v>651</v>
      </c>
      <c r="B17" s="71"/>
      <c r="C17" s="87"/>
      <c r="J17" s="52"/>
    </row>
    <row r="18" spans="1:10">
      <c r="A18" s="71" t="s">
        <v>652</v>
      </c>
      <c r="B18" s="93" t="s">
        <v>653</v>
      </c>
      <c r="C18" s="87">
        <v>-24469253.699711561</v>
      </c>
      <c r="D18" s="87">
        <v>-35592562.759428918</v>
      </c>
      <c r="E18" s="87">
        <v>0</v>
      </c>
      <c r="F18" s="87">
        <v>-815559.3416510364</v>
      </c>
      <c r="G18" s="87">
        <v>0</v>
      </c>
      <c r="H18" s="87">
        <f t="shared" ref="H18:H20" si="1">SUM(C18:G18)</f>
        <v>-60877375.800791517</v>
      </c>
      <c r="J18" s="52"/>
    </row>
    <row r="19" spans="1:10">
      <c r="A19" s="71" t="s">
        <v>652</v>
      </c>
      <c r="B19" s="93" t="s">
        <v>654</v>
      </c>
      <c r="C19" s="87">
        <v>0</v>
      </c>
      <c r="D19" s="87">
        <v>0</v>
      </c>
      <c r="E19" s="87">
        <v>0</v>
      </c>
      <c r="F19" s="87">
        <v>0</v>
      </c>
      <c r="G19" s="87">
        <v>0</v>
      </c>
      <c r="H19" s="87">
        <f t="shared" si="1"/>
        <v>0</v>
      </c>
      <c r="J19" s="52"/>
    </row>
    <row r="20" spans="1:10">
      <c r="A20" s="71" t="s">
        <v>652</v>
      </c>
      <c r="B20" s="93" t="s">
        <v>655</v>
      </c>
      <c r="C20" s="87">
        <v>0</v>
      </c>
      <c r="D20" s="87">
        <v>0</v>
      </c>
      <c r="E20" s="87">
        <v>0</v>
      </c>
      <c r="F20" s="87">
        <v>0</v>
      </c>
      <c r="G20" s="87">
        <v>0</v>
      </c>
      <c r="H20" s="87">
        <f t="shared" si="1"/>
        <v>0</v>
      </c>
      <c r="J20" s="52"/>
    </row>
    <row r="21" spans="1:10">
      <c r="B21" s="71"/>
      <c r="C21" s="87" t="s">
        <v>623</v>
      </c>
      <c r="D21" s="87" t="s">
        <v>623</v>
      </c>
      <c r="J21" s="52"/>
    </row>
    <row r="22" spans="1:10">
      <c r="A22" s="78" t="s">
        <v>656</v>
      </c>
      <c r="B22" s="71"/>
      <c r="C22" s="87"/>
      <c r="J22" s="52"/>
    </row>
    <row r="23" spans="1:10">
      <c r="A23" s="71" t="s">
        <v>652</v>
      </c>
      <c r="B23" s="93" t="s">
        <v>657</v>
      </c>
      <c r="C23" s="87">
        <v>86308398.296988547</v>
      </c>
      <c r="D23" s="87">
        <v>133643593.48046796</v>
      </c>
      <c r="E23" s="87">
        <v>0</v>
      </c>
      <c r="F23" s="87">
        <v>1326077.6286203482</v>
      </c>
      <c r="G23" s="87">
        <v>0</v>
      </c>
      <c r="H23" s="87">
        <f t="shared" ref="H23" si="2">SUM(C23:G23)</f>
        <v>221278069.40607688</v>
      </c>
      <c r="J23" s="52"/>
    </row>
    <row r="24" spans="1:10">
      <c r="B24" s="71"/>
      <c r="C24" s="87"/>
      <c r="J24" s="52"/>
    </row>
    <row r="25" spans="1:10">
      <c r="A25" s="78" t="s">
        <v>658</v>
      </c>
      <c r="B25" s="71"/>
      <c r="C25" s="87">
        <f t="shared" ref="C25:H25" si="3">SUM(C8:C23)</f>
        <v>1216716641.0537786</v>
      </c>
      <c r="D25" s="87">
        <f t="shared" si="3"/>
        <v>1767526618.4649885</v>
      </c>
      <c r="E25" s="87">
        <f t="shared" si="3"/>
        <v>2.1318555809557438E-7</v>
      </c>
      <c r="F25" s="87">
        <f t="shared" si="3"/>
        <v>32382589.999999989</v>
      </c>
      <c r="G25" s="87">
        <f t="shared" si="3"/>
        <v>0</v>
      </c>
      <c r="H25" s="87">
        <f t="shared" si="3"/>
        <v>3016625849.5187683</v>
      </c>
      <c r="J25" s="52"/>
    </row>
    <row r="26" spans="1:10">
      <c r="B26" s="71"/>
      <c r="C26" s="87"/>
      <c r="J26" s="52"/>
    </row>
    <row r="27" spans="1:10">
      <c r="A27" s="78" t="s">
        <v>659</v>
      </c>
      <c r="B27" s="71"/>
      <c r="C27" s="87">
        <f>+'ELIC Funding'!X62</f>
        <v>1216716641.0537789</v>
      </c>
      <c r="D27" s="87">
        <f>+'ELIC Funding'!AJ62</f>
        <v>1767526618.4649882</v>
      </c>
      <c r="E27" s="87">
        <v>0</v>
      </c>
      <c r="F27" s="87">
        <f>+'ELIC Funding'!AV62</f>
        <v>32382590</v>
      </c>
      <c r="G27" s="87">
        <v>0</v>
      </c>
      <c r="H27" s="87">
        <f t="shared" ref="H27" si="4">SUM(C27:G27)</f>
        <v>3016625849.5187674</v>
      </c>
      <c r="J27" s="52"/>
    </row>
    <row r="28" spans="1:10">
      <c r="B28" s="71"/>
      <c r="C28" s="87"/>
      <c r="J28" s="52"/>
    </row>
    <row r="29" spans="1:10">
      <c r="A29" s="71" t="s">
        <v>660</v>
      </c>
      <c r="B29" s="71"/>
      <c r="C29" s="87">
        <f t="shared" ref="C29:H29" si="5">+C25-C27</f>
        <v>0</v>
      </c>
      <c r="D29" s="87">
        <f t="shared" si="5"/>
        <v>0</v>
      </c>
      <c r="E29" s="87">
        <f t="shared" si="5"/>
        <v>2.1318555809557438E-7</v>
      </c>
      <c r="F29" s="87">
        <f t="shared" si="5"/>
        <v>0</v>
      </c>
      <c r="G29" s="87">
        <f t="shared" si="5"/>
        <v>0</v>
      </c>
      <c r="H29" s="87">
        <f t="shared" si="5"/>
        <v>0</v>
      </c>
      <c r="J29" s="52"/>
    </row>
    <row r="30" spans="1:10">
      <c r="B30" s="71"/>
      <c r="C30" s="87"/>
      <c r="E30" s="87" t="s">
        <v>623</v>
      </c>
      <c r="J30" s="52"/>
    </row>
    <row r="31" spans="1:10">
      <c r="B31" s="71"/>
      <c r="C31" s="87"/>
      <c r="J31" s="52"/>
    </row>
    <row r="32" spans="1:10">
      <c r="B32" s="71"/>
      <c r="C32" s="87"/>
      <c r="J32" s="52"/>
    </row>
    <row r="33" spans="1:10">
      <c r="A33" s="71" t="s">
        <v>652</v>
      </c>
      <c r="B33" s="88" t="s">
        <v>661</v>
      </c>
      <c r="C33" s="87">
        <f>+Summary!H14</f>
        <v>1154877496.456502</v>
      </c>
      <c r="D33" s="87">
        <f>+Summary!I14</f>
        <v>1669475587.7439497</v>
      </c>
      <c r="E33" s="87">
        <f>+Summary!J14</f>
        <v>0</v>
      </c>
      <c r="F33" s="87">
        <f>+Summary!K14</f>
        <v>31872071.713030674</v>
      </c>
      <c r="G33" s="87">
        <f>+Summary!L14</f>
        <v>0</v>
      </c>
      <c r="H33" s="87">
        <f t="shared" ref="H33:H37" si="6">SUM(C33:G33)</f>
        <v>2856225155.9134827</v>
      </c>
      <c r="J33" s="52"/>
    </row>
    <row r="34" spans="1:10">
      <c r="C34" s="87"/>
      <c r="J34" s="52"/>
    </row>
    <row r="35" spans="1:10">
      <c r="A35" s="71" t="s">
        <v>652</v>
      </c>
      <c r="B35" s="88" t="s">
        <v>662</v>
      </c>
      <c r="C35" s="87">
        <f>SUM(C18:C20,C23)</f>
        <v>61839144.597276986</v>
      </c>
      <c r="D35" s="87">
        <f>SUM(D18:D20,D23)</f>
        <v>98051030.721039042</v>
      </c>
      <c r="E35" s="87">
        <f>SUM(E18:E20,E23)</f>
        <v>0</v>
      </c>
      <c r="F35" s="87">
        <f>SUM(F18:F20,F23)</f>
        <v>510518.28696931177</v>
      </c>
      <c r="G35" s="87">
        <f>SUM(G18:G20,G23)</f>
        <v>0</v>
      </c>
      <c r="H35" s="87">
        <f t="shared" si="6"/>
        <v>160400693.60528535</v>
      </c>
      <c r="J35" s="52"/>
    </row>
    <row r="36" spans="1:10">
      <c r="C36" s="87"/>
      <c r="I36" s="71" t="s">
        <v>663</v>
      </c>
      <c r="J36" s="52"/>
    </row>
    <row r="37" spans="1:10">
      <c r="A37" s="71" t="s">
        <v>652</v>
      </c>
      <c r="B37" s="88" t="s">
        <v>664</v>
      </c>
      <c r="C37" s="87">
        <f>+C33+C35</f>
        <v>1216716641.0537789</v>
      </c>
      <c r="D37" s="87">
        <f>+D33+D35</f>
        <v>1767526618.4649887</v>
      </c>
      <c r="E37" s="87">
        <f>+E33+E35</f>
        <v>0</v>
      </c>
      <c r="F37" s="87">
        <f>+F33+F35</f>
        <v>32382589.999999985</v>
      </c>
      <c r="G37" s="87">
        <f>+G33+G35</f>
        <v>0</v>
      </c>
      <c r="H37" s="87">
        <f t="shared" si="6"/>
        <v>3016625849.5187674</v>
      </c>
      <c r="I37" s="71">
        <f>+'ELIC Funding'!L62</f>
        <v>3016625849.5187678</v>
      </c>
      <c r="J37" s="52"/>
    </row>
    <row r="38" spans="1:10">
      <c r="I38" s="71">
        <f>+H37-I37</f>
        <v>0</v>
      </c>
      <c r="J38" s="52"/>
    </row>
    <row r="39" spans="1:10">
      <c r="J39" s="52"/>
    </row>
    <row r="40" spans="1:10">
      <c r="J40" s="52"/>
    </row>
    <row r="41" spans="1:10">
      <c r="J41" s="52"/>
    </row>
    <row r="42" spans="1:10">
      <c r="J42" s="52"/>
    </row>
    <row r="43" spans="1:10">
      <c r="J43" s="52"/>
    </row>
    <row r="44" spans="1:10">
      <c r="J44" s="52"/>
    </row>
    <row r="45" spans="1:10">
      <c r="J45" s="52"/>
    </row>
    <row r="46" spans="1:10">
      <c r="J46" s="52"/>
    </row>
    <row r="47" spans="1:10">
      <c r="J47" s="52"/>
    </row>
    <row r="48" spans="1:10">
      <c r="J48" s="52"/>
    </row>
    <row r="49" s="52" customFormat="1"/>
    <row r="50" s="52" customFormat="1"/>
    <row r="51" s="52" customFormat="1"/>
    <row r="52" s="52" customFormat="1"/>
    <row r="53" s="52" customFormat="1"/>
    <row r="54" s="52" customFormat="1"/>
    <row r="55" s="52" customFormat="1"/>
    <row r="56" s="52" customFormat="1"/>
    <row r="57" s="52" customFormat="1"/>
    <row r="58" s="52" customFormat="1"/>
    <row r="59" s="52" customFormat="1"/>
    <row r="60" s="52" customFormat="1"/>
    <row r="61" s="52" customFormat="1"/>
    <row r="62" s="52" customFormat="1"/>
    <row r="63" s="52" customFormat="1"/>
  </sheetData>
  <mergeCells count="1">
    <mergeCell ref="A2:H2"/>
  </mergeCells>
  <pageMargins left="0.7" right="0.7" top="0.75" bottom="0.75" header="0.3" footer="0.3"/>
  <pageSetup scale="51" orientation="portrait"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1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DBE03-730B-420E-A9C4-84FEED3A2F96}">
  <dimension ref="A1:K1813"/>
  <sheetViews>
    <sheetView zoomScale="75" zoomScaleNormal="75" workbookViewId="0">
      <selection activeCell="J357" sqref="J357"/>
    </sheetView>
  </sheetViews>
  <sheetFormatPr defaultColWidth="9.28515625" defaultRowHeight="15"/>
  <cols>
    <col min="1" max="1" width="17.42578125" style="71" customWidth="1"/>
    <col min="2" max="2" width="13.5703125" style="88" customWidth="1"/>
    <col min="3" max="3" width="13.28515625" style="102" customWidth="1"/>
    <col min="4" max="7" width="19.42578125" style="87" customWidth="1"/>
    <col min="8" max="8" width="23.85546875" style="87" customWidth="1"/>
    <col min="9" max="9" width="19.42578125" style="87" customWidth="1"/>
    <col min="10" max="10" width="85.7109375" style="52" bestFit="1" customWidth="1"/>
    <col min="11" max="11" width="13.42578125" style="52" bestFit="1" customWidth="1"/>
    <col min="12" max="16384" width="9.28515625" style="52"/>
  </cols>
  <sheetData>
    <row r="1" spans="1:11">
      <c r="A1" s="149" t="s">
        <v>665</v>
      </c>
      <c r="B1" s="149"/>
      <c r="C1" s="149"/>
      <c r="D1" s="149"/>
      <c r="E1" s="149"/>
      <c r="F1" s="149"/>
      <c r="G1" s="149"/>
      <c r="H1" s="149"/>
      <c r="I1" s="149"/>
    </row>
    <row r="2" spans="1:11">
      <c r="A2" s="149" t="s">
        <v>666</v>
      </c>
      <c r="B2" s="149"/>
      <c r="C2" s="149"/>
      <c r="D2" s="149"/>
      <c r="E2" s="149"/>
      <c r="F2" s="149"/>
      <c r="G2" s="149"/>
      <c r="H2" s="149"/>
      <c r="I2" s="149"/>
    </row>
    <row r="3" spans="1:11">
      <c r="A3" s="52"/>
      <c r="B3" s="66"/>
      <c r="C3" s="66"/>
      <c r="D3" s="95"/>
      <c r="E3" s="95"/>
      <c r="F3" s="95"/>
      <c r="G3" s="95" t="s">
        <v>623</v>
      </c>
      <c r="H3" s="96" t="s">
        <v>667</v>
      </c>
      <c r="I3" s="95" t="s">
        <v>623</v>
      </c>
    </row>
    <row r="4" spans="1:11" s="66" customFormat="1">
      <c r="A4" s="88"/>
      <c r="B4" s="88" t="s">
        <v>632</v>
      </c>
      <c r="C4" s="97"/>
      <c r="D4" s="95"/>
      <c r="E4" s="95" t="s">
        <v>614</v>
      </c>
      <c r="F4" s="95"/>
      <c r="G4" s="95" t="s">
        <v>615</v>
      </c>
      <c r="H4" s="96" t="s">
        <v>668</v>
      </c>
      <c r="I4" s="95" t="s">
        <v>623</v>
      </c>
    </row>
    <row r="5" spans="1:11" s="66" customFormat="1" ht="30">
      <c r="A5" s="88" t="s">
        <v>632</v>
      </c>
      <c r="B5" s="88" t="s">
        <v>669</v>
      </c>
      <c r="C5" s="97" t="s">
        <v>670</v>
      </c>
      <c r="D5" s="95" t="s">
        <v>3</v>
      </c>
      <c r="E5" s="95" t="s">
        <v>616</v>
      </c>
      <c r="F5" s="95" t="s">
        <v>5</v>
      </c>
      <c r="G5" s="95" t="s">
        <v>616</v>
      </c>
      <c r="H5" s="96" t="s">
        <v>8</v>
      </c>
      <c r="I5" s="95" t="s">
        <v>671</v>
      </c>
      <c r="J5" s="98" t="s">
        <v>672</v>
      </c>
      <c r="K5" s="99" t="s">
        <v>673</v>
      </c>
    </row>
    <row r="6" spans="1:11">
      <c r="C6" s="97"/>
      <c r="H6" s="100"/>
    </row>
    <row r="7" spans="1:11">
      <c r="A7" s="101" t="s">
        <v>11</v>
      </c>
      <c r="B7" s="88" t="s">
        <v>312</v>
      </c>
      <c r="C7" s="102">
        <v>1988</v>
      </c>
      <c r="D7" s="103">
        <v>970835828</v>
      </c>
      <c r="E7" s="103">
        <v>443818753</v>
      </c>
      <c r="F7" s="103">
        <v>755579803</v>
      </c>
      <c r="G7" s="104">
        <v>0</v>
      </c>
      <c r="H7" s="105">
        <f>SUM(D7:G7)</f>
        <v>2170234384</v>
      </c>
      <c r="I7" s="103">
        <v>0</v>
      </c>
    </row>
    <row r="8" spans="1:11">
      <c r="A8" s="101" t="s">
        <v>11</v>
      </c>
      <c r="B8" s="88" t="s">
        <v>312</v>
      </c>
      <c r="C8" s="102">
        <v>1989</v>
      </c>
      <c r="D8" s="103">
        <v>961872838</v>
      </c>
      <c r="E8" s="103">
        <v>408511068</v>
      </c>
      <c r="F8" s="103">
        <v>812933944</v>
      </c>
      <c r="G8" s="104">
        <v>0</v>
      </c>
      <c r="H8" s="105">
        <f t="shared" ref="H8:H35" si="0">SUM(D8:G8)</f>
        <v>2183317850</v>
      </c>
      <c r="I8" s="103">
        <v>0</v>
      </c>
    </row>
    <row r="9" spans="1:11">
      <c r="A9" s="101" t="s">
        <v>11</v>
      </c>
      <c r="B9" s="88" t="s">
        <v>312</v>
      </c>
      <c r="C9" s="102">
        <v>1990</v>
      </c>
      <c r="D9" s="103">
        <v>989979831</v>
      </c>
      <c r="E9" s="103">
        <v>452536894.07999998</v>
      </c>
      <c r="F9" s="103">
        <v>834467504</v>
      </c>
      <c r="G9" s="104">
        <v>0</v>
      </c>
      <c r="H9" s="105">
        <f t="shared" si="0"/>
        <v>2276984229.0799999</v>
      </c>
      <c r="I9" s="103">
        <v>0</v>
      </c>
    </row>
    <row r="10" spans="1:11">
      <c r="A10" s="101" t="s">
        <v>11</v>
      </c>
      <c r="B10" s="88" t="s">
        <v>312</v>
      </c>
      <c r="C10" s="102">
        <v>1991</v>
      </c>
      <c r="D10" s="103">
        <v>1051877423</v>
      </c>
      <c r="E10" s="103">
        <v>402815551</v>
      </c>
      <c r="F10" s="103">
        <v>839729815</v>
      </c>
      <c r="G10" s="104">
        <v>0</v>
      </c>
      <c r="H10" s="105">
        <f t="shared" si="0"/>
        <v>2294422789</v>
      </c>
      <c r="I10" s="103">
        <v>0</v>
      </c>
    </row>
    <row r="11" spans="1:11">
      <c r="A11" s="101" t="s">
        <v>11</v>
      </c>
      <c r="B11" s="88" t="s">
        <v>312</v>
      </c>
      <c r="C11" s="102">
        <v>1992</v>
      </c>
      <c r="D11" s="103">
        <v>1106095824</v>
      </c>
      <c r="E11" s="103">
        <v>428907893.44</v>
      </c>
      <c r="F11" s="103">
        <v>829216722</v>
      </c>
      <c r="G11" s="104">
        <v>0</v>
      </c>
      <c r="H11" s="105">
        <f t="shared" si="0"/>
        <v>2364220439.4400001</v>
      </c>
      <c r="I11" s="103">
        <v>0</v>
      </c>
    </row>
    <row r="12" spans="1:11">
      <c r="A12" s="101" t="s">
        <v>11</v>
      </c>
      <c r="B12" s="88" t="s">
        <v>312</v>
      </c>
      <c r="C12" s="102">
        <v>1993</v>
      </c>
      <c r="D12" s="103">
        <v>1161309120</v>
      </c>
      <c r="E12" s="103">
        <v>381576205</v>
      </c>
      <c r="F12" s="103">
        <v>841132013</v>
      </c>
      <c r="G12" s="104">
        <v>0</v>
      </c>
      <c r="H12" s="105">
        <f t="shared" si="0"/>
        <v>2384017338</v>
      </c>
      <c r="I12" s="103">
        <v>0</v>
      </c>
    </row>
    <row r="13" spans="1:11">
      <c r="A13" s="101" t="s">
        <v>11</v>
      </c>
      <c r="B13" s="88" t="s">
        <v>312</v>
      </c>
      <c r="C13" s="102">
        <v>1994</v>
      </c>
      <c r="D13" s="103">
        <v>1263827052</v>
      </c>
      <c r="E13" s="103">
        <v>531556069</v>
      </c>
      <c r="F13" s="103">
        <v>845718962</v>
      </c>
      <c r="G13" s="104">
        <v>0</v>
      </c>
      <c r="H13" s="105">
        <f t="shared" si="0"/>
        <v>2641102083</v>
      </c>
      <c r="I13" s="103">
        <v>0</v>
      </c>
    </row>
    <row r="14" spans="1:11">
      <c r="A14" s="101" t="s">
        <v>11</v>
      </c>
      <c r="B14" s="88" t="s">
        <v>312</v>
      </c>
      <c r="C14" s="102">
        <v>1995</v>
      </c>
      <c r="D14" s="103">
        <v>1296860047</v>
      </c>
      <c r="E14" s="103">
        <v>548569570</v>
      </c>
      <c r="F14" s="103">
        <v>848012082</v>
      </c>
      <c r="G14" s="104">
        <v>0</v>
      </c>
      <c r="H14" s="105">
        <f t="shared" si="0"/>
        <v>2693441699</v>
      </c>
      <c r="I14" s="103">
        <v>0</v>
      </c>
    </row>
    <row r="15" spans="1:11">
      <c r="A15" s="101" t="s">
        <v>11</v>
      </c>
      <c r="B15" s="88" t="s">
        <v>312</v>
      </c>
      <c r="C15" s="102">
        <v>1996</v>
      </c>
      <c r="D15" s="103">
        <v>1277829767</v>
      </c>
      <c r="E15" s="103">
        <v>494741984</v>
      </c>
      <c r="F15" s="103">
        <v>828155819</v>
      </c>
      <c r="G15" s="104">
        <v>0</v>
      </c>
      <c r="H15" s="105">
        <f t="shared" si="0"/>
        <v>2600727570</v>
      </c>
      <c r="I15" s="103">
        <v>0</v>
      </c>
    </row>
    <row r="16" spans="1:11">
      <c r="A16" s="101" t="s">
        <v>11</v>
      </c>
      <c r="B16" s="88" t="s">
        <v>312</v>
      </c>
      <c r="C16" s="102">
        <v>1997</v>
      </c>
      <c r="D16" s="103">
        <v>1527568976</v>
      </c>
      <c r="E16" s="103">
        <v>584143645</v>
      </c>
      <c r="F16" s="103">
        <v>809928972</v>
      </c>
      <c r="G16" s="104">
        <v>0</v>
      </c>
      <c r="H16" s="105">
        <f t="shared" si="0"/>
        <v>2921641593</v>
      </c>
      <c r="I16" s="103">
        <v>0</v>
      </c>
    </row>
    <row r="17" spans="1:9">
      <c r="A17" s="101" t="s">
        <v>11</v>
      </c>
      <c r="B17" s="88" t="s">
        <v>312</v>
      </c>
      <c r="C17" s="102">
        <v>1998</v>
      </c>
      <c r="D17" s="104">
        <v>1765228816</v>
      </c>
      <c r="E17" s="104">
        <v>656412928</v>
      </c>
      <c r="F17" s="104">
        <v>801838709</v>
      </c>
      <c r="G17" s="104">
        <v>0</v>
      </c>
      <c r="H17" s="105">
        <f t="shared" si="0"/>
        <v>3223480453</v>
      </c>
      <c r="I17" s="103">
        <v>0</v>
      </c>
    </row>
    <row r="18" spans="1:9">
      <c r="A18" s="101" t="s">
        <v>11</v>
      </c>
      <c r="B18" s="88" t="s">
        <v>312</v>
      </c>
      <c r="C18" s="102">
        <v>1999</v>
      </c>
      <c r="D18" s="104">
        <v>1522162487</v>
      </c>
      <c r="E18" s="104">
        <v>970984676</v>
      </c>
      <c r="F18" s="104">
        <v>832518202</v>
      </c>
      <c r="G18" s="104">
        <v>0</v>
      </c>
      <c r="H18" s="105">
        <f t="shared" si="0"/>
        <v>3325665365</v>
      </c>
      <c r="I18" s="103">
        <v>0</v>
      </c>
    </row>
    <row r="19" spans="1:9">
      <c r="A19" s="101" t="s">
        <v>11</v>
      </c>
      <c r="B19" s="88" t="s">
        <v>312</v>
      </c>
      <c r="C19" s="102">
        <v>2000</v>
      </c>
      <c r="D19" s="104">
        <v>1495584985</v>
      </c>
      <c r="E19" s="104">
        <v>1100140248</v>
      </c>
      <c r="F19" s="104">
        <v>839904048</v>
      </c>
      <c r="G19" s="104">
        <v>0</v>
      </c>
      <c r="H19" s="105">
        <f t="shared" si="0"/>
        <v>3435629281</v>
      </c>
      <c r="I19" s="103">
        <v>0</v>
      </c>
    </row>
    <row r="20" spans="1:9">
      <c r="A20" s="101" t="s">
        <v>11</v>
      </c>
      <c r="B20" s="88" t="s">
        <v>312</v>
      </c>
      <c r="C20" s="102">
        <v>2001</v>
      </c>
      <c r="D20" s="104">
        <v>1437218805</v>
      </c>
      <c r="E20" s="104">
        <v>1353545717.5999899</v>
      </c>
      <c r="F20" s="104">
        <v>851034121</v>
      </c>
      <c r="G20" s="104">
        <v>0</v>
      </c>
      <c r="H20" s="105">
        <f t="shared" si="0"/>
        <v>3641798643.5999899</v>
      </c>
      <c r="I20" s="103">
        <v>0</v>
      </c>
    </row>
    <row r="21" spans="1:9">
      <c r="A21" s="101" t="s">
        <v>11</v>
      </c>
      <c r="B21" s="88" t="s">
        <v>312</v>
      </c>
      <c r="C21" s="102">
        <v>2002</v>
      </c>
      <c r="D21" s="104">
        <v>1476872679</v>
      </c>
      <c r="E21" s="104">
        <v>1688525889</v>
      </c>
      <c r="F21" s="104">
        <v>869103587</v>
      </c>
      <c r="G21" s="104">
        <v>0</v>
      </c>
      <c r="H21" s="105">
        <f t="shared" si="0"/>
        <v>4034502155</v>
      </c>
      <c r="I21" s="103">
        <v>0</v>
      </c>
    </row>
    <row r="22" spans="1:9">
      <c r="A22" s="101" t="s">
        <v>11</v>
      </c>
      <c r="B22" s="88" t="s">
        <v>312</v>
      </c>
      <c r="C22" s="102">
        <v>2003</v>
      </c>
      <c r="D22" s="106">
        <v>1599611950</v>
      </c>
      <c r="E22" s="106">
        <v>1597500288</v>
      </c>
      <c r="F22" s="106">
        <v>950050960</v>
      </c>
      <c r="G22" s="104">
        <v>0</v>
      </c>
      <c r="H22" s="105">
        <f t="shared" si="0"/>
        <v>4147163198</v>
      </c>
      <c r="I22" s="103">
        <v>0</v>
      </c>
    </row>
    <row r="23" spans="1:9">
      <c r="A23" s="101" t="s">
        <v>11</v>
      </c>
      <c r="B23" s="88" t="s">
        <v>312</v>
      </c>
      <c r="C23" s="102">
        <v>2004</v>
      </c>
      <c r="D23" s="106">
        <v>1580545670</v>
      </c>
      <c r="E23" s="106">
        <v>1409043866</v>
      </c>
      <c r="F23" s="106">
        <v>1002804803</v>
      </c>
      <c r="G23" s="104">
        <v>0</v>
      </c>
      <c r="H23" s="105">
        <f t="shared" si="0"/>
        <v>3992394339</v>
      </c>
      <c r="I23" s="103">
        <v>0</v>
      </c>
    </row>
    <row r="24" spans="1:9">
      <c r="A24" s="101" t="s">
        <v>11</v>
      </c>
      <c r="B24" s="88" t="s">
        <v>312</v>
      </c>
      <c r="C24" s="102">
        <v>2005</v>
      </c>
      <c r="D24" s="106">
        <v>1611639721</v>
      </c>
      <c r="E24" s="106">
        <v>1323709890</v>
      </c>
      <c r="F24" s="106">
        <v>1052387230.46</v>
      </c>
      <c r="G24" s="104">
        <v>0</v>
      </c>
      <c r="H24" s="105">
        <f t="shared" si="0"/>
        <v>3987736841.46</v>
      </c>
      <c r="I24" s="103">
        <v>0</v>
      </c>
    </row>
    <row r="25" spans="1:9">
      <c r="A25" s="101" t="s">
        <v>11</v>
      </c>
      <c r="B25" s="88" t="s">
        <v>312</v>
      </c>
      <c r="C25" s="102">
        <v>2006</v>
      </c>
      <c r="D25" s="103">
        <v>1705149763</v>
      </c>
      <c r="E25" s="103">
        <v>1528232544</v>
      </c>
      <c r="F25" s="103">
        <v>1239555578</v>
      </c>
      <c r="G25" s="103">
        <v>0</v>
      </c>
      <c r="H25" s="105">
        <f t="shared" si="0"/>
        <v>4472937885</v>
      </c>
      <c r="I25" s="103">
        <v>0</v>
      </c>
    </row>
    <row r="26" spans="1:9">
      <c r="A26" s="101" t="s">
        <v>11</v>
      </c>
      <c r="B26" s="88" t="s">
        <v>312</v>
      </c>
      <c r="C26" s="102">
        <v>2007</v>
      </c>
      <c r="D26" s="103">
        <v>1716976644</v>
      </c>
      <c r="E26" s="103">
        <v>1490878108</v>
      </c>
      <c r="F26" s="103">
        <v>1386765456</v>
      </c>
      <c r="G26" s="103">
        <v>0</v>
      </c>
      <c r="H26" s="105">
        <f t="shared" si="0"/>
        <v>4594620208</v>
      </c>
      <c r="I26" s="103">
        <v>0</v>
      </c>
    </row>
    <row r="27" spans="1:9">
      <c r="A27" s="101" t="s">
        <v>11</v>
      </c>
      <c r="B27" s="88" t="s">
        <v>312</v>
      </c>
      <c r="C27" s="102">
        <v>2008</v>
      </c>
      <c r="D27" s="103">
        <v>1721718796</v>
      </c>
      <c r="E27" s="103">
        <v>2068735254</v>
      </c>
      <c r="F27" s="103">
        <v>1392087604</v>
      </c>
      <c r="G27" s="103">
        <v>0</v>
      </c>
      <c r="H27" s="105">
        <f t="shared" si="0"/>
        <v>5182541654</v>
      </c>
      <c r="I27" s="103">
        <v>0</v>
      </c>
    </row>
    <row r="28" spans="1:9">
      <c r="A28" s="101" t="s">
        <v>11</v>
      </c>
      <c r="B28" s="88" t="s">
        <v>312</v>
      </c>
      <c r="C28" s="102">
        <v>2009</v>
      </c>
      <c r="D28" s="103">
        <v>1801381577</v>
      </c>
      <c r="E28" s="103">
        <v>2071513165</v>
      </c>
      <c r="F28" s="103">
        <v>1416706082</v>
      </c>
      <c r="G28" s="103">
        <v>0</v>
      </c>
      <c r="H28" s="105">
        <f t="shared" si="0"/>
        <v>5289600824</v>
      </c>
      <c r="I28" s="103">
        <v>0</v>
      </c>
    </row>
    <row r="29" spans="1:9">
      <c r="A29" s="101" t="s">
        <v>11</v>
      </c>
      <c r="B29" s="88" t="s">
        <v>312</v>
      </c>
      <c r="C29" s="102">
        <v>2010</v>
      </c>
      <c r="D29" s="103">
        <v>1820141971</v>
      </c>
      <c r="E29" s="103">
        <v>1704196131</v>
      </c>
      <c r="F29" s="103">
        <v>1454644461</v>
      </c>
      <c r="G29" s="103">
        <v>0</v>
      </c>
      <c r="H29" s="105">
        <f t="shared" si="0"/>
        <v>4978982563</v>
      </c>
      <c r="I29" s="103">
        <v>0</v>
      </c>
    </row>
    <row r="30" spans="1:9">
      <c r="A30" s="101" t="s">
        <v>11</v>
      </c>
      <c r="B30" s="88" t="s">
        <v>312</v>
      </c>
      <c r="C30" s="102">
        <v>2011</v>
      </c>
      <c r="D30" s="103">
        <v>1947668716</v>
      </c>
      <c r="E30" s="103">
        <v>1673224938</v>
      </c>
      <c r="F30" s="103">
        <v>1462025445.96</v>
      </c>
      <c r="G30" s="103">
        <v>0</v>
      </c>
      <c r="H30" s="105">
        <f t="shared" si="0"/>
        <v>5082919099.96</v>
      </c>
      <c r="I30" s="103">
        <v>0</v>
      </c>
    </row>
    <row r="31" spans="1:9">
      <c r="A31" s="101" t="s">
        <v>11</v>
      </c>
      <c r="B31" s="88" t="s">
        <v>312</v>
      </c>
      <c r="C31" s="102">
        <v>2012</v>
      </c>
      <c r="D31" s="103">
        <v>2024787258</v>
      </c>
      <c r="E31" s="103">
        <v>1711584871</v>
      </c>
      <c r="F31" s="103">
        <v>1447719607</v>
      </c>
      <c r="G31" s="103">
        <v>0</v>
      </c>
      <c r="H31" s="105">
        <f t="shared" si="0"/>
        <v>5184091736</v>
      </c>
      <c r="I31" s="103">
        <v>0</v>
      </c>
    </row>
    <row r="32" spans="1:9">
      <c r="A32" s="101" t="s">
        <v>11</v>
      </c>
      <c r="B32" s="88" t="s">
        <v>312</v>
      </c>
      <c r="C32" s="102">
        <v>2013</v>
      </c>
      <c r="D32" s="103">
        <v>2048341878</v>
      </c>
      <c r="E32" s="103">
        <v>1698846231</v>
      </c>
      <c r="F32" s="103">
        <v>1359398387</v>
      </c>
      <c r="G32" s="103">
        <v>0</v>
      </c>
      <c r="H32" s="105">
        <f t="shared" si="0"/>
        <v>5106586496</v>
      </c>
      <c r="I32" s="103">
        <v>0</v>
      </c>
    </row>
    <row r="33" spans="1:10">
      <c r="A33" s="101" t="s">
        <v>11</v>
      </c>
      <c r="B33" s="88" t="s">
        <v>312</v>
      </c>
      <c r="C33" s="102">
        <v>2014</v>
      </c>
      <c r="D33" s="103">
        <v>2271980928</v>
      </c>
      <c r="E33" s="103">
        <v>1781087625</v>
      </c>
      <c r="F33" s="103">
        <v>1421537577.53</v>
      </c>
      <c r="G33" s="103">
        <v>0</v>
      </c>
      <c r="H33" s="105">
        <f t="shared" si="0"/>
        <v>5474606130.5299997</v>
      </c>
      <c r="I33" s="103">
        <v>0</v>
      </c>
    </row>
    <row r="34" spans="1:10">
      <c r="A34" s="101" t="s">
        <v>11</v>
      </c>
      <c r="B34" s="88" t="s">
        <v>312</v>
      </c>
      <c r="C34" s="102">
        <v>2015</v>
      </c>
      <c r="D34" s="103">
        <v>2092459147</v>
      </c>
      <c r="E34" s="103">
        <v>2209753048</v>
      </c>
      <c r="F34" s="103">
        <v>1436399669</v>
      </c>
      <c r="G34" s="103">
        <v>0</v>
      </c>
      <c r="H34" s="105">
        <f t="shared" si="0"/>
        <v>5738611864</v>
      </c>
      <c r="I34" s="103">
        <v>0</v>
      </c>
    </row>
    <row r="35" spans="1:10">
      <c r="A35" s="101" t="s">
        <v>11</v>
      </c>
      <c r="B35" s="88" t="s">
        <v>312</v>
      </c>
      <c r="C35" s="102">
        <v>2016</v>
      </c>
      <c r="D35" s="103">
        <v>2262705895</v>
      </c>
      <c r="E35" s="103">
        <v>2350627626</v>
      </c>
      <c r="F35" s="103">
        <v>1487172706</v>
      </c>
      <c r="G35" s="103">
        <v>0</v>
      </c>
      <c r="H35" s="105">
        <f t="shared" si="0"/>
        <v>6100506227</v>
      </c>
      <c r="I35" s="103">
        <v>0</v>
      </c>
    </row>
    <row r="36" spans="1:10">
      <c r="A36" s="101" t="str">
        <f t="shared" ref="A36:B39" si="1">A35</f>
        <v>Alabama</v>
      </c>
      <c r="B36" s="88" t="str">
        <f t="shared" si="1"/>
        <v>AL</v>
      </c>
      <c r="C36" s="102">
        <f>C35+1</f>
        <v>2017</v>
      </c>
      <c r="D36" s="103">
        <v>2212137078</v>
      </c>
      <c r="E36" s="103">
        <v>2274028522</v>
      </c>
      <c r="F36" s="103">
        <v>1574392248.71</v>
      </c>
      <c r="G36" s="103">
        <v>0</v>
      </c>
      <c r="H36" s="105">
        <f>SUM(D36:G36)</f>
        <v>6060557848.71</v>
      </c>
      <c r="I36" s="103">
        <v>0</v>
      </c>
    </row>
    <row r="37" spans="1:10">
      <c r="A37" s="101" t="str">
        <f t="shared" si="1"/>
        <v>Alabama</v>
      </c>
      <c r="B37" s="88" t="str">
        <f t="shared" si="1"/>
        <v>AL</v>
      </c>
      <c r="C37" s="102">
        <v>2018</v>
      </c>
      <c r="D37" s="103">
        <v>2228234861</v>
      </c>
      <c r="E37" s="103">
        <v>2589422020</v>
      </c>
      <c r="F37" s="103">
        <v>1659171749.8</v>
      </c>
      <c r="G37" s="103">
        <v>0</v>
      </c>
      <c r="H37" s="105">
        <f>SUM(D37:G37)</f>
        <v>6476828630.8000002</v>
      </c>
      <c r="I37" s="103">
        <v>0</v>
      </c>
    </row>
    <row r="38" spans="1:10">
      <c r="A38" s="101" t="str">
        <f t="shared" si="1"/>
        <v>Alabama</v>
      </c>
      <c r="B38" s="88" t="str">
        <f t="shared" si="1"/>
        <v>AL</v>
      </c>
      <c r="C38" s="102">
        <v>2019</v>
      </c>
      <c r="D38" s="103">
        <v>2345209739</v>
      </c>
      <c r="E38" s="103">
        <v>2683505286</v>
      </c>
      <c r="F38" s="103">
        <v>1777335103.47</v>
      </c>
      <c r="G38" s="103">
        <v>0</v>
      </c>
      <c r="H38" s="105">
        <f>SUM(D38:G38)</f>
        <v>6806050128.4700003</v>
      </c>
      <c r="I38" s="103">
        <v>0</v>
      </c>
    </row>
    <row r="39" spans="1:10">
      <c r="A39" s="101" t="str">
        <f t="shared" si="1"/>
        <v>Alabama</v>
      </c>
      <c r="B39" s="88" t="str">
        <f t="shared" si="1"/>
        <v>AL</v>
      </c>
      <c r="C39" s="102">
        <v>2020</v>
      </c>
      <c r="D39" s="103">
        <v>2622535841</v>
      </c>
      <c r="E39" s="103">
        <v>2675914410</v>
      </c>
      <c r="F39" s="103">
        <v>1719203126</v>
      </c>
      <c r="G39" s="103">
        <v>0</v>
      </c>
      <c r="H39" s="105">
        <f>SUM(D39:G39)</f>
        <v>7017653377</v>
      </c>
      <c r="I39" s="103">
        <v>0</v>
      </c>
    </row>
    <row r="40" spans="1:10">
      <c r="A40" s="101"/>
      <c r="B40" s="107"/>
      <c r="C40" s="97"/>
      <c r="D40" s="104"/>
      <c r="E40" s="104"/>
      <c r="F40" s="104"/>
      <c r="G40" s="104"/>
      <c r="H40" s="103"/>
      <c r="I40" s="103"/>
    </row>
    <row r="41" spans="1:10">
      <c r="A41" s="101" t="s">
        <v>12</v>
      </c>
      <c r="B41" s="88" t="s">
        <v>674</v>
      </c>
      <c r="C41" s="102">
        <v>1988</v>
      </c>
      <c r="D41" s="104">
        <v>108194556</v>
      </c>
      <c r="E41" s="104">
        <v>146027211</v>
      </c>
      <c r="F41" s="104">
        <v>165500532</v>
      </c>
      <c r="G41" s="104">
        <v>70708094</v>
      </c>
      <c r="H41" s="105">
        <f>SUM(D41:G41)</f>
        <v>490430393</v>
      </c>
      <c r="I41" s="103">
        <v>0</v>
      </c>
    </row>
    <row r="42" spans="1:10">
      <c r="A42" s="101" t="s">
        <v>12</v>
      </c>
      <c r="B42" s="88" t="s">
        <v>674</v>
      </c>
      <c r="C42" s="102">
        <v>1989</v>
      </c>
      <c r="D42" s="104">
        <v>98720606</v>
      </c>
      <c r="E42" s="104">
        <v>80620637</v>
      </c>
      <c r="F42" s="104">
        <v>199478149</v>
      </c>
      <c r="G42" s="104">
        <v>133807535</v>
      </c>
      <c r="H42" s="105">
        <f t="shared" ref="H42:H73" si="2">SUM(D42:G42)</f>
        <v>512626927</v>
      </c>
      <c r="I42" s="103">
        <v>0</v>
      </c>
    </row>
    <row r="43" spans="1:10">
      <c r="A43" s="101" t="s">
        <v>12</v>
      </c>
      <c r="B43" s="88" t="s">
        <v>674</v>
      </c>
      <c r="C43" s="102">
        <v>1990</v>
      </c>
      <c r="D43" s="104">
        <v>105521489</v>
      </c>
      <c r="E43" s="104">
        <v>82639779.120000005</v>
      </c>
      <c r="F43" s="104">
        <v>211313179</v>
      </c>
      <c r="G43" s="104">
        <v>58817866</v>
      </c>
      <c r="H43" s="105">
        <f t="shared" si="2"/>
        <v>458292313.12</v>
      </c>
      <c r="I43" s="103">
        <v>0</v>
      </c>
    </row>
    <row r="44" spans="1:10">
      <c r="A44" s="101" t="s">
        <v>12</v>
      </c>
      <c r="B44" s="88" t="s">
        <v>674</v>
      </c>
      <c r="C44" s="102">
        <v>1991</v>
      </c>
      <c r="D44" s="104">
        <v>117021644</v>
      </c>
      <c r="E44" s="104">
        <v>74559241</v>
      </c>
      <c r="F44" s="104">
        <v>242267271</v>
      </c>
      <c r="G44" s="104">
        <v>71511693</v>
      </c>
      <c r="H44" s="105">
        <f t="shared" si="2"/>
        <v>505359849</v>
      </c>
      <c r="I44" s="103">
        <v>0</v>
      </c>
    </row>
    <row r="45" spans="1:10">
      <c r="A45" s="101" t="s">
        <v>12</v>
      </c>
      <c r="B45" s="88" t="s">
        <v>674</v>
      </c>
      <c r="C45" s="102">
        <v>1992</v>
      </c>
      <c r="D45" s="104">
        <v>118894951</v>
      </c>
      <c r="E45" s="104">
        <v>63469976.880000003</v>
      </c>
      <c r="F45" s="104">
        <v>195289258</v>
      </c>
      <c r="G45" s="104">
        <v>65045346</v>
      </c>
      <c r="H45" s="105">
        <f t="shared" si="2"/>
        <v>442699531.88</v>
      </c>
      <c r="I45" s="103">
        <v>0</v>
      </c>
    </row>
    <row r="46" spans="1:10">
      <c r="A46" s="101" t="s">
        <v>12</v>
      </c>
      <c r="B46" s="88" t="s">
        <v>674</v>
      </c>
      <c r="C46" s="102">
        <v>1993</v>
      </c>
      <c r="D46" s="104">
        <v>124823759</v>
      </c>
      <c r="E46" s="104">
        <v>54607616</v>
      </c>
      <c r="F46" s="104">
        <v>242415660</v>
      </c>
      <c r="G46" s="104">
        <v>72723507</v>
      </c>
      <c r="H46" s="105">
        <f t="shared" si="2"/>
        <v>494570542</v>
      </c>
      <c r="I46" s="103">
        <v>0</v>
      </c>
      <c r="J46" s="108"/>
    </row>
    <row r="47" spans="1:10">
      <c r="A47" s="101" t="s">
        <v>12</v>
      </c>
      <c r="B47" s="88" t="s">
        <v>674</v>
      </c>
      <c r="C47" s="102">
        <v>1994</v>
      </c>
      <c r="D47" s="104">
        <v>132580495</v>
      </c>
      <c r="E47" s="104">
        <v>69155054</v>
      </c>
      <c r="F47" s="104">
        <v>259965547</v>
      </c>
      <c r="G47" s="104">
        <v>56724285</v>
      </c>
      <c r="H47" s="105">
        <f t="shared" si="2"/>
        <v>518425381</v>
      </c>
      <c r="I47" s="103">
        <v>0</v>
      </c>
    </row>
    <row r="48" spans="1:10">
      <c r="A48" s="101" t="s">
        <v>12</v>
      </c>
      <c r="B48" s="88" t="s">
        <v>674</v>
      </c>
      <c r="C48" s="102">
        <v>1995</v>
      </c>
      <c r="D48" s="104">
        <v>136692524</v>
      </c>
      <c r="E48" s="104">
        <v>71601082</v>
      </c>
      <c r="F48" s="104">
        <v>265469085</v>
      </c>
      <c r="G48" s="104">
        <v>49273564</v>
      </c>
      <c r="H48" s="105">
        <f t="shared" si="2"/>
        <v>523036255</v>
      </c>
      <c r="I48" s="103">
        <v>0</v>
      </c>
    </row>
    <row r="49" spans="1:10">
      <c r="A49" s="101" t="s">
        <v>12</v>
      </c>
      <c r="B49" s="88" t="s">
        <v>674</v>
      </c>
      <c r="C49" s="102">
        <v>1996</v>
      </c>
      <c r="D49" s="104">
        <v>124780376</v>
      </c>
      <c r="E49" s="104">
        <v>45704264</v>
      </c>
      <c r="F49" s="104">
        <v>270885227</v>
      </c>
      <c r="G49" s="104">
        <v>40384762</v>
      </c>
      <c r="H49" s="105">
        <f t="shared" si="2"/>
        <v>481754629</v>
      </c>
      <c r="I49" s="103">
        <v>0</v>
      </c>
    </row>
    <row r="50" spans="1:10">
      <c r="A50" s="101" t="s">
        <v>12</v>
      </c>
      <c r="B50" s="88" t="s">
        <v>674</v>
      </c>
      <c r="C50" s="102">
        <v>1997</v>
      </c>
      <c r="D50" s="104">
        <v>125738063</v>
      </c>
      <c r="E50" s="104">
        <v>66860564</v>
      </c>
      <c r="F50" s="104">
        <v>191985698</v>
      </c>
      <c r="G50" s="104">
        <v>61100032</v>
      </c>
      <c r="H50" s="105">
        <f t="shared" si="2"/>
        <v>445684357</v>
      </c>
      <c r="I50" s="103">
        <v>0</v>
      </c>
    </row>
    <row r="51" spans="1:10">
      <c r="A51" s="101" t="s">
        <v>12</v>
      </c>
      <c r="B51" s="88" t="s">
        <v>674</v>
      </c>
      <c r="C51" s="102">
        <v>1998</v>
      </c>
      <c r="D51" s="104">
        <v>123945958</v>
      </c>
      <c r="E51" s="104">
        <v>59588328</v>
      </c>
      <c r="F51" s="104">
        <v>132772524</v>
      </c>
      <c r="G51" s="104">
        <v>42355593</v>
      </c>
      <c r="H51" s="105">
        <f t="shared" si="2"/>
        <v>358662403</v>
      </c>
      <c r="I51" s="103">
        <v>0</v>
      </c>
    </row>
    <row r="52" spans="1:10">
      <c r="A52" s="101" t="s">
        <v>12</v>
      </c>
      <c r="B52" s="88" t="s">
        <v>674</v>
      </c>
      <c r="C52" s="102">
        <v>1999</v>
      </c>
      <c r="D52" s="104">
        <v>131820177</v>
      </c>
      <c r="E52" s="104">
        <v>83350395</v>
      </c>
      <c r="F52" s="104">
        <v>140227309</v>
      </c>
      <c r="G52" s="104">
        <v>42102959</v>
      </c>
      <c r="H52" s="105">
        <f t="shared" si="2"/>
        <v>397500840</v>
      </c>
      <c r="I52" s="103">
        <v>0</v>
      </c>
    </row>
    <row r="53" spans="1:10">
      <c r="A53" s="101" t="s">
        <v>12</v>
      </c>
      <c r="B53" s="88" t="s">
        <v>674</v>
      </c>
      <c r="C53" s="102">
        <v>2000</v>
      </c>
      <c r="D53" s="104">
        <v>141314368</v>
      </c>
      <c r="E53" s="104">
        <v>122751017</v>
      </c>
      <c r="F53" s="104">
        <v>158093390</v>
      </c>
      <c r="G53" s="104">
        <v>7989596</v>
      </c>
      <c r="H53" s="105">
        <f t="shared" si="2"/>
        <v>430148371</v>
      </c>
      <c r="I53" s="103">
        <v>14908166</v>
      </c>
      <c r="J53" s="52" t="s">
        <v>675</v>
      </c>
    </row>
    <row r="54" spans="1:10">
      <c r="A54" s="101" t="s">
        <v>12</v>
      </c>
      <c r="B54" s="88" t="s">
        <v>674</v>
      </c>
      <c r="C54" s="102">
        <v>2001</v>
      </c>
      <c r="D54" s="104">
        <v>173597642</v>
      </c>
      <c r="E54" s="104">
        <v>116820390</v>
      </c>
      <c r="F54" s="104">
        <v>150122514</v>
      </c>
      <c r="G54" s="104">
        <v>41824400</v>
      </c>
      <c r="H54" s="105">
        <f t="shared" si="2"/>
        <v>482364946</v>
      </c>
      <c r="I54" s="103">
        <v>5569661</v>
      </c>
      <c r="J54" s="52" t="s">
        <v>675</v>
      </c>
    </row>
    <row r="55" spans="1:10">
      <c r="A55" s="101" t="s">
        <v>12</v>
      </c>
      <c r="B55" s="88" t="s">
        <v>674</v>
      </c>
      <c r="C55" s="102">
        <v>2002</v>
      </c>
      <c r="D55" s="104">
        <v>193663196</v>
      </c>
      <c r="E55" s="104">
        <v>171296638</v>
      </c>
      <c r="F55" s="104">
        <v>168182313</v>
      </c>
      <c r="G55" s="104">
        <v>15547458</v>
      </c>
      <c r="H55" s="105">
        <f t="shared" si="2"/>
        <v>548689605</v>
      </c>
      <c r="I55" s="103">
        <v>4906199</v>
      </c>
      <c r="J55" s="52" t="s">
        <v>675</v>
      </c>
    </row>
    <row r="56" spans="1:10">
      <c r="A56" s="101" t="s">
        <v>12</v>
      </c>
      <c r="B56" s="88" t="s">
        <v>674</v>
      </c>
      <c r="C56" s="102">
        <v>2003</v>
      </c>
      <c r="D56" s="106">
        <v>139954280</v>
      </c>
      <c r="E56" s="106">
        <v>153221020</v>
      </c>
      <c r="F56" s="106">
        <v>170635372</v>
      </c>
      <c r="G56" s="106">
        <v>16610763</v>
      </c>
      <c r="H56" s="105">
        <f t="shared" si="2"/>
        <v>480421435</v>
      </c>
      <c r="I56" s="103">
        <v>3996650</v>
      </c>
      <c r="J56" s="52" t="s">
        <v>675</v>
      </c>
    </row>
    <row r="57" spans="1:10">
      <c r="A57" s="101" t="s">
        <v>12</v>
      </c>
      <c r="B57" s="88" t="s">
        <v>674</v>
      </c>
      <c r="C57" s="102">
        <v>2004</v>
      </c>
      <c r="D57" s="106">
        <v>147386672</v>
      </c>
      <c r="E57" s="106">
        <v>144998873</v>
      </c>
      <c r="F57" s="106">
        <v>177280241</v>
      </c>
      <c r="G57" s="106">
        <v>4960972</v>
      </c>
      <c r="H57" s="105">
        <f t="shared" si="2"/>
        <v>474626758</v>
      </c>
      <c r="I57" s="103">
        <v>3566905</v>
      </c>
      <c r="J57" s="52" t="s">
        <v>675</v>
      </c>
    </row>
    <row r="58" spans="1:10">
      <c r="A58" s="101" t="s">
        <v>12</v>
      </c>
      <c r="B58" s="88" t="s">
        <v>674</v>
      </c>
      <c r="C58" s="102">
        <v>2005</v>
      </c>
      <c r="D58" s="106">
        <v>145601854</v>
      </c>
      <c r="E58" s="106">
        <v>159009772</v>
      </c>
      <c r="F58" s="106">
        <v>190560149.28</v>
      </c>
      <c r="G58" s="106">
        <v>8843589</v>
      </c>
      <c r="H58" s="105">
        <f t="shared" si="2"/>
        <v>504015364.27999997</v>
      </c>
      <c r="I58" s="103">
        <v>1852360</v>
      </c>
      <c r="J58" s="52" t="s">
        <v>675</v>
      </c>
    </row>
    <row r="59" spans="1:10">
      <c r="A59" s="101" t="s">
        <v>12</v>
      </c>
      <c r="B59" s="88" t="s">
        <v>674</v>
      </c>
      <c r="C59" s="102">
        <v>2006</v>
      </c>
      <c r="D59" s="103">
        <v>174475329</v>
      </c>
      <c r="E59" s="103">
        <v>184705486</v>
      </c>
      <c r="F59" s="103">
        <v>221790985</v>
      </c>
      <c r="G59" s="103">
        <v>9483144</v>
      </c>
      <c r="H59" s="105">
        <f t="shared" si="2"/>
        <v>590454944</v>
      </c>
      <c r="I59" s="103">
        <v>1821829</v>
      </c>
      <c r="J59" s="52" t="s">
        <v>675</v>
      </c>
    </row>
    <row r="60" spans="1:10">
      <c r="A60" s="101" t="s">
        <v>12</v>
      </c>
      <c r="B60" s="88" t="s">
        <v>674</v>
      </c>
      <c r="C60" s="102">
        <v>2007</v>
      </c>
      <c r="D60" s="103">
        <v>180292423</v>
      </c>
      <c r="E60" s="103">
        <v>231031591</v>
      </c>
      <c r="F60" s="103">
        <v>233570214</v>
      </c>
      <c r="G60" s="103">
        <v>15048615</v>
      </c>
      <c r="H60" s="105">
        <f t="shared" si="2"/>
        <v>659942843</v>
      </c>
      <c r="I60" s="103">
        <v>1147809</v>
      </c>
      <c r="J60" s="52" t="s">
        <v>675</v>
      </c>
    </row>
    <row r="61" spans="1:10">
      <c r="A61" s="101" t="s">
        <v>12</v>
      </c>
      <c r="B61" s="88" t="s">
        <v>674</v>
      </c>
      <c r="C61" s="102">
        <v>2008</v>
      </c>
      <c r="D61" s="103">
        <v>212486382</v>
      </c>
      <c r="E61" s="103">
        <v>213904174</v>
      </c>
      <c r="F61" s="103">
        <v>252373069</v>
      </c>
      <c r="G61" s="103">
        <v>5099315</v>
      </c>
      <c r="H61" s="105">
        <f t="shared" si="2"/>
        <v>683862940</v>
      </c>
      <c r="I61" s="103">
        <v>371582</v>
      </c>
      <c r="J61" s="52" t="s">
        <v>675</v>
      </c>
    </row>
    <row r="62" spans="1:10">
      <c r="A62" s="101" t="s">
        <v>12</v>
      </c>
      <c r="B62" s="88" t="s">
        <v>674</v>
      </c>
      <c r="C62" s="102">
        <v>2009</v>
      </c>
      <c r="D62" s="103">
        <v>266442943</v>
      </c>
      <c r="E62" s="103">
        <v>228527036</v>
      </c>
      <c r="F62" s="103">
        <v>281548760</v>
      </c>
      <c r="G62" s="103">
        <v>12409371</v>
      </c>
      <c r="H62" s="105">
        <f t="shared" si="2"/>
        <v>788928110</v>
      </c>
      <c r="I62" s="103">
        <v>748877</v>
      </c>
      <c r="J62" s="52" t="s">
        <v>675</v>
      </c>
    </row>
    <row r="63" spans="1:10">
      <c r="A63" s="101" t="s">
        <v>12</v>
      </c>
      <c r="B63" s="88" t="s">
        <v>674</v>
      </c>
      <c r="C63" s="102">
        <v>2010</v>
      </c>
      <c r="D63" s="103">
        <v>281673668</v>
      </c>
      <c r="E63" s="103">
        <v>220667006</v>
      </c>
      <c r="F63" s="103">
        <v>308685000</v>
      </c>
      <c r="G63" s="103">
        <v>4839573</v>
      </c>
      <c r="H63" s="105">
        <f t="shared" si="2"/>
        <v>815865247</v>
      </c>
      <c r="I63" s="103">
        <v>1079945</v>
      </c>
      <c r="J63" s="52" t="s">
        <v>675</v>
      </c>
    </row>
    <row r="64" spans="1:10">
      <c r="A64" s="101" t="s">
        <v>12</v>
      </c>
      <c r="B64" s="88" t="s">
        <v>674</v>
      </c>
      <c r="C64" s="102">
        <v>2011</v>
      </c>
      <c r="D64" s="103">
        <v>276572479</v>
      </c>
      <c r="E64" s="103">
        <v>197547077</v>
      </c>
      <c r="F64" s="103">
        <v>317137286.25</v>
      </c>
      <c r="G64" s="103">
        <v>5858989</v>
      </c>
      <c r="H64" s="105">
        <f t="shared" si="2"/>
        <v>797115831.25</v>
      </c>
      <c r="I64" s="103">
        <v>597037</v>
      </c>
      <c r="J64" s="52" t="s">
        <v>675</v>
      </c>
    </row>
    <row r="65" spans="1:11">
      <c r="A65" s="101" t="s">
        <v>12</v>
      </c>
      <c r="B65" s="88" t="s">
        <v>674</v>
      </c>
      <c r="C65" s="102">
        <v>2012</v>
      </c>
      <c r="D65" s="103">
        <v>321895443</v>
      </c>
      <c r="E65" s="103">
        <v>221068561</v>
      </c>
      <c r="F65" s="103">
        <v>319589038</v>
      </c>
      <c r="G65" s="103">
        <v>10197104</v>
      </c>
      <c r="H65" s="105">
        <f t="shared" si="2"/>
        <v>872750146</v>
      </c>
      <c r="I65" s="103">
        <v>554767</v>
      </c>
      <c r="J65" s="52" t="s">
        <v>675</v>
      </c>
    </row>
    <row r="66" spans="1:11">
      <c r="A66" s="101" t="s">
        <v>12</v>
      </c>
      <c r="B66" s="88" t="s">
        <v>674</v>
      </c>
      <c r="C66" s="102">
        <v>2013</v>
      </c>
      <c r="D66" s="103">
        <v>311938125</v>
      </c>
      <c r="E66" s="103">
        <v>199744646</v>
      </c>
      <c r="F66" s="103">
        <v>341407395</v>
      </c>
      <c r="G66" s="103">
        <v>6001195</v>
      </c>
      <c r="H66" s="105">
        <f t="shared" si="2"/>
        <v>859091361</v>
      </c>
      <c r="I66" s="103">
        <v>465874</v>
      </c>
      <c r="J66" s="52" t="s">
        <v>675</v>
      </c>
    </row>
    <row r="67" spans="1:11">
      <c r="A67" s="101" t="s">
        <v>12</v>
      </c>
      <c r="B67" s="88" t="s">
        <v>674</v>
      </c>
      <c r="C67" s="97">
        <v>2014</v>
      </c>
      <c r="D67" s="103">
        <v>265256702</v>
      </c>
      <c r="E67" s="103">
        <v>359672160</v>
      </c>
      <c r="F67" s="103">
        <v>351237705.40999997</v>
      </c>
      <c r="G67" s="103">
        <v>11868677</v>
      </c>
      <c r="H67" s="105">
        <f t="shared" si="2"/>
        <v>988035244.40999997</v>
      </c>
      <c r="I67" s="103">
        <v>1313592</v>
      </c>
      <c r="J67" s="52" t="s">
        <v>675</v>
      </c>
    </row>
    <row r="68" spans="1:11">
      <c r="A68" s="101" t="s">
        <v>12</v>
      </c>
      <c r="B68" s="88" t="s">
        <v>674</v>
      </c>
      <c r="C68" s="97">
        <v>2015</v>
      </c>
      <c r="D68" s="103">
        <v>300021226</v>
      </c>
      <c r="E68" s="103">
        <v>251816717</v>
      </c>
      <c r="F68" s="103">
        <v>415069518</v>
      </c>
      <c r="G68" s="103">
        <v>8611397</v>
      </c>
      <c r="H68" s="105">
        <f t="shared" si="2"/>
        <v>975518858</v>
      </c>
      <c r="I68" s="103">
        <v>665070</v>
      </c>
      <c r="J68" s="52" t="s">
        <v>675</v>
      </c>
    </row>
    <row r="69" spans="1:11">
      <c r="A69" s="101" t="s">
        <v>12</v>
      </c>
      <c r="B69" s="88" t="s">
        <v>674</v>
      </c>
      <c r="C69" s="97">
        <v>2016</v>
      </c>
      <c r="D69" s="103">
        <v>320692929</v>
      </c>
      <c r="E69" s="103">
        <v>270147991</v>
      </c>
      <c r="F69" s="103">
        <v>419675904</v>
      </c>
      <c r="G69" s="103">
        <v>21228975</v>
      </c>
      <c r="H69" s="105">
        <f t="shared" si="2"/>
        <v>1031745799</v>
      </c>
      <c r="I69" s="103">
        <v>4712329</v>
      </c>
      <c r="J69" s="52" t="s">
        <v>675</v>
      </c>
    </row>
    <row r="70" spans="1:11">
      <c r="A70" s="101" t="s">
        <v>12</v>
      </c>
      <c r="B70" s="88" t="s">
        <v>674</v>
      </c>
      <c r="C70" s="102">
        <f>C69+1</f>
        <v>2017</v>
      </c>
      <c r="D70" s="103">
        <v>332884468</v>
      </c>
      <c r="E70" s="103">
        <v>252055861</v>
      </c>
      <c r="F70" s="103">
        <v>288950143.43000001</v>
      </c>
      <c r="G70" s="103">
        <v>9567865</v>
      </c>
      <c r="H70" s="105">
        <f t="shared" si="2"/>
        <v>883458337.43000007</v>
      </c>
      <c r="I70" s="103">
        <v>3969223</v>
      </c>
      <c r="J70" s="52" t="s">
        <v>675</v>
      </c>
    </row>
    <row r="71" spans="1:11">
      <c r="A71" s="101" t="s">
        <v>12</v>
      </c>
      <c r="B71" s="88" t="s">
        <v>674</v>
      </c>
      <c r="C71" s="102">
        <v>2018</v>
      </c>
      <c r="D71" s="103">
        <v>343805804</v>
      </c>
      <c r="E71" s="103">
        <v>331555935</v>
      </c>
      <c r="F71" s="103">
        <v>696340903.25999999</v>
      </c>
      <c r="G71" s="103">
        <v>9910816</v>
      </c>
      <c r="H71" s="105">
        <f t="shared" si="2"/>
        <v>1381613458.26</v>
      </c>
      <c r="I71" s="103">
        <v>6841126</v>
      </c>
      <c r="J71" s="87" t="s">
        <v>676</v>
      </c>
      <c r="K71" s="52" t="s">
        <v>677</v>
      </c>
    </row>
    <row r="72" spans="1:11">
      <c r="A72" s="101" t="s">
        <v>12</v>
      </c>
      <c r="B72" s="88" t="s">
        <v>674</v>
      </c>
      <c r="C72" s="102">
        <v>2019</v>
      </c>
      <c r="D72" s="103">
        <v>379690964</v>
      </c>
      <c r="E72" s="103">
        <v>316101421</v>
      </c>
      <c r="F72" s="103">
        <v>669962698.88999999</v>
      </c>
      <c r="G72" s="103">
        <v>9907851</v>
      </c>
      <c r="H72" s="105">
        <f t="shared" si="2"/>
        <v>1375662934.8899999</v>
      </c>
      <c r="I72" s="103">
        <v>6484750</v>
      </c>
      <c r="J72" s="109" t="s">
        <v>678</v>
      </c>
    </row>
    <row r="73" spans="1:11">
      <c r="A73" s="101" t="s">
        <v>12</v>
      </c>
      <c r="B73" s="88" t="s">
        <v>674</v>
      </c>
      <c r="C73" s="102">
        <v>2020</v>
      </c>
      <c r="D73" s="103">
        <v>316137740</v>
      </c>
      <c r="E73" s="103">
        <v>287475413</v>
      </c>
      <c r="F73" s="103">
        <v>675355551</v>
      </c>
      <c r="G73" s="103">
        <v>26680366</v>
      </c>
      <c r="H73" s="105">
        <f t="shared" si="2"/>
        <v>1305649070</v>
      </c>
      <c r="I73" s="103">
        <v>14535187</v>
      </c>
      <c r="J73" s="109" t="s">
        <v>678</v>
      </c>
    </row>
    <row r="74" spans="1:11">
      <c r="A74" s="101"/>
      <c r="B74" s="107"/>
      <c r="D74" s="104"/>
      <c r="E74" s="104"/>
      <c r="F74" s="104"/>
      <c r="G74" s="104"/>
      <c r="H74" s="103"/>
      <c r="I74" s="103"/>
    </row>
    <row r="75" spans="1:11">
      <c r="A75" s="101" t="s">
        <v>13</v>
      </c>
      <c r="B75" s="88" t="s">
        <v>230</v>
      </c>
      <c r="C75" s="102">
        <v>1988</v>
      </c>
      <c r="D75" s="104">
        <v>688326688</v>
      </c>
      <c r="E75" s="104">
        <v>807437615</v>
      </c>
      <c r="F75" s="104">
        <v>738008373</v>
      </c>
      <c r="G75" s="104">
        <v>0</v>
      </c>
      <c r="H75" s="105">
        <f>SUM(D75:G75)</f>
        <v>2233772676</v>
      </c>
      <c r="I75" s="103">
        <v>0</v>
      </c>
    </row>
    <row r="76" spans="1:11">
      <c r="A76" s="101" t="s">
        <v>13</v>
      </c>
      <c r="B76" s="88" t="s">
        <v>230</v>
      </c>
      <c r="C76" s="102">
        <v>1989</v>
      </c>
      <c r="D76" s="104">
        <v>618828696</v>
      </c>
      <c r="E76" s="104">
        <v>902016256</v>
      </c>
      <c r="F76" s="104">
        <v>741844889</v>
      </c>
      <c r="G76" s="104">
        <v>0</v>
      </c>
      <c r="H76" s="105">
        <f t="shared" ref="H76:H107" si="3">SUM(D76:G76)</f>
        <v>2262689841</v>
      </c>
      <c r="I76" s="103">
        <v>0</v>
      </c>
    </row>
    <row r="77" spans="1:11">
      <c r="A77" s="101" t="s">
        <v>13</v>
      </c>
      <c r="B77" s="88" t="s">
        <v>230</v>
      </c>
      <c r="C77" s="102">
        <v>1990</v>
      </c>
      <c r="D77" s="104">
        <v>668078492</v>
      </c>
      <c r="E77" s="104">
        <v>1036854061.5599999</v>
      </c>
      <c r="F77" s="104">
        <v>759453231</v>
      </c>
      <c r="G77" s="104">
        <v>0</v>
      </c>
      <c r="H77" s="105">
        <f t="shared" si="3"/>
        <v>2464385784.5599999</v>
      </c>
      <c r="I77" s="103">
        <v>0</v>
      </c>
    </row>
    <row r="78" spans="1:11">
      <c r="A78" s="101" t="s">
        <v>13</v>
      </c>
      <c r="B78" s="88" t="s">
        <v>230</v>
      </c>
      <c r="C78" s="102">
        <v>1991</v>
      </c>
      <c r="D78" s="104">
        <v>680516072</v>
      </c>
      <c r="E78" s="104">
        <v>1033819972</v>
      </c>
      <c r="F78" s="104">
        <v>818143873</v>
      </c>
      <c r="G78" s="104">
        <v>0</v>
      </c>
      <c r="H78" s="105">
        <f t="shared" si="3"/>
        <v>2532479917</v>
      </c>
      <c r="I78" s="103">
        <v>0</v>
      </c>
    </row>
    <row r="79" spans="1:11">
      <c r="A79" s="101" t="s">
        <v>13</v>
      </c>
      <c r="B79" s="88" t="s">
        <v>230</v>
      </c>
      <c r="C79" s="102">
        <v>1992</v>
      </c>
      <c r="D79" s="104">
        <v>699190174</v>
      </c>
      <c r="E79" s="104">
        <v>962225506</v>
      </c>
      <c r="F79" s="104">
        <v>888167789</v>
      </c>
      <c r="G79" s="104">
        <v>0</v>
      </c>
      <c r="H79" s="105">
        <f t="shared" si="3"/>
        <v>2549583469</v>
      </c>
      <c r="I79" s="103">
        <v>0</v>
      </c>
    </row>
    <row r="80" spans="1:11">
      <c r="A80" s="101" t="s">
        <v>13</v>
      </c>
      <c r="B80" s="88" t="s">
        <v>230</v>
      </c>
      <c r="C80" s="102">
        <v>1993</v>
      </c>
      <c r="D80" s="104">
        <v>769661289</v>
      </c>
      <c r="E80" s="104">
        <v>745520009</v>
      </c>
      <c r="F80" s="104">
        <v>899185814</v>
      </c>
      <c r="G80" s="104">
        <v>0</v>
      </c>
      <c r="H80" s="105">
        <f t="shared" si="3"/>
        <v>2414367112</v>
      </c>
      <c r="I80" s="103">
        <v>0</v>
      </c>
    </row>
    <row r="81" spans="1:9">
      <c r="A81" s="101" t="s">
        <v>13</v>
      </c>
      <c r="B81" s="88" t="s">
        <v>230</v>
      </c>
      <c r="C81" s="102">
        <v>1994</v>
      </c>
      <c r="D81" s="104">
        <v>835246733</v>
      </c>
      <c r="E81" s="104">
        <v>1057454156</v>
      </c>
      <c r="F81" s="104">
        <v>947657514</v>
      </c>
      <c r="G81" s="104">
        <v>0</v>
      </c>
      <c r="H81" s="105">
        <f t="shared" si="3"/>
        <v>2840358403</v>
      </c>
      <c r="I81" s="103">
        <v>0</v>
      </c>
    </row>
    <row r="82" spans="1:9">
      <c r="A82" s="101" t="s">
        <v>13</v>
      </c>
      <c r="B82" s="88" t="s">
        <v>230</v>
      </c>
      <c r="C82" s="102">
        <v>1995</v>
      </c>
      <c r="D82" s="104">
        <v>904819131</v>
      </c>
      <c r="E82" s="104">
        <v>1101342449</v>
      </c>
      <c r="F82" s="104">
        <v>991282948</v>
      </c>
      <c r="G82" s="104">
        <v>0</v>
      </c>
      <c r="H82" s="105">
        <f t="shared" si="3"/>
        <v>2997444528</v>
      </c>
      <c r="I82" s="103">
        <v>0</v>
      </c>
    </row>
    <row r="83" spans="1:9">
      <c r="A83" s="101" t="s">
        <v>13</v>
      </c>
      <c r="B83" s="88" t="s">
        <v>230</v>
      </c>
      <c r="C83" s="102">
        <v>1996</v>
      </c>
      <c r="D83" s="104">
        <v>914872582</v>
      </c>
      <c r="E83" s="104">
        <v>1013791854</v>
      </c>
      <c r="F83" s="104">
        <v>1016208279</v>
      </c>
      <c r="G83" s="104">
        <v>0</v>
      </c>
      <c r="H83" s="105">
        <f t="shared" si="3"/>
        <v>2944872715</v>
      </c>
      <c r="I83" s="103">
        <v>0</v>
      </c>
    </row>
    <row r="84" spans="1:9">
      <c r="A84" s="101" t="s">
        <v>13</v>
      </c>
      <c r="B84" s="88" t="s">
        <v>230</v>
      </c>
      <c r="C84" s="102">
        <v>1997</v>
      </c>
      <c r="D84" s="104">
        <v>958535220</v>
      </c>
      <c r="E84" s="104">
        <v>988369329</v>
      </c>
      <c r="F84" s="104">
        <v>1021320576</v>
      </c>
      <c r="G84" s="104">
        <v>0</v>
      </c>
      <c r="H84" s="105">
        <f t="shared" si="3"/>
        <v>2968225125</v>
      </c>
      <c r="I84" s="103">
        <v>0</v>
      </c>
    </row>
    <row r="85" spans="1:9">
      <c r="A85" s="101" t="s">
        <v>13</v>
      </c>
      <c r="B85" s="88" t="s">
        <v>230</v>
      </c>
      <c r="C85" s="102">
        <v>1998</v>
      </c>
      <c r="D85" s="104">
        <v>1066565381</v>
      </c>
      <c r="E85" s="104">
        <v>1008731917</v>
      </c>
      <c r="F85" s="104">
        <v>1116492090</v>
      </c>
      <c r="G85" s="104">
        <v>0</v>
      </c>
      <c r="H85" s="105">
        <f t="shared" si="3"/>
        <v>3191789388</v>
      </c>
      <c r="I85" s="103">
        <v>0</v>
      </c>
    </row>
    <row r="86" spans="1:9">
      <c r="A86" s="101" t="s">
        <v>13</v>
      </c>
      <c r="B86" s="88" t="s">
        <v>230</v>
      </c>
      <c r="C86" s="102">
        <v>1999</v>
      </c>
      <c r="D86" s="104">
        <v>1009492961</v>
      </c>
      <c r="E86" s="104">
        <v>1359033618</v>
      </c>
      <c r="F86" s="104">
        <v>1211810659</v>
      </c>
      <c r="G86" s="104">
        <v>0</v>
      </c>
      <c r="H86" s="105">
        <f t="shared" si="3"/>
        <v>3580337238</v>
      </c>
      <c r="I86" s="103">
        <v>0</v>
      </c>
    </row>
    <row r="87" spans="1:9">
      <c r="A87" s="101" t="s">
        <v>13</v>
      </c>
      <c r="B87" s="88" t="s">
        <v>230</v>
      </c>
      <c r="C87" s="102">
        <v>2000</v>
      </c>
      <c r="D87" s="104">
        <v>1087230956</v>
      </c>
      <c r="E87" s="104">
        <v>1428669305</v>
      </c>
      <c r="F87" s="104">
        <v>1313172243</v>
      </c>
      <c r="G87" s="104">
        <v>0</v>
      </c>
      <c r="H87" s="105">
        <f t="shared" si="3"/>
        <v>3829072504</v>
      </c>
      <c r="I87" s="103">
        <v>0</v>
      </c>
    </row>
    <row r="88" spans="1:9">
      <c r="A88" s="101" t="s">
        <v>13</v>
      </c>
      <c r="B88" s="88" t="s">
        <v>230</v>
      </c>
      <c r="C88" s="102">
        <v>2001</v>
      </c>
      <c r="D88" s="104">
        <v>1110962972</v>
      </c>
      <c r="E88" s="104">
        <v>2003768866.47</v>
      </c>
      <c r="F88" s="104">
        <v>1467882791</v>
      </c>
      <c r="G88" s="104">
        <v>0</v>
      </c>
      <c r="H88" s="105">
        <f t="shared" si="3"/>
        <v>4582614629.4700003</v>
      </c>
      <c r="I88" s="103">
        <v>0</v>
      </c>
    </row>
    <row r="89" spans="1:9">
      <c r="A89" s="101" t="s">
        <v>13</v>
      </c>
      <c r="B89" s="88" t="s">
        <v>230</v>
      </c>
      <c r="C89" s="102">
        <v>2002</v>
      </c>
      <c r="D89" s="104">
        <v>1186595842</v>
      </c>
      <c r="E89" s="104">
        <v>3012431693</v>
      </c>
      <c r="F89" s="104">
        <v>1756613240</v>
      </c>
      <c r="G89" s="104">
        <v>0</v>
      </c>
      <c r="H89" s="105">
        <f t="shared" si="3"/>
        <v>5955640775</v>
      </c>
      <c r="I89" s="103">
        <v>0</v>
      </c>
    </row>
    <row r="90" spans="1:9">
      <c r="A90" s="101" t="s">
        <v>13</v>
      </c>
      <c r="B90" s="88" t="s">
        <v>230</v>
      </c>
      <c r="C90" s="102">
        <v>2003</v>
      </c>
      <c r="D90" s="106">
        <v>1269051596</v>
      </c>
      <c r="E90" s="106">
        <v>2556235601</v>
      </c>
      <c r="F90" s="106">
        <v>2121912584</v>
      </c>
      <c r="G90" s="104">
        <v>0</v>
      </c>
      <c r="H90" s="105">
        <f t="shared" si="3"/>
        <v>5947199781</v>
      </c>
      <c r="I90" s="103">
        <v>0</v>
      </c>
    </row>
    <row r="91" spans="1:9">
      <c r="A91" s="101" t="s">
        <v>13</v>
      </c>
      <c r="B91" s="88" t="s">
        <v>230</v>
      </c>
      <c r="C91" s="102">
        <v>2004</v>
      </c>
      <c r="D91" s="110">
        <v>1391009540</v>
      </c>
      <c r="E91" s="110">
        <v>2372069445</v>
      </c>
      <c r="F91" s="110">
        <v>2449137809</v>
      </c>
      <c r="G91" s="104">
        <v>0</v>
      </c>
      <c r="H91" s="105">
        <f t="shared" si="3"/>
        <v>6212216794</v>
      </c>
      <c r="I91" s="103">
        <v>0</v>
      </c>
    </row>
    <row r="92" spans="1:9">
      <c r="A92" s="101" t="s">
        <v>13</v>
      </c>
      <c r="B92" s="88" t="s">
        <v>230</v>
      </c>
      <c r="C92" s="102">
        <v>2005</v>
      </c>
      <c r="D92" s="110">
        <v>1479077664</v>
      </c>
      <c r="E92" s="110">
        <v>2451301787</v>
      </c>
      <c r="F92" s="110">
        <v>2565072814.9499898</v>
      </c>
      <c r="G92" s="104">
        <v>0</v>
      </c>
      <c r="H92" s="105">
        <f t="shared" si="3"/>
        <v>6495452265.9499893</v>
      </c>
      <c r="I92" s="103">
        <v>0</v>
      </c>
    </row>
    <row r="93" spans="1:9">
      <c r="A93" s="101" t="s">
        <v>13</v>
      </c>
      <c r="B93" s="88" t="s">
        <v>230</v>
      </c>
      <c r="C93" s="102">
        <v>2006</v>
      </c>
      <c r="D93" s="103">
        <v>1780931161</v>
      </c>
      <c r="E93" s="103">
        <v>2684510258</v>
      </c>
      <c r="F93" s="103">
        <v>3172639072</v>
      </c>
      <c r="G93" s="103">
        <v>0</v>
      </c>
      <c r="H93" s="105">
        <f t="shared" si="3"/>
        <v>7638080491</v>
      </c>
      <c r="I93" s="103">
        <v>0</v>
      </c>
    </row>
    <row r="94" spans="1:9">
      <c r="A94" s="101" t="s">
        <v>13</v>
      </c>
      <c r="B94" s="88" t="s">
        <v>230</v>
      </c>
      <c r="C94" s="102">
        <v>2007</v>
      </c>
      <c r="D94" s="103">
        <v>1667766491</v>
      </c>
      <c r="E94" s="103">
        <v>2507933408</v>
      </c>
      <c r="F94" s="103">
        <v>3465227671</v>
      </c>
      <c r="G94" s="103">
        <v>0</v>
      </c>
      <c r="H94" s="105">
        <f t="shared" si="3"/>
        <v>7640927570</v>
      </c>
      <c r="I94" s="103">
        <v>0</v>
      </c>
    </row>
    <row r="95" spans="1:9">
      <c r="A95" s="101" t="s">
        <v>13</v>
      </c>
      <c r="B95" s="88" t="s">
        <v>230</v>
      </c>
      <c r="C95" s="102">
        <v>2008</v>
      </c>
      <c r="D95" s="103">
        <v>1711134036</v>
      </c>
      <c r="E95" s="103">
        <v>3435799732</v>
      </c>
      <c r="F95" s="103">
        <v>3520262661</v>
      </c>
      <c r="G95" s="103">
        <v>0</v>
      </c>
      <c r="H95" s="105">
        <f t="shared" si="3"/>
        <v>8667196429</v>
      </c>
      <c r="I95" s="103">
        <v>0</v>
      </c>
    </row>
    <row r="96" spans="1:9">
      <c r="A96" s="101" t="s">
        <v>13</v>
      </c>
      <c r="B96" s="88" t="s">
        <v>230</v>
      </c>
      <c r="C96" s="102">
        <v>2009</v>
      </c>
      <c r="D96" s="103">
        <v>1825183771</v>
      </c>
      <c r="E96" s="103">
        <v>3418937829</v>
      </c>
      <c r="F96" s="103">
        <v>3407597263</v>
      </c>
      <c r="G96" s="103">
        <v>0</v>
      </c>
      <c r="H96" s="105">
        <f t="shared" si="3"/>
        <v>8651718863</v>
      </c>
      <c r="I96" s="103">
        <v>0</v>
      </c>
    </row>
    <row r="97" spans="1:11">
      <c r="A97" s="101" t="s">
        <v>13</v>
      </c>
      <c r="B97" s="88" t="s">
        <v>230</v>
      </c>
      <c r="C97" s="102">
        <v>2010</v>
      </c>
      <c r="D97" s="103">
        <v>1869327765</v>
      </c>
      <c r="E97" s="103">
        <v>2866849158</v>
      </c>
      <c r="F97" s="103">
        <v>3334402749</v>
      </c>
      <c r="G97" s="103">
        <v>0</v>
      </c>
      <c r="H97" s="105">
        <f t="shared" si="3"/>
        <v>8070579672</v>
      </c>
      <c r="I97" s="103">
        <v>0</v>
      </c>
    </row>
    <row r="98" spans="1:11">
      <c r="A98" s="101" t="s">
        <v>13</v>
      </c>
      <c r="B98" s="88" t="s">
        <v>230</v>
      </c>
      <c r="C98" s="102">
        <v>2011</v>
      </c>
      <c r="D98" s="103">
        <v>1955128177</v>
      </c>
      <c r="E98" s="103">
        <v>2852336498</v>
      </c>
      <c r="F98" s="103">
        <v>3587172205</v>
      </c>
      <c r="G98" s="103">
        <v>0</v>
      </c>
      <c r="H98" s="105">
        <f t="shared" si="3"/>
        <v>8394636880</v>
      </c>
      <c r="I98" s="103">
        <v>1</v>
      </c>
    </row>
    <row r="99" spans="1:11">
      <c r="A99" s="101" t="s">
        <v>13</v>
      </c>
      <c r="B99" s="88" t="s">
        <v>230</v>
      </c>
      <c r="C99" s="102">
        <v>2012</v>
      </c>
      <c r="D99" s="103">
        <v>2002085483</v>
      </c>
      <c r="E99" s="103">
        <v>3224670239</v>
      </c>
      <c r="F99" s="103">
        <v>3599827562</v>
      </c>
      <c r="G99" s="103">
        <v>0</v>
      </c>
      <c r="H99" s="105">
        <f t="shared" si="3"/>
        <v>8826583284</v>
      </c>
      <c r="I99" s="103">
        <v>0</v>
      </c>
    </row>
    <row r="100" spans="1:11">
      <c r="A100" s="101" t="s">
        <v>13</v>
      </c>
      <c r="B100" s="88" t="s">
        <v>230</v>
      </c>
      <c r="C100" s="102">
        <v>2013</v>
      </c>
      <c r="D100" s="103">
        <v>2026680681</v>
      </c>
      <c r="E100" s="103">
        <v>2797739910</v>
      </c>
      <c r="F100" s="103">
        <v>3409561642</v>
      </c>
      <c r="G100" s="103">
        <v>0</v>
      </c>
      <c r="H100" s="105">
        <f t="shared" si="3"/>
        <v>8233982233</v>
      </c>
      <c r="I100" s="103">
        <v>0</v>
      </c>
    </row>
    <row r="101" spans="1:11">
      <c r="A101" s="101" t="s">
        <v>13</v>
      </c>
      <c r="B101" s="88" t="s">
        <v>230</v>
      </c>
      <c r="C101" s="97">
        <v>2014</v>
      </c>
      <c r="D101" s="103">
        <v>2082230449</v>
      </c>
      <c r="E101" s="103">
        <v>4026872310</v>
      </c>
      <c r="F101" s="103">
        <v>3512465208.4700003</v>
      </c>
      <c r="G101" s="103">
        <v>0</v>
      </c>
      <c r="H101" s="105">
        <f t="shared" si="3"/>
        <v>9621567967.4700012</v>
      </c>
      <c r="I101" s="103">
        <v>0</v>
      </c>
    </row>
    <row r="102" spans="1:11">
      <c r="A102" s="101" t="s">
        <v>13</v>
      </c>
      <c r="B102" s="88" t="s">
        <v>230</v>
      </c>
      <c r="C102" s="97">
        <v>2015</v>
      </c>
      <c r="D102" s="103">
        <v>2236094755</v>
      </c>
      <c r="E102" s="103">
        <v>3489588404</v>
      </c>
      <c r="F102" s="103">
        <v>3689202652</v>
      </c>
      <c r="G102" s="103">
        <v>0</v>
      </c>
      <c r="H102" s="105">
        <f t="shared" si="3"/>
        <v>9414885811</v>
      </c>
      <c r="I102" s="103">
        <v>0</v>
      </c>
    </row>
    <row r="103" spans="1:11">
      <c r="A103" s="101" t="s">
        <v>13</v>
      </c>
      <c r="B103" s="88" t="s">
        <v>230</v>
      </c>
      <c r="C103" s="97">
        <v>2016</v>
      </c>
      <c r="D103" s="103">
        <v>2258739981</v>
      </c>
      <c r="E103" s="103">
        <v>3929696444</v>
      </c>
      <c r="F103" s="103">
        <v>3824950787</v>
      </c>
      <c r="G103" s="103">
        <v>0</v>
      </c>
      <c r="H103" s="105">
        <f t="shared" si="3"/>
        <v>10013387212</v>
      </c>
      <c r="I103" s="103">
        <v>0</v>
      </c>
    </row>
    <row r="104" spans="1:11">
      <c r="A104" s="101" t="s">
        <v>13</v>
      </c>
      <c r="B104" s="88" t="s">
        <v>230</v>
      </c>
      <c r="C104" s="97">
        <v>2017</v>
      </c>
      <c r="D104" s="103">
        <v>2345504809</v>
      </c>
      <c r="E104" s="103">
        <v>4029315269</v>
      </c>
      <c r="F104" s="103">
        <v>3582410105.2600002</v>
      </c>
      <c r="G104" s="103">
        <v>0</v>
      </c>
      <c r="H104" s="105">
        <f t="shared" si="3"/>
        <v>9957230183.2600002</v>
      </c>
      <c r="I104" s="103">
        <v>0</v>
      </c>
    </row>
    <row r="105" spans="1:11">
      <c r="A105" s="101" t="s">
        <v>13</v>
      </c>
      <c r="B105" s="88" t="s">
        <v>230</v>
      </c>
      <c r="C105" s="102">
        <v>2018</v>
      </c>
      <c r="D105" s="103">
        <v>2396469444</v>
      </c>
      <c r="E105" s="103">
        <v>4790990553</v>
      </c>
      <c r="F105" s="103">
        <v>4786019247.4099998</v>
      </c>
      <c r="G105" s="103">
        <v>0</v>
      </c>
      <c r="H105" s="105">
        <f t="shared" si="3"/>
        <v>11973479244.41</v>
      </c>
      <c r="I105" s="103">
        <v>0</v>
      </c>
      <c r="J105" s="109" t="s">
        <v>679</v>
      </c>
      <c r="K105" s="52" t="s">
        <v>677</v>
      </c>
    </row>
    <row r="106" spans="1:11">
      <c r="A106" s="101" t="s">
        <v>13</v>
      </c>
      <c r="B106" s="88" t="s">
        <v>230</v>
      </c>
      <c r="C106" s="102">
        <v>2019</v>
      </c>
      <c r="D106" s="103">
        <v>2600204093</v>
      </c>
      <c r="E106" s="103">
        <v>5444672700</v>
      </c>
      <c r="F106" s="103">
        <v>5092689616.4478998</v>
      </c>
      <c r="G106" s="103">
        <v>0</v>
      </c>
      <c r="H106" s="105">
        <f t="shared" si="3"/>
        <v>13137566409.447899</v>
      </c>
      <c r="I106" s="103">
        <v>0</v>
      </c>
      <c r="J106" s="109" t="s">
        <v>680</v>
      </c>
    </row>
    <row r="107" spans="1:11">
      <c r="A107" s="101" t="s">
        <v>13</v>
      </c>
      <c r="B107" s="88" t="s">
        <v>230</v>
      </c>
      <c r="C107" s="102">
        <v>2020</v>
      </c>
      <c r="D107" s="103">
        <v>2670538726</v>
      </c>
      <c r="E107" s="103">
        <v>5103597460</v>
      </c>
      <c r="F107" s="103">
        <v>4908168930</v>
      </c>
      <c r="G107" s="103">
        <v>0</v>
      </c>
      <c r="H107" s="105">
        <f t="shared" si="3"/>
        <v>12682305116</v>
      </c>
      <c r="I107" s="103">
        <v>0</v>
      </c>
      <c r="J107" s="109" t="s">
        <v>680</v>
      </c>
    </row>
    <row r="108" spans="1:11">
      <c r="A108" s="101"/>
      <c r="B108" s="107"/>
      <c r="D108" s="104"/>
      <c r="E108" s="104"/>
      <c r="F108" s="104"/>
      <c r="G108" s="104"/>
      <c r="H108" s="103"/>
      <c r="I108" s="103"/>
    </row>
    <row r="109" spans="1:11">
      <c r="A109" s="101" t="s">
        <v>15</v>
      </c>
      <c r="B109" s="88" t="s">
        <v>446</v>
      </c>
      <c r="C109" s="102">
        <v>1988</v>
      </c>
      <c r="D109" s="104">
        <v>403585594</v>
      </c>
      <c r="E109" s="104">
        <v>188657941</v>
      </c>
      <c r="F109" s="104">
        <v>660755540</v>
      </c>
      <c r="G109" s="104">
        <v>89549455</v>
      </c>
      <c r="H109" s="105">
        <f>SUM(D109:G109)</f>
        <v>1342548530</v>
      </c>
      <c r="I109" s="103">
        <v>0</v>
      </c>
    </row>
    <row r="110" spans="1:11">
      <c r="A110" s="101" t="s">
        <v>15</v>
      </c>
      <c r="B110" s="88" t="s">
        <v>446</v>
      </c>
      <c r="C110" s="102">
        <v>1989</v>
      </c>
      <c r="D110" s="104">
        <v>389097958</v>
      </c>
      <c r="E110" s="104">
        <v>199354598</v>
      </c>
      <c r="F110" s="104">
        <v>716957257</v>
      </c>
      <c r="G110" s="104">
        <v>88768750</v>
      </c>
      <c r="H110" s="105">
        <f t="shared" ref="H110:H139" si="4">SUM(D110:G110)</f>
        <v>1394178563</v>
      </c>
      <c r="I110" s="103">
        <v>0</v>
      </c>
    </row>
    <row r="111" spans="1:11">
      <c r="A111" s="101" t="s">
        <v>15</v>
      </c>
      <c r="B111" s="88" t="s">
        <v>446</v>
      </c>
      <c r="C111" s="102">
        <v>1990</v>
      </c>
      <c r="D111" s="104">
        <v>401230229</v>
      </c>
      <c r="E111" s="104">
        <v>224050808.16</v>
      </c>
      <c r="F111" s="104">
        <v>791102524</v>
      </c>
      <c r="G111" s="104">
        <v>83347994</v>
      </c>
      <c r="H111" s="105">
        <f t="shared" si="4"/>
        <v>1499731555.1599998</v>
      </c>
      <c r="I111" s="103">
        <v>0</v>
      </c>
    </row>
    <row r="112" spans="1:11">
      <c r="A112" s="101" t="s">
        <v>15</v>
      </c>
      <c r="B112" s="88" t="s">
        <v>446</v>
      </c>
      <c r="C112" s="102">
        <v>1991</v>
      </c>
      <c r="D112" s="104">
        <v>477470898</v>
      </c>
      <c r="E112" s="104">
        <v>200132968</v>
      </c>
      <c r="F112" s="104">
        <v>820348714</v>
      </c>
      <c r="G112" s="104">
        <v>116564832</v>
      </c>
      <c r="H112" s="105">
        <f t="shared" si="4"/>
        <v>1614517412</v>
      </c>
      <c r="I112" s="103">
        <v>0</v>
      </c>
    </row>
    <row r="113" spans="1:10">
      <c r="A113" s="101" t="s">
        <v>15</v>
      </c>
      <c r="B113" s="88" t="s">
        <v>446</v>
      </c>
      <c r="C113" s="102">
        <v>1992</v>
      </c>
      <c r="D113" s="104">
        <v>519815865</v>
      </c>
      <c r="E113" s="104">
        <v>256497944.80000001</v>
      </c>
      <c r="F113" s="104">
        <v>870503940</v>
      </c>
      <c r="G113" s="104">
        <v>97100599</v>
      </c>
      <c r="H113" s="105">
        <f t="shared" si="4"/>
        <v>1743918348.8</v>
      </c>
      <c r="I113" s="103">
        <v>0</v>
      </c>
    </row>
    <row r="114" spans="1:10">
      <c r="A114" s="101" t="s">
        <v>15</v>
      </c>
      <c r="B114" s="88" t="s">
        <v>446</v>
      </c>
      <c r="C114" s="102">
        <v>1993</v>
      </c>
      <c r="D114" s="104">
        <v>538560400</v>
      </c>
      <c r="E114" s="104">
        <v>202989051</v>
      </c>
      <c r="F114" s="104">
        <v>934145868</v>
      </c>
      <c r="G114" s="104">
        <v>101590201</v>
      </c>
      <c r="H114" s="105">
        <f t="shared" si="4"/>
        <v>1777285520</v>
      </c>
      <c r="I114" s="103">
        <v>0</v>
      </c>
    </row>
    <row r="115" spans="1:10">
      <c r="A115" s="101" t="s">
        <v>15</v>
      </c>
      <c r="B115" s="88" t="s">
        <v>446</v>
      </c>
      <c r="C115" s="102">
        <v>1994</v>
      </c>
      <c r="D115" s="104">
        <v>684050813</v>
      </c>
      <c r="E115" s="104">
        <v>270384983</v>
      </c>
      <c r="F115" s="104">
        <v>938798293</v>
      </c>
      <c r="G115" s="104">
        <v>97199515</v>
      </c>
      <c r="H115" s="105">
        <f t="shared" si="4"/>
        <v>1990433604</v>
      </c>
      <c r="I115" s="103">
        <v>0</v>
      </c>
    </row>
    <row r="116" spans="1:10">
      <c r="A116" s="101" t="s">
        <v>15</v>
      </c>
      <c r="B116" s="88" t="s">
        <v>446</v>
      </c>
      <c r="C116" s="102">
        <v>1995</v>
      </c>
      <c r="D116" s="104">
        <v>707862793</v>
      </c>
      <c r="E116" s="104">
        <v>264823669</v>
      </c>
      <c r="F116" s="104">
        <v>997473403</v>
      </c>
      <c r="G116" s="104">
        <v>100491974</v>
      </c>
      <c r="H116" s="105">
        <f t="shared" si="4"/>
        <v>2070651839</v>
      </c>
      <c r="I116" s="103">
        <v>0</v>
      </c>
    </row>
    <row r="117" spans="1:10">
      <c r="A117" s="101" t="s">
        <v>15</v>
      </c>
      <c r="B117" s="88" t="s">
        <v>446</v>
      </c>
      <c r="C117" s="102">
        <v>1996</v>
      </c>
      <c r="D117" s="104">
        <v>656253210</v>
      </c>
      <c r="E117" s="104">
        <v>260552792</v>
      </c>
      <c r="F117" s="104">
        <v>1015805406</v>
      </c>
      <c r="G117" s="104">
        <v>101852660</v>
      </c>
      <c r="H117" s="105">
        <f t="shared" si="4"/>
        <v>2034464068</v>
      </c>
      <c r="I117" s="103">
        <v>0</v>
      </c>
    </row>
    <row r="118" spans="1:10">
      <c r="A118" s="101" t="s">
        <v>15</v>
      </c>
      <c r="B118" s="88" t="s">
        <v>446</v>
      </c>
      <c r="C118" s="102">
        <v>1997</v>
      </c>
      <c r="D118" s="104">
        <v>620263360</v>
      </c>
      <c r="E118" s="104">
        <v>314827473</v>
      </c>
      <c r="F118" s="104">
        <v>986732375</v>
      </c>
      <c r="G118" s="104">
        <v>121341074</v>
      </c>
      <c r="H118" s="105">
        <f t="shared" si="4"/>
        <v>2043164282</v>
      </c>
      <c r="I118" s="103">
        <v>0</v>
      </c>
    </row>
    <row r="119" spans="1:10">
      <c r="A119" s="101" t="s">
        <v>15</v>
      </c>
      <c r="B119" s="88" t="s">
        <v>446</v>
      </c>
      <c r="C119" s="102">
        <v>1998</v>
      </c>
      <c r="D119" s="104">
        <v>596902987</v>
      </c>
      <c r="E119" s="104">
        <v>391333115</v>
      </c>
      <c r="F119" s="104">
        <v>991468701</v>
      </c>
      <c r="G119" s="104">
        <v>15368342</v>
      </c>
      <c r="H119" s="105">
        <f t="shared" si="4"/>
        <v>1995073145</v>
      </c>
      <c r="I119" s="103">
        <v>11381553</v>
      </c>
      <c r="J119" s="52" t="s">
        <v>675</v>
      </c>
    </row>
    <row r="120" spans="1:10">
      <c r="A120" s="101" t="s">
        <v>15</v>
      </c>
      <c r="B120" s="88" t="s">
        <v>446</v>
      </c>
      <c r="C120" s="102">
        <v>1999</v>
      </c>
      <c r="D120" s="104">
        <v>595238824</v>
      </c>
      <c r="E120" s="104">
        <v>564853228</v>
      </c>
      <c r="F120" s="104">
        <v>1080611824</v>
      </c>
      <c r="G120" s="104">
        <v>5046298</v>
      </c>
      <c r="H120" s="105">
        <f t="shared" si="4"/>
        <v>2245750174</v>
      </c>
      <c r="I120" s="103">
        <v>10139684</v>
      </c>
      <c r="J120" s="52" t="s">
        <v>675</v>
      </c>
    </row>
    <row r="121" spans="1:10">
      <c r="A121" s="101" t="s">
        <v>15</v>
      </c>
      <c r="B121" s="88" t="s">
        <v>446</v>
      </c>
      <c r="C121" s="102">
        <v>2000</v>
      </c>
      <c r="D121" s="104">
        <v>605102651</v>
      </c>
      <c r="E121" s="104">
        <v>450103841</v>
      </c>
      <c r="F121" s="104">
        <v>1155058552</v>
      </c>
      <c r="G121" s="104">
        <v>13020484</v>
      </c>
      <c r="H121" s="105">
        <f t="shared" si="4"/>
        <v>2223285528</v>
      </c>
      <c r="I121" s="103">
        <v>11349582</v>
      </c>
      <c r="J121" s="52" t="s">
        <v>675</v>
      </c>
    </row>
    <row r="122" spans="1:10">
      <c r="A122" s="101" t="s">
        <v>15</v>
      </c>
      <c r="B122" s="88" t="s">
        <v>446</v>
      </c>
      <c r="C122" s="102">
        <v>2001</v>
      </c>
      <c r="D122" s="104">
        <v>659858807</v>
      </c>
      <c r="E122" s="104">
        <v>649078022.77999902</v>
      </c>
      <c r="F122" s="104">
        <v>1304080389</v>
      </c>
      <c r="G122" s="104">
        <v>16444055</v>
      </c>
      <c r="H122" s="105">
        <f t="shared" si="4"/>
        <v>2629461273.7799988</v>
      </c>
      <c r="I122" s="103">
        <v>9343242</v>
      </c>
      <c r="J122" s="52" t="s">
        <v>675</v>
      </c>
    </row>
    <row r="123" spans="1:10">
      <c r="A123" s="101" t="s">
        <v>15</v>
      </c>
      <c r="B123" s="88" t="s">
        <v>446</v>
      </c>
      <c r="C123" s="102">
        <v>2002</v>
      </c>
      <c r="D123" s="104">
        <v>702625994</v>
      </c>
      <c r="E123" s="104">
        <v>946958659</v>
      </c>
      <c r="F123" s="104">
        <v>1393730603</v>
      </c>
      <c r="G123" s="104">
        <v>21180324</v>
      </c>
      <c r="H123" s="105">
        <f t="shared" si="4"/>
        <v>3064495580</v>
      </c>
      <c r="I123" s="103">
        <v>6304586</v>
      </c>
      <c r="J123" s="52" t="s">
        <v>675</v>
      </c>
    </row>
    <row r="124" spans="1:10">
      <c r="A124" s="101" t="s">
        <v>15</v>
      </c>
      <c r="B124" s="88" t="s">
        <v>446</v>
      </c>
      <c r="C124" s="102">
        <v>2003</v>
      </c>
      <c r="D124" s="106">
        <v>720689870</v>
      </c>
      <c r="E124" s="106">
        <v>890625150</v>
      </c>
      <c r="F124" s="106">
        <v>1453398803</v>
      </c>
      <c r="G124" s="106">
        <v>19635793</v>
      </c>
      <c r="H124" s="105">
        <f t="shared" si="4"/>
        <v>3084349616</v>
      </c>
      <c r="I124" s="103">
        <v>9111449</v>
      </c>
      <c r="J124" s="52" t="s">
        <v>675</v>
      </c>
    </row>
    <row r="125" spans="1:10">
      <c r="A125" s="101" t="s">
        <v>15</v>
      </c>
      <c r="B125" s="88" t="s">
        <v>446</v>
      </c>
      <c r="C125" s="102">
        <v>2004</v>
      </c>
      <c r="D125" s="106">
        <v>749357414</v>
      </c>
      <c r="E125" s="106">
        <v>727020106</v>
      </c>
      <c r="F125" s="106">
        <v>1520277078</v>
      </c>
      <c r="G125" s="106">
        <v>16411295</v>
      </c>
      <c r="H125" s="105">
        <f t="shared" si="4"/>
        <v>3013065893</v>
      </c>
      <c r="I125" s="103">
        <v>25192022</v>
      </c>
      <c r="J125" s="52" t="s">
        <v>675</v>
      </c>
    </row>
    <row r="126" spans="1:10">
      <c r="A126" s="101" t="s">
        <v>15</v>
      </c>
      <c r="B126" s="88" t="s">
        <v>446</v>
      </c>
      <c r="C126" s="102">
        <v>2005</v>
      </c>
      <c r="D126" s="106">
        <v>744613906</v>
      </c>
      <c r="E126" s="106">
        <v>806403405</v>
      </c>
      <c r="F126" s="106">
        <v>1609434976.99</v>
      </c>
      <c r="G126" s="106">
        <v>22475838</v>
      </c>
      <c r="H126" s="105">
        <f t="shared" si="4"/>
        <v>3182928125.9899998</v>
      </c>
      <c r="I126" s="103">
        <v>17230094</v>
      </c>
      <c r="J126" s="52" t="s">
        <v>675</v>
      </c>
    </row>
    <row r="127" spans="1:10">
      <c r="A127" s="101" t="s">
        <v>15</v>
      </c>
      <c r="B127" s="88" t="s">
        <v>446</v>
      </c>
      <c r="C127" s="102">
        <v>2006</v>
      </c>
      <c r="D127" s="103">
        <v>780217180</v>
      </c>
      <c r="E127" s="103">
        <v>865121851</v>
      </c>
      <c r="F127" s="103">
        <v>1799991112</v>
      </c>
      <c r="G127" s="103">
        <v>16724420</v>
      </c>
      <c r="H127" s="105">
        <f t="shared" si="4"/>
        <v>3462054563</v>
      </c>
      <c r="I127" s="103">
        <v>12280436</v>
      </c>
      <c r="J127" s="52" t="s">
        <v>675</v>
      </c>
    </row>
    <row r="128" spans="1:10">
      <c r="A128" s="101" t="s">
        <v>15</v>
      </c>
      <c r="B128" s="88" t="s">
        <v>446</v>
      </c>
      <c r="C128" s="102">
        <v>2007</v>
      </c>
      <c r="D128" s="103">
        <v>815302125</v>
      </c>
      <c r="E128" s="103">
        <v>943373344</v>
      </c>
      <c r="F128" s="103">
        <v>2039235950</v>
      </c>
      <c r="G128" s="103">
        <v>25474886</v>
      </c>
      <c r="H128" s="105">
        <f t="shared" si="4"/>
        <v>3823386305</v>
      </c>
      <c r="I128" s="103">
        <v>10357768</v>
      </c>
      <c r="J128" s="52" t="s">
        <v>675</v>
      </c>
    </row>
    <row r="129" spans="1:11">
      <c r="A129" s="101" t="s">
        <v>15</v>
      </c>
      <c r="B129" s="88" t="s">
        <v>446</v>
      </c>
      <c r="C129" s="102">
        <v>2008</v>
      </c>
      <c r="D129" s="103">
        <v>825230520</v>
      </c>
      <c r="E129" s="103">
        <v>1202242267</v>
      </c>
      <c r="F129" s="103">
        <v>2147823072</v>
      </c>
      <c r="G129" s="103">
        <v>16744074</v>
      </c>
      <c r="H129" s="105">
        <f t="shared" si="4"/>
        <v>4192039933</v>
      </c>
      <c r="I129" s="103">
        <v>21787122</v>
      </c>
      <c r="J129" s="52" t="s">
        <v>675</v>
      </c>
    </row>
    <row r="130" spans="1:11">
      <c r="A130" s="101" t="s">
        <v>15</v>
      </c>
      <c r="B130" s="88" t="s">
        <v>446</v>
      </c>
      <c r="C130" s="102">
        <v>2009</v>
      </c>
      <c r="D130" s="103">
        <v>885310566</v>
      </c>
      <c r="E130" s="103">
        <v>1153293201</v>
      </c>
      <c r="F130" s="103">
        <v>2232342344</v>
      </c>
      <c r="G130" s="103">
        <v>29223951</v>
      </c>
      <c r="H130" s="105">
        <f t="shared" si="4"/>
        <v>4300170062</v>
      </c>
      <c r="I130" s="103">
        <v>21550471</v>
      </c>
      <c r="J130" s="52" t="s">
        <v>675</v>
      </c>
    </row>
    <row r="131" spans="1:11">
      <c r="A131" s="101" t="s">
        <v>15</v>
      </c>
      <c r="B131" s="88" t="s">
        <v>446</v>
      </c>
      <c r="C131" s="102">
        <v>2010</v>
      </c>
      <c r="D131" s="103">
        <v>897304304</v>
      </c>
      <c r="E131" s="103">
        <v>924235255</v>
      </c>
      <c r="F131" s="103">
        <v>2314383786</v>
      </c>
      <c r="G131" s="103">
        <v>16989914</v>
      </c>
      <c r="H131" s="105">
        <f t="shared" si="4"/>
        <v>4152913259</v>
      </c>
      <c r="I131" s="103">
        <v>37873210</v>
      </c>
      <c r="J131" s="52" t="s">
        <v>675</v>
      </c>
    </row>
    <row r="132" spans="1:11">
      <c r="A132" s="101" t="s">
        <v>15</v>
      </c>
      <c r="B132" s="88" t="s">
        <v>446</v>
      </c>
      <c r="C132" s="102">
        <v>2011</v>
      </c>
      <c r="D132" s="103">
        <v>912378715</v>
      </c>
      <c r="E132" s="103">
        <v>1028003188</v>
      </c>
      <c r="F132" s="103">
        <v>2365102357.6900001</v>
      </c>
      <c r="G132" s="103">
        <v>25301859</v>
      </c>
      <c r="H132" s="105">
        <f t="shared" si="4"/>
        <v>4330786119.6900005</v>
      </c>
      <c r="I132" s="103">
        <v>49107552</v>
      </c>
      <c r="J132" s="52" t="s">
        <v>675</v>
      </c>
    </row>
    <row r="133" spans="1:11">
      <c r="A133" s="101" t="s">
        <v>15</v>
      </c>
      <c r="B133" s="88" t="s">
        <v>446</v>
      </c>
      <c r="C133" s="102">
        <v>2012</v>
      </c>
      <c r="D133" s="103">
        <v>1009296267</v>
      </c>
      <c r="E133" s="103">
        <v>1084481312</v>
      </c>
      <c r="F133" s="103">
        <v>2393160347</v>
      </c>
      <c r="G133" s="103">
        <v>23387728</v>
      </c>
      <c r="H133" s="105">
        <f t="shared" si="4"/>
        <v>4510325654</v>
      </c>
      <c r="I133" s="103">
        <v>35215131</v>
      </c>
      <c r="J133" s="52" t="s">
        <v>675</v>
      </c>
    </row>
    <row r="134" spans="1:11">
      <c r="A134" s="101" t="s">
        <v>15</v>
      </c>
      <c r="B134" s="88" t="s">
        <v>446</v>
      </c>
      <c r="C134" s="102">
        <v>2013</v>
      </c>
      <c r="D134" s="103">
        <v>1034811779</v>
      </c>
      <c r="E134" s="103">
        <v>980225329</v>
      </c>
      <c r="F134" s="103">
        <v>1946751826</v>
      </c>
      <c r="G134" s="103">
        <v>55737640</v>
      </c>
      <c r="H134" s="105">
        <f t="shared" si="4"/>
        <v>4017526574</v>
      </c>
      <c r="I134" s="103">
        <v>29692575</v>
      </c>
      <c r="J134" s="52" t="s">
        <v>675</v>
      </c>
    </row>
    <row r="135" spans="1:11">
      <c r="A135" s="101" t="s">
        <v>15</v>
      </c>
      <c r="B135" s="88" t="s">
        <v>446</v>
      </c>
      <c r="C135" s="97">
        <v>2014</v>
      </c>
      <c r="D135" s="103">
        <v>1019641413</v>
      </c>
      <c r="E135" s="103">
        <v>1127031741</v>
      </c>
      <c r="F135" s="103">
        <v>2645994550.3899999</v>
      </c>
      <c r="G135" s="103">
        <v>15016515</v>
      </c>
      <c r="H135" s="105">
        <f t="shared" si="4"/>
        <v>4807684219.3899994</v>
      </c>
      <c r="I135" s="103">
        <v>85920395</v>
      </c>
      <c r="J135" s="52" t="s">
        <v>675</v>
      </c>
    </row>
    <row r="136" spans="1:11">
      <c r="A136" s="101" t="s">
        <v>15</v>
      </c>
      <c r="B136" s="88" t="s">
        <v>446</v>
      </c>
      <c r="C136" s="97">
        <v>2015</v>
      </c>
      <c r="D136" s="103">
        <v>1070587640</v>
      </c>
      <c r="E136" s="103">
        <v>1168587604</v>
      </c>
      <c r="F136" s="103">
        <v>2953937396</v>
      </c>
      <c r="G136" s="103">
        <v>14850972</v>
      </c>
      <c r="H136" s="105">
        <f t="shared" si="4"/>
        <v>5207963612</v>
      </c>
      <c r="I136" s="103">
        <v>68885894</v>
      </c>
      <c r="J136" s="52" t="s">
        <v>675</v>
      </c>
    </row>
    <row r="137" spans="1:11">
      <c r="A137" s="101" t="s">
        <v>15</v>
      </c>
      <c r="B137" s="88" t="s">
        <v>446</v>
      </c>
      <c r="C137" s="97">
        <v>2016</v>
      </c>
      <c r="D137" s="103">
        <v>1137379677</v>
      </c>
      <c r="E137" s="103">
        <v>1206785873</v>
      </c>
      <c r="F137" s="103">
        <v>3289288864</v>
      </c>
      <c r="G137" s="103">
        <v>22343329</v>
      </c>
      <c r="H137" s="105">
        <f t="shared" si="4"/>
        <v>5655797743</v>
      </c>
      <c r="I137" s="103">
        <v>43000777</v>
      </c>
      <c r="J137" s="52" t="s">
        <v>675</v>
      </c>
    </row>
    <row r="138" spans="1:11">
      <c r="A138" s="101" t="s">
        <v>15</v>
      </c>
      <c r="B138" s="88" t="s">
        <v>446</v>
      </c>
      <c r="C138" s="97">
        <v>2017</v>
      </c>
      <c r="D138" s="103">
        <v>1080643343</v>
      </c>
      <c r="E138" s="103">
        <v>1180563610</v>
      </c>
      <c r="F138" s="103">
        <v>3531212599.4400001</v>
      </c>
      <c r="G138" s="103">
        <v>17218454</v>
      </c>
      <c r="H138" s="105">
        <f t="shared" si="4"/>
        <v>5809638006.4400005</v>
      </c>
      <c r="I138" s="103">
        <v>51758920</v>
      </c>
      <c r="J138" s="52" t="s">
        <v>675</v>
      </c>
    </row>
    <row r="139" spans="1:11">
      <c r="A139" s="101" t="s">
        <v>15</v>
      </c>
      <c r="B139" s="88" t="s">
        <v>446</v>
      </c>
      <c r="C139" s="97">
        <v>2018</v>
      </c>
      <c r="D139" s="103">
        <v>1107321111</v>
      </c>
      <c r="E139" s="103">
        <v>1417710063</v>
      </c>
      <c r="F139" s="103">
        <v>3669153013.1700001</v>
      </c>
      <c r="G139" s="103">
        <v>-147776</v>
      </c>
      <c r="H139" s="105">
        <f t="shared" si="4"/>
        <v>6194036411.1700001</v>
      </c>
      <c r="I139" s="103">
        <v>50220999</v>
      </c>
      <c r="J139" s="52" t="s">
        <v>675</v>
      </c>
    </row>
    <row r="140" spans="1:11">
      <c r="A140" s="101" t="s">
        <v>15</v>
      </c>
      <c r="B140" s="88" t="s">
        <v>446</v>
      </c>
      <c r="C140" s="97">
        <v>2019</v>
      </c>
      <c r="D140" s="103">
        <v>1093323464</v>
      </c>
      <c r="E140" s="103">
        <v>1679067795</v>
      </c>
      <c r="F140" s="103">
        <v>4076752276.6894999</v>
      </c>
      <c r="G140" s="103">
        <v>11220454</v>
      </c>
      <c r="H140" s="105">
        <f>SUM(D140:G140)</f>
        <v>6860363989.6894999</v>
      </c>
      <c r="I140" s="103">
        <v>76925687</v>
      </c>
      <c r="J140" s="111" t="s">
        <v>681</v>
      </c>
      <c r="K140" s="52" t="s">
        <v>677</v>
      </c>
    </row>
    <row r="141" spans="1:11">
      <c r="A141" s="101" t="s">
        <v>15</v>
      </c>
      <c r="B141" s="88" t="s">
        <v>446</v>
      </c>
      <c r="C141" s="97">
        <v>2020</v>
      </c>
      <c r="D141" s="103">
        <v>1153594184</v>
      </c>
      <c r="E141" s="103">
        <v>1363070249</v>
      </c>
      <c r="F141" s="103">
        <v>4370849038</v>
      </c>
      <c r="G141" s="103">
        <v>25546106</v>
      </c>
      <c r="H141" s="105">
        <f>SUM(D141:G141)</f>
        <v>6913059577</v>
      </c>
      <c r="I141" s="103">
        <v>28619716</v>
      </c>
      <c r="J141" s="111" t="s">
        <v>678</v>
      </c>
    </row>
    <row r="142" spans="1:11">
      <c r="A142" s="101"/>
      <c r="B142" s="107"/>
      <c r="D142" s="104"/>
      <c r="E142" s="104"/>
      <c r="F142" s="104"/>
      <c r="G142" s="104"/>
      <c r="H142" s="103"/>
      <c r="I142" s="103"/>
    </row>
    <row r="143" spans="1:11">
      <c r="A143" s="101" t="s">
        <v>16</v>
      </c>
      <c r="B143" s="88" t="s">
        <v>193</v>
      </c>
      <c r="C143" s="102">
        <v>1988</v>
      </c>
      <c r="D143" s="104">
        <v>5869859995</v>
      </c>
      <c r="E143" s="104">
        <v>5645144027</v>
      </c>
      <c r="F143" s="104">
        <v>6136765670</v>
      </c>
      <c r="G143" s="104">
        <v>0</v>
      </c>
      <c r="H143" s="105">
        <f>SUM(D143:G143)</f>
        <v>17651769692</v>
      </c>
      <c r="I143" s="103">
        <v>0</v>
      </c>
    </row>
    <row r="144" spans="1:11">
      <c r="A144" s="101" t="s">
        <v>16</v>
      </c>
      <c r="B144" s="88" t="s">
        <v>193</v>
      </c>
      <c r="C144" s="102">
        <v>1989</v>
      </c>
      <c r="D144" s="104">
        <v>5571024545</v>
      </c>
      <c r="E144" s="104">
        <v>6375337792</v>
      </c>
      <c r="F144" s="104">
        <v>6799488909</v>
      </c>
      <c r="G144" s="104">
        <v>0</v>
      </c>
      <c r="H144" s="105">
        <f t="shared" ref="H144:H175" si="5">SUM(D144:G144)</f>
        <v>18745851246</v>
      </c>
      <c r="I144" s="103">
        <v>0</v>
      </c>
    </row>
    <row r="145" spans="1:9">
      <c r="A145" s="101" t="s">
        <v>16</v>
      </c>
      <c r="B145" s="88" t="s">
        <v>193</v>
      </c>
      <c r="C145" s="102">
        <v>1990</v>
      </c>
      <c r="D145" s="104">
        <v>6060907103</v>
      </c>
      <c r="E145" s="104">
        <v>7306550304.7200003</v>
      </c>
      <c r="F145" s="104">
        <v>6895250045</v>
      </c>
      <c r="G145" s="104">
        <v>0</v>
      </c>
      <c r="H145" s="105">
        <f t="shared" si="5"/>
        <v>20262707452.720001</v>
      </c>
      <c r="I145" s="103">
        <v>0</v>
      </c>
    </row>
    <row r="146" spans="1:9">
      <c r="A146" s="101" t="s">
        <v>16</v>
      </c>
      <c r="B146" s="88" t="s">
        <v>193</v>
      </c>
      <c r="C146" s="102">
        <v>1991</v>
      </c>
      <c r="D146" s="104">
        <v>6457630456</v>
      </c>
      <c r="E146" s="104">
        <v>6896588577</v>
      </c>
      <c r="F146" s="104">
        <v>6959707145</v>
      </c>
      <c r="G146" s="104">
        <v>0</v>
      </c>
      <c r="H146" s="105">
        <f t="shared" si="5"/>
        <v>20313926178</v>
      </c>
      <c r="I146" s="103">
        <v>0</v>
      </c>
    </row>
    <row r="147" spans="1:9">
      <c r="A147" s="101" t="s">
        <v>16</v>
      </c>
      <c r="B147" s="88" t="s">
        <v>193</v>
      </c>
      <c r="C147" s="102">
        <v>1992</v>
      </c>
      <c r="D147" s="104">
        <v>6725017888</v>
      </c>
      <c r="E147" s="104">
        <v>6447826507.6800003</v>
      </c>
      <c r="F147" s="104">
        <v>6809883831</v>
      </c>
      <c r="G147" s="104">
        <v>0</v>
      </c>
      <c r="H147" s="105">
        <f t="shared" si="5"/>
        <v>19982728226.68</v>
      </c>
      <c r="I147" s="103">
        <v>0</v>
      </c>
    </row>
    <row r="148" spans="1:9">
      <c r="A148" s="101" t="s">
        <v>16</v>
      </c>
      <c r="B148" s="88" t="s">
        <v>193</v>
      </c>
      <c r="C148" s="102">
        <v>1993</v>
      </c>
      <c r="D148" s="104">
        <v>6899295248</v>
      </c>
      <c r="E148" s="104">
        <v>6183736809</v>
      </c>
      <c r="F148" s="104">
        <v>6660249179</v>
      </c>
      <c r="G148" s="104">
        <v>0</v>
      </c>
      <c r="H148" s="105">
        <f t="shared" si="5"/>
        <v>19743281236</v>
      </c>
      <c r="I148" s="103">
        <v>0</v>
      </c>
    </row>
    <row r="149" spans="1:9">
      <c r="A149" s="101" t="s">
        <v>16</v>
      </c>
      <c r="B149" s="88" t="s">
        <v>193</v>
      </c>
      <c r="C149" s="102">
        <v>1994</v>
      </c>
      <c r="D149" s="104">
        <v>7376932083</v>
      </c>
      <c r="E149" s="104">
        <v>9485826336</v>
      </c>
      <c r="F149" s="104">
        <v>6316933092</v>
      </c>
      <c r="G149" s="104">
        <v>0</v>
      </c>
      <c r="H149" s="105">
        <f t="shared" si="5"/>
        <v>23179691511</v>
      </c>
      <c r="I149" s="103">
        <v>0</v>
      </c>
    </row>
    <row r="150" spans="1:9">
      <c r="A150" s="101" t="s">
        <v>16</v>
      </c>
      <c r="B150" s="88" t="s">
        <v>193</v>
      </c>
      <c r="C150" s="102">
        <v>1995</v>
      </c>
      <c r="D150" s="104">
        <v>7579574085</v>
      </c>
      <c r="E150" s="104">
        <v>8704477714</v>
      </c>
      <c r="F150" s="104">
        <v>6233903746</v>
      </c>
      <c r="G150" s="104">
        <v>0</v>
      </c>
      <c r="H150" s="105">
        <f t="shared" si="5"/>
        <v>22517955545</v>
      </c>
      <c r="I150" s="103">
        <v>0</v>
      </c>
    </row>
    <row r="151" spans="1:9">
      <c r="A151" s="101" t="s">
        <v>16</v>
      </c>
      <c r="B151" s="88" t="s">
        <v>193</v>
      </c>
      <c r="C151" s="102">
        <v>1996</v>
      </c>
      <c r="D151" s="104">
        <v>7616946775</v>
      </c>
      <c r="E151" s="104">
        <v>7718980446</v>
      </c>
      <c r="F151" s="104">
        <v>6374956738</v>
      </c>
      <c r="G151" s="104">
        <v>0</v>
      </c>
      <c r="H151" s="105">
        <f t="shared" si="5"/>
        <v>21710883959</v>
      </c>
      <c r="I151" s="103">
        <v>0</v>
      </c>
    </row>
    <row r="152" spans="1:9">
      <c r="A152" s="101" t="s">
        <v>16</v>
      </c>
      <c r="B152" s="88" t="s">
        <v>193</v>
      </c>
      <c r="C152" s="102">
        <v>1997</v>
      </c>
      <c r="D152" s="104">
        <v>7800798993</v>
      </c>
      <c r="E152" s="104">
        <v>7481076398</v>
      </c>
      <c r="F152" s="104">
        <v>6528123426</v>
      </c>
      <c r="G152" s="104">
        <v>0</v>
      </c>
      <c r="H152" s="105">
        <f t="shared" si="5"/>
        <v>21809998817</v>
      </c>
      <c r="I152" s="103">
        <v>0</v>
      </c>
    </row>
    <row r="153" spans="1:9">
      <c r="A153" s="101" t="s">
        <v>16</v>
      </c>
      <c r="B153" s="88" t="s">
        <v>193</v>
      </c>
      <c r="C153" s="102">
        <v>1998</v>
      </c>
      <c r="D153" s="104">
        <v>7766804281</v>
      </c>
      <c r="E153" s="104">
        <v>7004696085</v>
      </c>
      <c r="F153" s="104">
        <v>6543001806</v>
      </c>
      <c r="G153" s="104">
        <v>0</v>
      </c>
      <c r="H153" s="105">
        <f t="shared" si="5"/>
        <v>21314502172</v>
      </c>
      <c r="I153" s="103">
        <v>0</v>
      </c>
    </row>
    <row r="154" spans="1:9">
      <c r="A154" s="101" t="s">
        <v>16</v>
      </c>
      <c r="B154" s="88" t="s">
        <v>193</v>
      </c>
      <c r="C154" s="102">
        <v>1999</v>
      </c>
      <c r="D154" s="104">
        <v>7885292351</v>
      </c>
      <c r="E154" s="104">
        <v>9793355153</v>
      </c>
      <c r="F154" s="104">
        <v>6990754845</v>
      </c>
      <c r="G154" s="104">
        <v>0</v>
      </c>
      <c r="H154" s="105">
        <f t="shared" si="5"/>
        <v>24669402349</v>
      </c>
      <c r="I154" s="103">
        <v>0</v>
      </c>
    </row>
    <row r="155" spans="1:9">
      <c r="A155" s="101" t="s">
        <v>16</v>
      </c>
      <c r="B155" s="88" t="s">
        <v>193</v>
      </c>
      <c r="C155" s="102">
        <v>2000</v>
      </c>
      <c r="D155" s="104">
        <v>8863491410</v>
      </c>
      <c r="E155" s="104">
        <v>10223112717</v>
      </c>
      <c r="F155" s="104">
        <v>7479315118</v>
      </c>
      <c r="G155" s="104">
        <v>0</v>
      </c>
      <c r="H155" s="105">
        <f t="shared" si="5"/>
        <v>26565919245</v>
      </c>
      <c r="I155" s="103">
        <v>0</v>
      </c>
    </row>
    <row r="156" spans="1:9">
      <c r="A156" s="101" t="s">
        <v>16</v>
      </c>
      <c r="B156" s="88" t="s">
        <v>193</v>
      </c>
      <c r="C156" s="102">
        <v>2001</v>
      </c>
      <c r="D156" s="104">
        <v>8612598599</v>
      </c>
      <c r="E156" s="104">
        <v>14092356822</v>
      </c>
      <c r="F156" s="104">
        <v>8100626986</v>
      </c>
      <c r="G156" s="104">
        <v>0</v>
      </c>
      <c r="H156" s="105">
        <f t="shared" si="5"/>
        <v>30805582407</v>
      </c>
      <c r="I156" s="103">
        <v>0</v>
      </c>
    </row>
    <row r="157" spans="1:9">
      <c r="A157" s="101" t="s">
        <v>16</v>
      </c>
      <c r="B157" s="88" t="s">
        <v>193</v>
      </c>
      <c r="C157" s="102">
        <v>2002</v>
      </c>
      <c r="D157" s="104">
        <v>9057974748</v>
      </c>
      <c r="E157" s="104">
        <v>18455328942</v>
      </c>
      <c r="F157" s="104">
        <v>8589681968</v>
      </c>
      <c r="G157" s="104">
        <v>0</v>
      </c>
      <c r="H157" s="105">
        <f t="shared" si="5"/>
        <v>36102985658</v>
      </c>
      <c r="I157" s="103">
        <v>0</v>
      </c>
    </row>
    <row r="158" spans="1:9">
      <c r="A158" s="101" t="s">
        <v>16</v>
      </c>
      <c r="B158" s="88" t="s">
        <v>193</v>
      </c>
      <c r="C158" s="102">
        <v>2003</v>
      </c>
      <c r="D158" s="106">
        <v>9556919352</v>
      </c>
      <c r="E158" s="106">
        <v>15880841833</v>
      </c>
      <c r="F158" s="106">
        <v>9223789031</v>
      </c>
      <c r="G158" s="103">
        <v>0</v>
      </c>
      <c r="H158" s="105">
        <f t="shared" si="5"/>
        <v>34661550216</v>
      </c>
      <c r="I158" s="103">
        <v>0</v>
      </c>
    </row>
    <row r="159" spans="1:9">
      <c r="A159" s="101" t="s">
        <v>16</v>
      </c>
      <c r="B159" s="88" t="s">
        <v>193</v>
      </c>
      <c r="C159" s="102">
        <v>2004</v>
      </c>
      <c r="D159" s="106">
        <v>10265295621</v>
      </c>
      <c r="E159" s="106">
        <v>14543251286</v>
      </c>
      <c r="F159" s="106">
        <v>10073894659</v>
      </c>
      <c r="G159" s="103">
        <v>0</v>
      </c>
      <c r="H159" s="105">
        <f t="shared" si="5"/>
        <v>34882441566</v>
      </c>
      <c r="I159" s="103">
        <v>0</v>
      </c>
    </row>
    <row r="160" spans="1:9">
      <c r="A160" s="101" t="s">
        <v>16</v>
      </c>
      <c r="B160" s="88" t="s">
        <v>193</v>
      </c>
      <c r="C160" s="102">
        <v>2005</v>
      </c>
      <c r="D160" s="106">
        <v>10517958453</v>
      </c>
      <c r="E160" s="106">
        <v>13186564470</v>
      </c>
      <c r="F160" s="106">
        <v>11094211901.290001</v>
      </c>
      <c r="G160" s="103">
        <v>0</v>
      </c>
      <c r="H160" s="105">
        <f t="shared" si="5"/>
        <v>34798734824.290001</v>
      </c>
      <c r="I160" s="103">
        <v>0</v>
      </c>
    </row>
    <row r="161" spans="1:9">
      <c r="A161" s="101" t="s">
        <v>16</v>
      </c>
      <c r="B161" s="88" t="s">
        <v>193</v>
      </c>
      <c r="C161" s="102">
        <v>2006</v>
      </c>
      <c r="D161" s="103">
        <v>11359413366</v>
      </c>
      <c r="E161" s="103">
        <v>16932938392</v>
      </c>
      <c r="F161" s="103">
        <v>13146775669</v>
      </c>
      <c r="G161" s="103">
        <v>0</v>
      </c>
      <c r="H161" s="105">
        <f t="shared" si="5"/>
        <v>41439127427</v>
      </c>
      <c r="I161" s="103">
        <v>0</v>
      </c>
    </row>
    <row r="162" spans="1:9">
      <c r="A162" s="101" t="s">
        <v>16</v>
      </c>
      <c r="B162" s="88" t="s">
        <v>193</v>
      </c>
      <c r="C162" s="102">
        <v>2007</v>
      </c>
      <c r="D162" s="103">
        <v>11808943698</v>
      </c>
      <c r="E162" s="103">
        <v>14644539021</v>
      </c>
      <c r="F162" s="103">
        <v>14751063188</v>
      </c>
      <c r="G162" s="103">
        <v>0</v>
      </c>
      <c r="H162" s="105">
        <f t="shared" si="5"/>
        <v>41204545907</v>
      </c>
      <c r="I162" s="103">
        <v>0</v>
      </c>
    </row>
    <row r="163" spans="1:9">
      <c r="A163" s="101" t="s">
        <v>16</v>
      </c>
      <c r="B163" s="88" t="s">
        <v>193</v>
      </c>
      <c r="C163" s="102">
        <v>2008</v>
      </c>
      <c r="D163" s="103">
        <v>12228474409</v>
      </c>
      <c r="E163" s="103">
        <v>18955401486</v>
      </c>
      <c r="F163" s="103">
        <v>16184598925</v>
      </c>
      <c r="G163" s="103">
        <v>0</v>
      </c>
      <c r="H163" s="105">
        <f t="shared" si="5"/>
        <v>47368474820</v>
      </c>
      <c r="I163" s="103">
        <v>0</v>
      </c>
    </row>
    <row r="164" spans="1:9">
      <c r="A164" s="101" t="s">
        <v>16</v>
      </c>
      <c r="B164" s="88" t="s">
        <v>193</v>
      </c>
      <c r="C164" s="102">
        <v>2009</v>
      </c>
      <c r="D164" s="103">
        <v>12567430402</v>
      </c>
      <c r="E164" s="103">
        <v>18152537452</v>
      </c>
      <c r="F164" s="103">
        <v>17576967802</v>
      </c>
      <c r="G164" s="103">
        <v>0</v>
      </c>
      <c r="H164" s="105">
        <f t="shared" si="5"/>
        <v>48296935656</v>
      </c>
      <c r="I164" s="103">
        <v>0</v>
      </c>
    </row>
    <row r="165" spans="1:9">
      <c r="A165" s="101" t="s">
        <v>16</v>
      </c>
      <c r="B165" s="88" t="s">
        <v>193</v>
      </c>
      <c r="C165" s="102">
        <v>2010</v>
      </c>
      <c r="D165" s="103">
        <v>13286970914</v>
      </c>
      <c r="E165" s="103">
        <v>14301467557</v>
      </c>
      <c r="F165" s="103">
        <v>17482654368</v>
      </c>
      <c r="G165" s="103">
        <v>0</v>
      </c>
      <c r="H165" s="105">
        <f t="shared" si="5"/>
        <v>45071092839</v>
      </c>
      <c r="I165" s="103">
        <v>0</v>
      </c>
    </row>
    <row r="166" spans="1:9">
      <c r="A166" s="101" t="s">
        <v>16</v>
      </c>
      <c r="B166" s="88" t="s">
        <v>193</v>
      </c>
      <c r="C166" s="102">
        <v>2011</v>
      </c>
      <c r="D166" s="103">
        <v>13550580847</v>
      </c>
      <c r="E166" s="103">
        <v>13874371219</v>
      </c>
      <c r="F166" s="103">
        <v>19045939300.830002</v>
      </c>
      <c r="G166" s="103">
        <v>0</v>
      </c>
      <c r="H166" s="105">
        <f t="shared" si="5"/>
        <v>46470891366.830002</v>
      </c>
      <c r="I166" s="103">
        <v>0</v>
      </c>
    </row>
    <row r="167" spans="1:9">
      <c r="A167" s="101" t="s">
        <v>16</v>
      </c>
      <c r="B167" s="88" t="s">
        <v>193</v>
      </c>
      <c r="C167" s="102">
        <v>2012</v>
      </c>
      <c r="D167" s="103">
        <v>14090324708</v>
      </c>
      <c r="E167" s="103">
        <v>13454101251</v>
      </c>
      <c r="F167" s="103">
        <v>18147485702</v>
      </c>
      <c r="G167" s="103">
        <v>0</v>
      </c>
      <c r="H167" s="105">
        <f t="shared" si="5"/>
        <v>45691911661</v>
      </c>
      <c r="I167" s="103">
        <v>0</v>
      </c>
    </row>
    <row r="168" spans="1:9">
      <c r="A168" s="101" t="s">
        <v>16</v>
      </c>
      <c r="B168" s="88" t="s">
        <v>193</v>
      </c>
      <c r="C168" s="102">
        <v>2013</v>
      </c>
      <c r="D168" s="103">
        <v>14166836636</v>
      </c>
      <c r="E168" s="103">
        <v>13273178082</v>
      </c>
      <c r="F168" s="103">
        <v>18630261988</v>
      </c>
      <c r="G168" s="103">
        <v>0</v>
      </c>
      <c r="H168" s="105">
        <f t="shared" si="5"/>
        <v>46070276706</v>
      </c>
      <c r="I168" s="103">
        <v>0</v>
      </c>
    </row>
    <row r="169" spans="1:9">
      <c r="A169" s="101" t="s">
        <v>16</v>
      </c>
      <c r="B169" s="88" t="s">
        <v>193</v>
      </c>
      <c r="C169" s="97">
        <v>2014</v>
      </c>
      <c r="D169" s="103">
        <v>14698461843</v>
      </c>
      <c r="E169" s="103">
        <v>14598030629</v>
      </c>
      <c r="F169" s="103">
        <v>17255933737.619999</v>
      </c>
      <c r="G169" s="103">
        <v>0</v>
      </c>
      <c r="H169" s="105">
        <f t="shared" si="5"/>
        <v>46552426209.619995</v>
      </c>
      <c r="I169" s="103">
        <v>0</v>
      </c>
    </row>
    <row r="170" spans="1:9">
      <c r="A170" s="101" t="s">
        <v>16</v>
      </c>
      <c r="B170" s="88" t="s">
        <v>193</v>
      </c>
      <c r="C170" s="97">
        <v>2015</v>
      </c>
      <c r="D170" s="103">
        <v>15364452006</v>
      </c>
      <c r="E170" s="103">
        <v>16850529093</v>
      </c>
      <c r="F170" s="103">
        <v>16771195626</v>
      </c>
      <c r="G170" s="103">
        <v>0</v>
      </c>
      <c r="H170" s="105">
        <f t="shared" si="5"/>
        <v>48986176725</v>
      </c>
      <c r="I170" s="103">
        <v>0</v>
      </c>
    </row>
    <row r="171" spans="1:9">
      <c r="A171" s="101" t="s">
        <v>16</v>
      </c>
      <c r="B171" s="88" t="s">
        <v>193</v>
      </c>
      <c r="C171" s="97">
        <v>2016</v>
      </c>
      <c r="D171" s="103">
        <v>15936331841</v>
      </c>
      <c r="E171" s="103">
        <v>19280691231</v>
      </c>
      <c r="F171" s="103">
        <v>14968585780</v>
      </c>
      <c r="G171" s="103">
        <v>0</v>
      </c>
      <c r="H171" s="105">
        <f t="shared" si="5"/>
        <v>50185608852</v>
      </c>
      <c r="I171" s="103">
        <v>0</v>
      </c>
    </row>
    <row r="172" spans="1:9">
      <c r="A172" s="101" t="s">
        <v>16</v>
      </c>
      <c r="B172" s="88" t="s">
        <v>193</v>
      </c>
      <c r="C172" s="97">
        <v>2017</v>
      </c>
      <c r="D172" s="103">
        <v>16990289462</v>
      </c>
      <c r="E172" s="103">
        <v>17377000108</v>
      </c>
      <c r="F172" s="103">
        <v>15029057062.51</v>
      </c>
      <c r="G172" s="103">
        <v>0</v>
      </c>
      <c r="H172" s="105">
        <f t="shared" si="5"/>
        <v>49396346632.510002</v>
      </c>
      <c r="I172" s="103">
        <v>0</v>
      </c>
    </row>
    <row r="173" spans="1:9">
      <c r="A173" s="101" t="s">
        <v>16</v>
      </c>
      <c r="B173" s="88" t="s">
        <v>193</v>
      </c>
      <c r="C173" s="97">
        <v>2018</v>
      </c>
      <c r="D173" s="103">
        <v>17457326757</v>
      </c>
      <c r="E173" s="103">
        <v>21626890122</v>
      </c>
      <c r="F173" s="103">
        <v>15216097330.08</v>
      </c>
      <c r="G173" s="103">
        <v>0</v>
      </c>
      <c r="H173" s="105">
        <f t="shared" si="5"/>
        <v>54300314209.080002</v>
      </c>
      <c r="I173" s="103">
        <v>0</v>
      </c>
    </row>
    <row r="174" spans="1:9">
      <c r="A174" s="101" t="s">
        <v>16</v>
      </c>
      <c r="B174" s="88" t="s">
        <v>193</v>
      </c>
      <c r="C174" s="97">
        <v>2019</v>
      </c>
      <c r="D174" s="103">
        <v>18378700714</v>
      </c>
      <c r="E174" s="103">
        <v>22046286100</v>
      </c>
      <c r="F174" s="103">
        <v>15891889249.528099</v>
      </c>
      <c r="G174" s="103">
        <v>0</v>
      </c>
      <c r="H174" s="105">
        <f t="shared" si="5"/>
        <v>56316876063.528099</v>
      </c>
      <c r="I174" s="103">
        <v>0</v>
      </c>
    </row>
    <row r="175" spans="1:9">
      <c r="A175" s="101" t="s">
        <v>16</v>
      </c>
      <c r="B175" s="88" t="s">
        <v>193</v>
      </c>
      <c r="C175" s="97">
        <v>2020</v>
      </c>
      <c r="D175" s="103">
        <v>18819853753</v>
      </c>
      <c r="E175" s="103">
        <v>21138053643</v>
      </c>
      <c r="F175" s="103">
        <v>15741208826</v>
      </c>
      <c r="G175" s="103">
        <v>0</v>
      </c>
      <c r="H175" s="105">
        <f t="shared" si="5"/>
        <v>55699116222</v>
      </c>
      <c r="I175" s="103">
        <v>0</v>
      </c>
    </row>
    <row r="176" spans="1:9">
      <c r="A176" s="101"/>
      <c r="B176" s="107"/>
      <c r="D176" s="104"/>
      <c r="E176" s="104"/>
      <c r="F176" s="104"/>
      <c r="G176" s="104"/>
      <c r="H176" s="103"/>
      <c r="I176" s="103"/>
    </row>
    <row r="177" spans="1:9">
      <c r="A177" s="101" t="s">
        <v>18</v>
      </c>
      <c r="B177" s="88" t="s">
        <v>225</v>
      </c>
      <c r="C177" s="102">
        <v>1988</v>
      </c>
      <c r="D177" s="104">
        <v>828881751</v>
      </c>
      <c r="E177" s="104">
        <v>904720795</v>
      </c>
      <c r="F177" s="104">
        <v>722246214</v>
      </c>
      <c r="G177" s="104">
        <v>0</v>
      </c>
      <c r="H177" s="105">
        <f>SUM(D177:G177)</f>
        <v>2455848760</v>
      </c>
      <c r="I177" s="103">
        <v>0</v>
      </c>
    </row>
    <row r="178" spans="1:9">
      <c r="A178" s="101" t="s">
        <v>18</v>
      </c>
      <c r="B178" s="88" t="s">
        <v>225</v>
      </c>
      <c r="C178" s="102">
        <v>1989</v>
      </c>
      <c r="D178" s="104">
        <v>755347127</v>
      </c>
      <c r="E178" s="104">
        <v>830367259</v>
      </c>
      <c r="F178" s="104">
        <v>778209288</v>
      </c>
      <c r="G178" s="104">
        <v>0</v>
      </c>
      <c r="H178" s="105">
        <f t="shared" ref="H178:H209" si="6">SUM(D178:G178)</f>
        <v>2363923674</v>
      </c>
      <c r="I178" s="103">
        <v>0</v>
      </c>
    </row>
    <row r="179" spans="1:9">
      <c r="A179" s="101" t="s">
        <v>18</v>
      </c>
      <c r="B179" s="88" t="s">
        <v>225</v>
      </c>
      <c r="C179" s="102">
        <v>1990</v>
      </c>
      <c r="D179" s="104">
        <v>780245914</v>
      </c>
      <c r="E179" s="104">
        <v>904046068.44000006</v>
      </c>
      <c r="F179" s="104">
        <v>829193863</v>
      </c>
      <c r="G179" s="104">
        <v>0</v>
      </c>
      <c r="H179" s="105">
        <f t="shared" si="6"/>
        <v>2513485845.4400001</v>
      </c>
      <c r="I179" s="103">
        <v>0</v>
      </c>
    </row>
    <row r="180" spans="1:9">
      <c r="A180" s="101" t="s">
        <v>18</v>
      </c>
      <c r="B180" s="88" t="s">
        <v>225</v>
      </c>
      <c r="C180" s="102">
        <v>1991</v>
      </c>
      <c r="D180" s="104">
        <v>853159701</v>
      </c>
      <c r="E180" s="104">
        <v>972231813</v>
      </c>
      <c r="F180" s="104">
        <v>890312886</v>
      </c>
      <c r="G180" s="104">
        <v>0</v>
      </c>
      <c r="H180" s="105">
        <f t="shared" si="6"/>
        <v>2715704400</v>
      </c>
      <c r="I180" s="103">
        <v>0</v>
      </c>
    </row>
    <row r="181" spans="1:9">
      <c r="A181" s="101" t="s">
        <v>18</v>
      </c>
      <c r="B181" s="88" t="s">
        <v>225</v>
      </c>
      <c r="C181" s="102">
        <v>1992</v>
      </c>
      <c r="D181" s="104">
        <v>865720501</v>
      </c>
      <c r="E181" s="104">
        <v>838610367.88</v>
      </c>
      <c r="F181" s="104">
        <v>934379767</v>
      </c>
      <c r="G181" s="104">
        <v>0</v>
      </c>
      <c r="H181" s="105">
        <f t="shared" si="6"/>
        <v>2638710635.8800001</v>
      </c>
      <c r="I181" s="103">
        <v>0</v>
      </c>
    </row>
    <row r="182" spans="1:9">
      <c r="A182" s="101" t="s">
        <v>18</v>
      </c>
      <c r="B182" s="88" t="s">
        <v>225</v>
      </c>
      <c r="C182" s="102">
        <v>1993</v>
      </c>
      <c r="D182" s="104">
        <v>963784454</v>
      </c>
      <c r="E182" s="104">
        <v>687758554</v>
      </c>
      <c r="F182" s="104">
        <v>1011110506</v>
      </c>
      <c r="G182" s="104">
        <v>0</v>
      </c>
      <c r="H182" s="105">
        <f t="shared" si="6"/>
        <v>2662653514</v>
      </c>
      <c r="I182" s="103">
        <v>0</v>
      </c>
    </row>
    <row r="183" spans="1:9">
      <c r="A183" s="101" t="s">
        <v>18</v>
      </c>
      <c r="B183" s="88" t="s">
        <v>225</v>
      </c>
      <c r="C183" s="102">
        <v>1994</v>
      </c>
      <c r="D183" s="104">
        <v>1030999407</v>
      </c>
      <c r="E183" s="104">
        <v>895579411</v>
      </c>
      <c r="F183" s="104">
        <v>1063105936</v>
      </c>
      <c r="G183" s="104">
        <v>0</v>
      </c>
      <c r="H183" s="105">
        <f t="shared" si="6"/>
        <v>2989684754</v>
      </c>
      <c r="I183" s="103">
        <v>0</v>
      </c>
    </row>
    <row r="184" spans="1:9">
      <c r="A184" s="101" t="s">
        <v>18</v>
      </c>
      <c r="B184" s="88" t="s">
        <v>225</v>
      </c>
      <c r="C184" s="102">
        <v>1995</v>
      </c>
      <c r="D184" s="104">
        <v>1105172733</v>
      </c>
      <c r="E184" s="104">
        <v>988485271</v>
      </c>
      <c r="F184" s="104">
        <v>1157687855</v>
      </c>
      <c r="G184" s="104">
        <v>0</v>
      </c>
      <c r="H184" s="105">
        <f t="shared" si="6"/>
        <v>3251345859</v>
      </c>
      <c r="I184" s="103">
        <v>0</v>
      </c>
    </row>
    <row r="185" spans="1:9">
      <c r="A185" s="101" t="s">
        <v>18</v>
      </c>
      <c r="B185" s="88" t="s">
        <v>225</v>
      </c>
      <c r="C185" s="102">
        <v>1996</v>
      </c>
      <c r="D185" s="104">
        <v>1140336981</v>
      </c>
      <c r="E185" s="104">
        <v>788299041</v>
      </c>
      <c r="F185" s="104">
        <v>1223491697</v>
      </c>
      <c r="G185" s="104">
        <v>0</v>
      </c>
      <c r="H185" s="105">
        <f t="shared" si="6"/>
        <v>3152127719</v>
      </c>
      <c r="I185" s="103">
        <v>0</v>
      </c>
    </row>
    <row r="186" spans="1:9">
      <c r="A186" s="101" t="s">
        <v>18</v>
      </c>
      <c r="B186" s="88" t="s">
        <v>225</v>
      </c>
      <c r="C186" s="102">
        <v>1997</v>
      </c>
      <c r="D186" s="104">
        <v>1161040457</v>
      </c>
      <c r="E186" s="104">
        <v>901641637</v>
      </c>
      <c r="F186" s="104">
        <v>1249027863</v>
      </c>
      <c r="G186" s="104">
        <v>0</v>
      </c>
      <c r="H186" s="105">
        <f t="shared" si="6"/>
        <v>3311709957</v>
      </c>
      <c r="I186" s="103">
        <v>0</v>
      </c>
    </row>
    <row r="187" spans="1:9">
      <c r="A187" s="101" t="s">
        <v>18</v>
      </c>
      <c r="B187" s="88" t="s">
        <v>225</v>
      </c>
      <c r="C187" s="102">
        <v>1998</v>
      </c>
      <c r="D187" s="104">
        <v>1187254176</v>
      </c>
      <c r="E187" s="104">
        <v>1117339967</v>
      </c>
      <c r="F187" s="104">
        <v>1284019308</v>
      </c>
      <c r="G187" s="104">
        <v>0</v>
      </c>
      <c r="H187" s="105">
        <f t="shared" si="6"/>
        <v>3588613451</v>
      </c>
      <c r="I187" s="103">
        <v>0</v>
      </c>
    </row>
    <row r="188" spans="1:9">
      <c r="A188" s="101" t="s">
        <v>18</v>
      </c>
      <c r="B188" s="88" t="s">
        <v>225</v>
      </c>
      <c r="C188" s="102">
        <v>1999</v>
      </c>
      <c r="D188" s="104">
        <v>1195136849</v>
      </c>
      <c r="E188" s="104">
        <v>1457970263</v>
      </c>
      <c r="F188" s="104">
        <v>1538677636</v>
      </c>
      <c r="G188" s="104">
        <v>0</v>
      </c>
      <c r="H188" s="105">
        <f t="shared" si="6"/>
        <v>4191784748</v>
      </c>
      <c r="I188" s="103">
        <v>0</v>
      </c>
    </row>
    <row r="189" spans="1:9">
      <c r="A189" s="101" t="s">
        <v>18</v>
      </c>
      <c r="B189" s="88" t="s">
        <v>225</v>
      </c>
      <c r="C189" s="102">
        <v>2000</v>
      </c>
      <c r="D189" s="104">
        <v>1532738790</v>
      </c>
      <c r="E189" s="104">
        <v>1252265769</v>
      </c>
      <c r="F189" s="104">
        <v>1661069947</v>
      </c>
      <c r="G189" s="104">
        <v>0</v>
      </c>
      <c r="H189" s="105">
        <f t="shared" si="6"/>
        <v>4446074506</v>
      </c>
      <c r="I189" s="103">
        <v>0</v>
      </c>
    </row>
    <row r="190" spans="1:9">
      <c r="A190" s="101" t="s">
        <v>18</v>
      </c>
      <c r="B190" s="88" t="s">
        <v>225</v>
      </c>
      <c r="C190" s="102">
        <v>2001</v>
      </c>
      <c r="D190" s="104">
        <v>1239300879</v>
      </c>
      <c r="E190" s="104">
        <v>1652794944</v>
      </c>
      <c r="F190" s="104">
        <v>1840536638</v>
      </c>
      <c r="G190" s="104">
        <v>0</v>
      </c>
      <c r="H190" s="105">
        <f t="shared" si="6"/>
        <v>4732632461</v>
      </c>
      <c r="I190" s="103">
        <v>0</v>
      </c>
    </row>
    <row r="191" spans="1:9">
      <c r="A191" s="101" t="s">
        <v>18</v>
      </c>
      <c r="B191" s="88" t="s">
        <v>225</v>
      </c>
      <c r="C191" s="102">
        <v>2002</v>
      </c>
      <c r="D191" s="104">
        <v>1304495820</v>
      </c>
      <c r="E191" s="104">
        <v>2245509671</v>
      </c>
      <c r="F191" s="104">
        <v>1853776788</v>
      </c>
      <c r="G191" s="104">
        <v>0</v>
      </c>
      <c r="H191" s="105">
        <f t="shared" si="6"/>
        <v>5403782279</v>
      </c>
      <c r="I191" s="103">
        <v>0</v>
      </c>
    </row>
    <row r="192" spans="1:9">
      <c r="A192" s="101" t="s">
        <v>18</v>
      </c>
      <c r="B192" s="88" t="s">
        <v>225</v>
      </c>
      <c r="C192" s="102">
        <v>2003</v>
      </c>
      <c r="D192" s="106">
        <v>1404979031</v>
      </c>
      <c r="E192" s="106">
        <v>2057490553</v>
      </c>
      <c r="F192" s="106">
        <v>2102697784</v>
      </c>
      <c r="G192" s="104">
        <v>0</v>
      </c>
      <c r="H192" s="105">
        <f t="shared" si="6"/>
        <v>5565167368</v>
      </c>
      <c r="I192" s="103">
        <v>0</v>
      </c>
    </row>
    <row r="193" spans="1:9">
      <c r="A193" s="101" t="s">
        <v>18</v>
      </c>
      <c r="B193" s="88" t="s">
        <v>225</v>
      </c>
      <c r="C193" s="102">
        <v>2004</v>
      </c>
      <c r="D193" s="106">
        <v>1461151703</v>
      </c>
      <c r="E193" s="106">
        <v>1939972242</v>
      </c>
      <c r="F193" s="106">
        <v>2298669662</v>
      </c>
      <c r="G193" s="104">
        <v>0</v>
      </c>
      <c r="H193" s="105">
        <f t="shared" si="6"/>
        <v>5699793607</v>
      </c>
      <c r="I193" s="103">
        <v>0</v>
      </c>
    </row>
    <row r="194" spans="1:9">
      <c r="A194" s="101" t="s">
        <v>18</v>
      </c>
      <c r="B194" s="88" t="s">
        <v>225</v>
      </c>
      <c r="C194" s="102">
        <v>2005</v>
      </c>
      <c r="D194" s="106">
        <v>1489479668</v>
      </c>
      <c r="E194" s="106">
        <v>2026059726</v>
      </c>
      <c r="F194" s="106">
        <v>2432877293.27</v>
      </c>
      <c r="G194" s="104">
        <v>0</v>
      </c>
      <c r="H194" s="105">
        <f t="shared" si="6"/>
        <v>5948416687.2700005</v>
      </c>
      <c r="I194" s="103">
        <v>0</v>
      </c>
    </row>
    <row r="195" spans="1:9">
      <c r="A195" s="101" t="s">
        <v>18</v>
      </c>
      <c r="B195" s="88" t="s">
        <v>225</v>
      </c>
      <c r="C195" s="102">
        <v>2006</v>
      </c>
      <c r="D195" s="103">
        <v>1587281819</v>
      </c>
      <c r="E195" s="103">
        <v>2158883056</v>
      </c>
      <c r="F195" s="103">
        <v>2683256306</v>
      </c>
      <c r="G195" s="104">
        <v>0</v>
      </c>
      <c r="H195" s="105">
        <f t="shared" si="6"/>
        <v>6429421181</v>
      </c>
      <c r="I195" s="103">
        <v>0</v>
      </c>
    </row>
    <row r="196" spans="1:9">
      <c r="A196" s="101" t="s">
        <v>18</v>
      </c>
      <c r="B196" s="88" t="s">
        <v>225</v>
      </c>
      <c r="C196" s="102">
        <v>2007</v>
      </c>
      <c r="D196" s="103">
        <v>1640732290</v>
      </c>
      <c r="E196" s="103">
        <v>1977782927</v>
      </c>
      <c r="F196" s="103">
        <v>3559739931</v>
      </c>
      <c r="G196" s="104">
        <v>0</v>
      </c>
      <c r="H196" s="105">
        <f t="shared" si="6"/>
        <v>7178255148</v>
      </c>
      <c r="I196" s="103">
        <v>0</v>
      </c>
    </row>
    <row r="197" spans="1:9">
      <c r="A197" s="101" t="s">
        <v>18</v>
      </c>
      <c r="B197" s="88" t="s">
        <v>225</v>
      </c>
      <c r="C197" s="102">
        <v>2008</v>
      </c>
      <c r="D197" s="103">
        <v>1689623832</v>
      </c>
      <c r="E197" s="103">
        <v>2747988136</v>
      </c>
      <c r="F197" s="103">
        <v>3889919140</v>
      </c>
      <c r="G197" s="104">
        <v>0</v>
      </c>
      <c r="H197" s="105">
        <f t="shared" si="6"/>
        <v>8327531108</v>
      </c>
      <c r="I197" s="103">
        <v>0</v>
      </c>
    </row>
    <row r="198" spans="1:9">
      <c r="A198" s="101" t="s">
        <v>18</v>
      </c>
      <c r="B198" s="88" t="s">
        <v>225</v>
      </c>
      <c r="C198" s="102">
        <v>2009</v>
      </c>
      <c r="D198" s="103">
        <v>1832884396</v>
      </c>
      <c r="E198" s="103">
        <v>2931587212</v>
      </c>
      <c r="F198" s="103">
        <v>4356781877</v>
      </c>
      <c r="G198" s="104">
        <v>0</v>
      </c>
      <c r="H198" s="105">
        <f t="shared" si="6"/>
        <v>9121253485</v>
      </c>
      <c r="I198" s="103">
        <v>0</v>
      </c>
    </row>
    <row r="199" spans="1:9">
      <c r="A199" s="101" t="s">
        <v>18</v>
      </c>
      <c r="B199" s="88" t="s">
        <v>225</v>
      </c>
      <c r="C199" s="102">
        <v>2010</v>
      </c>
      <c r="D199" s="103">
        <v>1933741077</v>
      </c>
      <c r="E199" s="103">
        <v>2945911265</v>
      </c>
      <c r="F199" s="103">
        <v>4083295457</v>
      </c>
      <c r="G199" s="104">
        <v>0</v>
      </c>
      <c r="H199" s="105">
        <f t="shared" si="6"/>
        <v>8962947799</v>
      </c>
      <c r="I199" s="103">
        <v>0</v>
      </c>
    </row>
    <row r="200" spans="1:9">
      <c r="A200" s="101" t="s">
        <v>18</v>
      </c>
      <c r="B200" s="88" t="s">
        <v>225</v>
      </c>
      <c r="C200" s="102">
        <v>2011</v>
      </c>
      <c r="D200" s="103">
        <v>1975897054</v>
      </c>
      <c r="E200" s="103">
        <v>3167131653</v>
      </c>
      <c r="F200" s="103">
        <v>4094188764.1599998</v>
      </c>
      <c r="G200" s="104">
        <v>0</v>
      </c>
      <c r="H200" s="105">
        <f t="shared" si="6"/>
        <v>9237217471.1599998</v>
      </c>
      <c r="I200" s="103">
        <v>0</v>
      </c>
    </row>
    <row r="201" spans="1:9">
      <c r="A201" s="101" t="s">
        <v>18</v>
      </c>
      <c r="B201" s="88" t="s">
        <v>225</v>
      </c>
      <c r="C201" s="102">
        <v>2012</v>
      </c>
      <c r="D201" s="103">
        <v>2115900124</v>
      </c>
      <c r="E201" s="103">
        <v>3208701197</v>
      </c>
      <c r="F201" s="103">
        <v>4016525119</v>
      </c>
      <c r="G201" s="104">
        <v>0</v>
      </c>
      <c r="H201" s="105">
        <f t="shared" si="6"/>
        <v>9341126440</v>
      </c>
      <c r="I201" s="103">
        <v>0</v>
      </c>
    </row>
    <row r="202" spans="1:9">
      <c r="A202" s="101" t="s">
        <v>18</v>
      </c>
      <c r="B202" s="88" t="s">
        <v>225</v>
      </c>
      <c r="C202" s="102">
        <v>2013</v>
      </c>
      <c r="D202" s="103">
        <v>2201558974</v>
      </c>
      <c r="E202" s="103">
        <v>3244900516</v>
      </c>
      <c r="F202" s="103">
        <v>3976660185</v>
      </c>
      <c r="G202" s="104">
        <v>0</v>
      </c>
      <c r="H202" s="105">
        <f t="shared" si="6"/>
        <v>9423119675</v>
      </c>
      <c r="I202" s="103">
        <v>0</v>
      </c>
    </row>
    <row r="203" spans="1:9">
      <c r="A203" s="101" t="s">
        <v>18</v>
      </c>
      <c r="B203" s="88" t="s">
        <v>225</v>
      </c>
      <c r="C203" s="97">
        <v>2014</v>
      </c>
      <c r="D203" s="103">
        <v>2308019920</v>
      </c>
      <c r="E203" s="103">
        <v>3247756505</v>
      </c>
      <c r="F203" s="103">
        <v>4066649127.1999998</v>
      </c>
      <c r="G203" s="103">
        <v>0</v>
      </c>
      <c r="H203" s="105">
        <f t="shared" si="6"/>
        <v>9622425552.2000008</v>
      </c>
      <c r="I203" s="103">
        <v>0</v>
      </c>
    </row>
    <row r="204" spans="1:9">
      <c r="A204" s="101" t="s">
        <v>18</v>
      </c>
      <c r="B204" s="88" t="s">
        <v>225</v>
      </c>
      <c r="C204" s="97">
        <v>2015</v>
      </c>
      <c r="D204" s="103">
        <v>2533536918</v>
      </c>
      <c r="E204" s="103">
        <v>3802619233</v>
      </c>
      <c r="F204" s="103">
        <v>4122225914</v>
      </c>
      <c r="G204" s="103">
        <v>0</v>
      </c>
      <c r="H204" s="105">
        <f t="shared" si="6"/>
        <v>10458382065</v>
      </c>
      <c r="I204" s="103">
        <v>0</v>
      </c>
    </row>
    <row r="205" spans="1:9">
      <c r="A205" s="101" t="s">
        <v>18</v>
      </c>
      <c r="B205" s="88" t="s">
        <v>225</v>
      </c>
      <c r="C205" s="97">
        <v>2016</v>
      </c>
      <c r="D205" s="103">
        <v>2439209106</v>
      </c>
      <c r="E205" s="103">
        <v>4353976431</v>
      </c>
      <c r="F205" s="103">
        <v>4131900298</v>
      </c>
      <c r="G205" s="103">
        <v>0</v>
      </c>
      <c r="H205" s="105">
        <f t="shared" si="6"/>
        <v>10925085835</v>
      </c>
      <c r="I205" s="103">
        <v>0</v>
      </c>
    </row>
    <row r="206" spans="1:9">
      <c r="A206" s="101" t="s">
        <v>18</v>
      </c>
      <c r="B206" s="88" t="s">
        <v>225</v>
      </c>
      <c r="C206" s="97">
        <v>2017</v>
      </c>
      <c r="D206" s="103">
        <v>2541613434</v>
      </c>
      <c r="E206" s="103">
        <v>4653534288</v>
      </c>
      <c r="F206" s="103">
        <v>4003933926.4099998</v>
      </c>
      <c r="G206" s="103">
        <v>0</v>
      </c>
      <c r="H206" s="105">
        <f t="shared" si="6"/>
        <v>11199081648.41</v>
      </c>
      <c r="I206" s="103">
        <v>0</v>
      </c>
    </row>
    <row r="207" spans="1:9">
      <c r="A207" s="101" t="s">
        <v>18</v>
      </c>
      <c r="B207" s="88" t="s">
        <v>225</v>
      </c>
      <c r="C207" s="97">
        <v>2018</v>
      </c>
      <c r="D207" s="103">
        <v>2643992529</v>
      </c>
      <c r="E207" s="103">
        <v>5381106348</v>
      </c>
      <c r="F207" s="103">
        <v>4241728214.0900002</v>
      </c>
      <c r="G207" s="103">
        <v>0</v>
      </c>
      <c r="H207" s="105">
        <f t="shared" si="6"/>
        <v>12266827091.09</v>
      </c>
      <c r="I207" s="103">
        <v>0</v>
      </c>
    </row>
    <row r="208" spans="1:9">
      <c r="A208" s="101" t="s">
        <v>18</v>
      </c>
      <c r="B208" s="88" t="s">
        <v>225</v>
      </c>
      <c r="C208" s="97">
        <v>2019</v>
      </c>
      <c r="D208" s="103">
        <v>2785257720</v>
      </c>
      <c r="E208" s="103">
        <v>5099243499</v>
      </c>
      <c r="F208" s="103">
        <v>4363995213.4148006</v>
      </c>
      <c r="G208" s="103">
        <v>0</v>
      </c>
      <c r="H208" s="105">
        <f t="shared" si="6"/>
        <v>12248496432.414801</v>
      </c>
      <c r="I208" s="103">
        <v>0</v>
      </c>
    </row>
    <row r="209" spans="1:10">
      <c r="A209" s="101" t="s">
        <v>18</v>
      </c>
      <c r="B209" s="88" t="s">
        <v>225</v>
      </c>
      <c r="C209" s="97">
        <v>2020</v>
      </c>
      <c r="D209" s="103">
        <v>2762629727</v>
      </c>
      <c r="E209" s="103">
        <v>6465903629</v>
      </c>
      <c r="F209" s="103">
        <v>4278572864</v>
      </c>
      <c r="G209" s="103">
        <v>0</v>
      </c>
      <c r="H209" s="105">
        <f t="shared" si="6"/>
        <v>13507106220</v>
      </c>
      <c r="I209" s="103">
        <v>0</v>
      </c>
      <c r="J209" s="109"/>
    </row>
    <row r="210" spans="1:10">
      <c r="A210" s="101"/>
      <c r="B210" s="107"/>
      <c r="D210" s="104"/>
      <c r="E210" s="104"/>
      <c r="F210" s="104"/>
      <c r="G210" s="104"/>
      <c r="H210" s="103"/>
      <c r="I210" s="103"/>
      <c r="J210" s="109"/>
    </row>
    <row r="211" spans="1:10">
      <c r="A211" s="101" t="s">
        <v>19</v>
      </c>
      <c r="B211" s="88" t="s">
        <v>270</v>
      </c>
      <c r="C211" s="102">
        <v>1988</v>
      </c>
      <c r="D211" s="104">
        <v>1088101087</v>
      </c>
      <c r="E211" s="104">
        <v>814138809</v>
      </c>
      <c r="F211" s="104">
        <v>2007923266</v>
      </c>
      <c r="G211" s="104">
        <v>1056248596</v>
      </c>
      <c r="H211" s="105">
        <f>SUM(D211:G211)</f>
        <v>4966411758</v>
      </c>
      <c r="I211" s="103">
        <v>0</v>
      </c>
      <c r="J211" s="109"/>
    </row>
    <row r="212" spans="1:10">
      <c r="A212" s="101" t="s">
        <v>19</v>
      </c>
      <c r="B212" s="88" t="s">
        <v>270</v>
      </c>
      <c r="C212" s="102">
        <v>1989</v>
      </c>
      <c r="D212" s="104">
        <v>1150185716</v>
      </c>
      <c r="E212" s="104">
        <v>924054498</v>
      </c>
      <c r="F212" s="104">
        <v>2357785708</v>
      </c>
      <c r="G212" s="104">
        <v>917855756</v>
      </c>
      <c r="H212" s="105">
        <f t="shared" ref="H212:H243" si="7">SUM(D212:G212)</f>
        <v>5349881678</v>
      </c>
      <c r="I212" s="103">
        <v>0</v>
      </c>
      <c r="J212" s="109"/>
    </row>
    <row r="213" spans="1:10">
      <c r="A213" s="101" t="s">
        <v>19</v>
      </c>
      <c r="B213" s="88" t="s">
        <v>270</v>
      </c>
      <c r="C213" s="102">
        <v>1990</v>
      </c>
      <c r="D213" s="104">
        <v>1224476571</v>
      </c>
      <c r="E213" s="104">
        <v>1396613823.24</v>
      </c>
      <c r="F213" s="104">
        <v>2605274310</v>
      </c>
      <c r="G213" s="104">
        <v>904765983</v>
      </c>
      <c r="H213" s="105">
        <f t="shared" si="7"/>
        <v>6131130687.2399998</v>
      </c>
      <c r="I213" s="103">
        <v>0</v>
      </c>
      <c r="J213" s="109"/>
    </row>
    <row r="214" spans="1:10">
      <c r="A214" s="101" t="s">
        <v>19</v>
      </c>
      <c r="B214" s="88" t="s">
        <v>270</v>
      </c>
      <c r="C214" s="102">
        <v>1991</v>
      </c>
      <c r="D214" s="104">
        <v>1259496517</v>
      </c>
      <c r="E214" s="104">
        <v>868623997</v>
      </c>
      <c r="F214" s="104">
        <v>2080101981</v>
      </c>
      <c r="G214" s="104">
        <v>798555349</v>
      </c>
      <c r="H214" s="105">
        <f t="shared" si="7"/>
        <v>5006777844</v>
      </c>
      <c r="I214" s="103">
        <v>0</v>
      </c>
      <c r="J214" s="109"/>
    </row>
    <row r="215" spans="1:10">
      <c r="A215" s="101" t="s">
        <v>19</v>
      </c>
      <c r="B215" s="88" t="s">
        <v>270</v>
      </c>
      <c r="C215" s="102">
        <v>1992</v>
      </c>
      <c r="D215" s="104">
        <v>1263353236</v>
      </c>
      <c r="E215" s="104">
        <v>1013246298.2</v>
      </c>
      <c r="F215" s="104">
        <v>1900074462</v>
      </c>
      <c r="G215" s="104">
        <v>620598543</v>
      </c>
      <c r="H215" s="105">
        <f t="shared" si="7"/>
        <v>4797272539.1999998</v>
      </c>
      <c r="I215" s="103">
        <v>0</v>
      </c>
      <c r="J215" s="109"/>
    </row>
    <row r="216" spans="1:10">
      <c r="A216" s="101" t="s">
        <v>19</v>
      </c>
      <c r="B216" s="88" t="s">
        <v>270</v>
      </c>
      <c r="C216" s="102">
        <v>1993</v>
      </c>
      <c r="D216" s="104">
        <v>1379972689</v>
      </c>
      <c r="E216" s="104">
        <v>802506092</v>
      </c>
      <c r="F216" s="104">
        <v>1763174845</v>
      </c>
      <c r="G216" s="104">
        <v>537714964</v>
      </c>
      <c r="H216" s="105">
        <f t="shared" si="7"/>
        <v>4483368590</v>
      </c>
      <c r="I216" s="103">
        <v>0</v>
      </c>
      <c r="J216" s="109"/>
    </row>
    <row r="217" spans="1:10">
      <c r="A217" s="101" t="s">
        <v>19</v>
      </c>
      <c r="B217" s="88" t="s">
        <v>270</v>
      </c>
      <c r="C217" s="102">
        <v>1994</v>
      </c>
      <c r="D217" s="104">
        <v>1601094600</v>
      </c>
      <c r="E217" s="104">
        <v>1467073952</v>
      </c>
      <c r="F217" s="104">
        <v>1752533368</v>
      </c>
      <c r="G217" s="104">
        <v>1773874230</v>
      </c>
      <c r="H217" s="105">
        <f t="shared" si="7"/>
        <v>6594576150</v>
      </c>
      <c r="I217" s="103">
        <v>0</v>
      </c>
      <c r="J217" s="109"/>
    </row>
    <row r="218" spans="1:10">
      <c r="A218" s="101" t="s">
        <v>19</v>
      </c>
      <c r="B218" s="88" t="s">
        <v>270</v>
      </c>
      <c r="C218" s="102">
        <v>1995</v>
      </c>
      <c r="D218" s="104">
        <v>1584649056</v>
      </c>
      <c r="E218" s="104">
        <v>1600898074</v>
      </c>
      <c r="F218" s="104">
        <v>2067627222</v>
      </c>
      <c r="G218" s="104">
        <v>671136066</v>
      </c>
      <c r="H218" s="105">
        <f t="shared" si="7"/>
        <v>5924310418</v>
      </c>
      <c r="I218" s="103">
        <v>0</v>
      </c>
      <c r="J218" s="109"/>
    </row>
    <row r="219" spans="1:10">
      <c r="A219" s="101" t="s">
        <v>19</v>
      </c>
      <c r="B219" s="88" t="s">
        <v>270</v>
      </c>
      <c r="C219" s="102">
        <v>1996</v>
      </c>
      <c r="D219" s="104">
        <v>1638095187</v>
      </c>
      <c r="E219" s="104">
        <v>1215287036</v>
      </c>
      <c r="F219" s="104">
        <v>1635755629</v>
      </c>
      <c r="G219" s="104">
        <v>520507398</v>
      </c>
      <c r="H219" s="105">
        <f t="shared" si="7"/>
        <v>5009645250</v>
      </c>
      <c r="I219" s="103">
        <v>0</v>
      </c>
      <c r="J219" s="109"/>
    </row>
    <row r="220" spans="1:10">
      <c r="A220" s="101" t="s">
        <v>19</v>
      </c>
      <c r="B220" s="88" t="s">
        <v>270</v>
      </c>
      <c r="C220" s="102">
        <v>1997</v>
      </c>
      <c r="D220" s="104">
        <v>1550476848</v>
      </c>
      <c r="E220" s="104">
        <v>1517374403</v>
      </c>
      <c r="F220" s="104">
        <v>1343566612</v>
      </c>
      <c r="G220" s="104">
        <v>473221338</v>
      </c>
      <c r="H220" s="105">
        <f t="shared" si="7"/>
        <v>4884639201</v>
      </c>
      <c r="I220" s="103">
        <v>0</v>
      </c>
      <c r="J220" s="109"/>
    </row>
    <row r="221" spans="1:10">
      <c r="A221" s="101" t="s">
        <v>19</v>
      </c>
      <c r="B221" s="88" t="s">
        <v>270</v>
      </c>
      <c r="C221" s="102">
        <v>1998</v>
      </c>
      <c r="D221" s="104">
        <v>1718180622</v>
      </c>
      <c r="E221" s="104">
        <v>1306572294</v>
      </c>
      <c r="F221" s="104">
        <v>1663892131</v>
      </c>
      <c r="G221" s="104">
        <v>-24492761</v>
      </c>
      <c r="H221" s="105">
        <f t="shared" si="7"/>
        <v>4664152286</v>
      </c>
      <c r="I221" s="103">
        <v>0</v>
      </c>
      <c r="J221" s="109"/>
    </row>
    <row r="222" spans="1:10">
      <c r="A222" s="101" t="s">
        <v>19</v>
      </c>
      <c r="B222" s="88" t="s">
        <v>270</v>
      </c>
      <c r="C222" s="102">
        <v>1999</v>
      </c>
      <c r="D222" s="104">
        <v>1598661952</v>
      </c>
      <c r="E222" s="104">
        <v>1852264435</v>
      </c>
      <c r="F222" s="104">
        <v>1816115978</v>
      </c>
      <c r="G222" s="104">
        <v>691544953</v>
      </c>
      <c r="H222" s="105">
        <f t="shared" si="7"/>
        <v>5958587318</v>
      </c>
      <c r="I222" s="103">
        <v>0</v>
      </c>
      <c r="J222" s="109"/>
    </row>
    <row r="223" spans="1:10">
      <c r="A223" s="101" t="s">
        <v>19</v>
      </c>
      <c r="B223" s="88" t="s">
        <v>270</v>
      </c>
      <c r="C223" s="102">
        <v>2000</v>
      </c>
      <c r="D223" s="104">
        <v>1694456096</v>
      </c>
      <c r="E223" s="104">
        <v>2293919836</v>
      </c>
      <c r="F223" s="104">
        <v>1960756971</v>
      </c>
      <c r="G223" s="104">
        <v>568895089</v>
      </c>
      <c r="H223" s="105">
        <f t="shared" si="7"/>
        <v>6518027992</v>
      </c>
      <c r="I223" s="103">
        <v>0</v>
      </c>
      <c r="J223" s="109"/>
    </row>
    <row r="224" spans="1:10">
      <c r="A224" s="101" t="s">
        <v>19</v>
      </c>
      <c r="B224" s="88" t="s">
        <v>270</v>
      </c>
      <c r="C224" s="102">
        <v>2001</v>
      </c>
      <c r="D224" s="104">
        <v>1648001680</v>
      </c>
      <c r="E224" s="104">
        <v>3469628636</v>
      </c>
      <c r="F224" s="104">
        <v>2062471090</v>
      </c>
      <c r="G224" s="104">
        <v>473081692</v>
      </c>
      <c r="H224" s="105">
        <f t="shared" si="7"/>
        <v>7653183098</v>
      </c>
      <c r="I224" s="103">
        <v>24602649</v>
      </c>
      <c r="J224" s="109" t="s">
        <v>675</v>
      </c>
    </row>
    <row r="225" spans="1:10">
      <c r="A225" s="101" t="s">
        <v>19</v>
      </c>
      <c r="B225" s="88" t="s">
        <v>270</v>
      </c>
      <c r="C225" s="102">
        <v>2002</v>
      </c>
      <c r="D225" s="104">
        <v>1659039792</v>
      </c>
      <c r="E225" s="104">
        <v>4956566466</v>
      </c>
      <c r="F225" s="104">
        <v>2245740057</v>
      </c>
      <c r="G225" s="104">
        <v>166919546</v>
      </c>
      <c r="H225" s="105">
        <f t="shared" si="7"/>
        <v>9028265861</v>
      </c>
      <c r="I225" s="103">
        <v>17400336</v>
      </c>
      <c r="J225" s="109" t="s">
        <v>675</v>
      </c>
    </row>
    <row r="226" spans="1:10">
      <c r="A226" s="101" t="s">
        <v>19</v>
      </c>
      <c r="B226" s="88" t="s">
        <v>270</v>
      </c>
      <c r="C226" s="102">
        <v>2003</v>
      </c>
      <c r="D226" s="106">
        <v>1714184436</v>
      </c>
      <c r="E226" s="106">
        <v>5352613731</v>
      </c>
      <c r="F226" s="106">
        <v>2408845740</v>
      </c>
      <c r="G226" s="106">
        <v>280445747</v>
      </c>
      <c r="H226" s="105">
        <f t="shared" si="7"/>
        <v>9756089654</v>
      </c>
      <c r="I226" s="103">
        <v>82137504</v>
      </c>
      <c r="J226" s="109" t="s">
        <v>675</v>
      </c>
    </row>
    <row r="227" spans="1:10">
      <c r="A227" s="101" t="s">
        <v>19</v>
      </c>
      <c r="B227" s="88" t="s">
        <v>270</v>
      </c>
      <c r="C227" s="102">
        <v>2004</v>
      </c>
      <c r="D227" s="106">
        <v>1816689372</v>
      </c>
      <c r="E227" s="106">
        <v>5334295148</v>
      </c>
      <c r="F227" s="106">
        <v>2812657380</v>
      </c>
      <c r="G227" s="106">
        <v>352670408</v>
      </c>
      <c r="H227" s="105">
        <f t="shared" si="7"/>
        <v>10316312308</v>
      </c>
      <c r="I227" s="103">
        <v>727248019</v>
      </c>
      <c r="J227" s="109" t="s">
        <v>675</v>
      </c>
    </row>
    <row r="228" spans="1:10">
      <c r="A228" s="101" t="s">
        <v>19</v>
      </c>
      <c r="B228" s="88" t="s">
        <v>270</v>
      </c>
      <c r="C228" s="102">
        <v>2005</v>
      </c>
      <c r="D228" s="106">
        <v>1943840851</v>
      </c>
      <c r="E228" s="106">
        <v>5044679490</v>
      </c>
      <c r="F228" s="106">
        <v>4498625923</v>
      </c>
      <c r="G228" s="106">
        <v>3447456795</v>
      </c>
      <c r="H228" s="105">
        <f t="shared" si="7"/>
        <v>14934603059</v>
      </c>
      <c r="I228" s="103">
        <v>69019354</v>
      </c>
      <c r="J228" s="109" t="s">
        <v>675</v>
      </c>
    </row>
    <row r="229" spans="1:10">
      <c r="A229" s="101" t="s">
        <v>19</v>
      </c>
      <c r="B229" s="88" t="s">
        <v>270</v>
      </c>
      <c r="C229" s="102">
        <v>2006</v>
      </c>
      <c r="D229" s="103">
        <v>1977069693</v>
      </c>
      <c r="E229" s="103">
        <v>4795359905</v>
      </c>
      <c r="F229" s="103">
        <v>4833278044</v>
      </c>
      <c r="G229" s="103">
        <v>318648337</v>
      </c>
      <c r="H229" s="105">
        <f t="shared" si="7"/>
        <v>11924355979</v>
      </c>
      <c r="I229" s="103">
        <v>151223088</v>
      </c>
      <c r="J229" s="109" t="s">
        <v>675</v>
      </c>
    </row>
    <row r="230" spans="1:10">
      <c r="A230" s="101" t="s">
        <v>19</v>
      </c>
      <c r="B230" s="88" t="s">
        <v>270</v>
      </c>
      <c r="C230" s="102">
        <v>2007</v>
      </c>
      <c r="D230" s="103">
        <v>2091275430</v>
      </c>
      <c r="E230" s="103">
        <v>5166646752</v>
      </c>
      <c r="F230" s="103">
        <v>5271538201</v>
      </c>
      <c r="G230" s="103">
        <v>714599286</v>
      </c>
      <c r="H230" s="105">
        <f t="shared" si="7"/>
        <v>13244059669</v>
      </c>
      <c r="I230" s="103">
        <v>107224180</v>
      </c>
      <c r="J230" s="109" t="s">
        <v>675</v>
      </c>
    </row>
    <row r="231" spans="1:10">
      <c r="A231" s="101" t="s">
        <v>19</v>
      </c>
      <c r="B231" s="88" t="s">
        <v>270</v>
      </c>
      <c r="C231" s="102">
        <v>2008</v>
      </c>
      <c r="D231" s="103">
        <v>2055376551</v>
      </c>
      <c r="E231" s="103">
        <v>6380098907</v>
      </c>
      <c r="F231" s="103">
        <v>4962655584</v>
      </c>
      <c r="G231" s="103">
        <v>389986992</v>
      </c>
      <c r="H231" s="105">
        <f t="shared" si="7"/>
        <v>13788118034</v>
      </c>
      <c r="I231" s="103">
        <v>127841650</v>
      </c>
      <c r="J231" s="109" t="s">
        <v>675</v>
      </c>
    </row>
    <row r="232" spans="1:10">
      <c r="A232" s="101" t="s">
        <v>19</v>
      </c>
      <c r="B232" s="88" t="s">
        <v>270</v>
      </c>
      <c r="C232" s="102">
        <v>2009</v>
      </c>
      <c r="D232" s="103">
        <v>2196997367</v>
      </c>
      <c r="E232" s="103">
        <v>6506224856</v>
      </c>
      <c r="F232" s="103">
        <v>5122671333</v>
      </c>
      <c r="G232" s="103">
        <v>1055986375</v>
      </c>
      <c r="H232" s="105">
        <f t="shared" si="7"/>
        <v>14881879931</v>
      </c>
      <c r="I232" s="103">
        <v>56924327</v>
      </c>
      <c r="J232" s="109" t="s">
        <v>675</v>
      </c>
    </row>
    <row r="233" spans="1:10">
      <c r="A233" s="101" t="s">
        <v>19</v>
      </c>
      <c r="B233" s="88" t="s">
        <v>270</v>
      </c>
      <c r="C233" s="102">
        <v>2010</v>
      </c>
      <c r="D233" s="103">
        <v>2232436597</v>
      </c>
      <c r="E233" s="103">
        <v>3713263362</v>
      </c>
      <c r="F233" s="103">
        <v>4833585658</v>
      </c>
      <c r="G233" s="103">
        <v>984136721</v>
      </c>
      <c r="H233" s="105">
        <f t="shared" si="7"/>
        <v>11763422338</v>
      </c>
      <c r="I233" s="103">
        <v>126590023</v>
      </c>
      <c r="J233" s="109" t="s">
        <v>675</v>
      </c>
    </row>
    <row r="234" spans="1:10">
      <c r="A234" s="101" t="s">
        <v>19</v>
      </c>
      <c r="B234" s="88" t="s">
        <v>270</v>
      </c>
      <c r="C234" s="102">
        <v>2011</v>
      </c>
      <c r="D234" s="103">
        <v>2238766302</v>
      </c>
      <c r="E234" s="103">
        <v>3909895934</v>
      </c>
      <c r="F234" s="103">
        <v>4647019231</v>
      </c>
      <c r="G234" s="103">
        <v>422628547</v>
      </c>
      <c r="H234" s="105">
        <f t="shared" si="7"/>
        <v>11218310014</v>
      </c>
      <c r="I234" s="103">
        <v>51884837</v>
      </c>
      <c r="J234" s="109" t="s">
        <v>675</v>
      </c>
    </row>
    <row r="235" spans="1:10">
      <c r="A235" s="101" t="s">
        <v>19</v>
      </c>
      <c r="B235" s="88" t="s">
        <v>270</v>
      </c>
      <c r="C235" s="102">
        <v>2012</v>
      </c>
      <c r="D235" s="103">
        <v>2359217702</v>
      </c>
      <c r="E235" s="103">
        <v>4325414390</v>
      </c>
      <c r="F235" s="103">
        <v>4792751932</v>
      </c>
      <c r="G235" s="103">
        <v>369442094</v>
      </c>
      <c r="H235" s="105">
        <f t="shared" si="7"/>
        <v>11846826118</v>
      </c>
      <c r="I235" s="103">
        <v>56132570</v>
      </c>
      <c r="J235" s="109" t="s">
        <v>675</v>
      </c>
    </row>
    <row r="236" spans="1:10">
      <c r="A236" s="101" t="s">
        <v>19</v>
      </c>
      <c r="B236" s="88" t="s">
        <v>270</v>
      </c>
      <c r="C236" s="102">
        <v>2013</v>
      </c>
      <c r="D236" s="103">
        <v>2329010076</v>
      </c>
      <c r="E236" s="103">
        <v>4430099076</v>
      </c>
      <c r="F236" s="103">
        <v>5017778380</v>
      </c>
      <c r="G236" s="103">
        <v>521565272</v>
      </c>
      <c r="H236" s="105">
        <f t="shared" si="7"/>
        <v>12298452804</v>
      </c>
      <c r="I236" s="103">
        <v>143945559</v>
      </c>
      <c r="J236" s="109" t="s">
        <v>675</v>
      </c>
    </row>
    <row r="237" spans="1:10">
      <c r="A237" s="101" t="s">
        <v>19</v>
      </c>
      <c r="B237" s="88" t="s">
        <v>270</v>
      </c>
      <c r="C237" s="97">
        <v>2014</v>
      </c>
      <c r="D237" s="103">
        <v>2301758473</v>
      </c>
      <c r="E237" s="103">
        <v>4751610122</v>
      </c>
      <c r="F237" s="103">
        <v>5418515123</v>
      </c>
      <c r="G237" s="103">
        <v>347888164</v>
      </c>
      <c r="H237" s="105">
        <f t="shared" si="7"/>
        <v>12819771882</v>
      </c>
      <c r="I237" s="103">
        <v>214929241</v>
      </c>
      <c r="J237" s="109" t="s">
        <v>675</v>
      </c>
    </row>
    <row r="238" spans="1:10">
      <c r="A238" s="101" t="s">
        <v>19</v>
      </c>
      <c r="B238" s="88" t="s">
        <v>270</v>
      </c>
      <c r="C238" s="97">
        <v>2015</v>
      </c>
      <c r="D238" s="103">
        <v>2352238955</v>
      </c>
      <c r="E238" s="103">
        <v>5201462614</v>
      </c>
      <c r="F238" s="103">
        <v>5064573825</v>
      </c>
      <c r="G238" s="103">
        <v>305672153</v>
      </c>
      <c r="H238" s="105">
        <f t="shared" si="7"/>
        <v>12923947547</v>
      </c>
      <c r="I238" s="103">
        <v>692020094</v>
      </c>
      <c r="J238" s="109" t="s">
        <v>675</v>
      </c>
    </row>
    <row r="239" spans="1:10">
      <c r="A239" s="101" t="s">
        <v>19</v>
      </c>
      <c r="B239" s="88" t="s">
        <v>270</v>
      </c>
      <c r="C239" s="97">
        <v>2016</v>
      </c>
      <c r="D239" s="103">
        <v>2388756152</v>
      </c>
      <c r="E239" s="103">
        <v>5394168564</v>
      </c>
      <c r="F239" s="103">
        <v>4878321364</v>
      </c>
      <c r="G239" s="103">
        <v>270802007</v>
      </c>
      <c r="H239" s="105">
        <f t="shared" si="7"/>
        <v>12932048087</v>
      </c>
      <c r="I239" s="103">
        <v>108445462</v>
      </c>
      <c r="J239" s="109" t="s">
        <v>675</v>
      </c>
    </row>
    <row r="240" spans="1:10">
      <c r="A240" s="101" t="s">
        <v>19</v>
      </c>
      <c r="B240" s="88" t="s">
        <v>270</v>
      </c>
      <c r="C240" s="97">
        <v>2017</v>
      </c>
      <c r="D240" s="103">
        <v>2428320472</v>
      </c>
      <c r="E240" s="103">
        <v>5186206138</v>
      </c>
      <c r="F240" s="103">
        <v>5119347546</v>
      </c>
      <c r="G240" s="103">
        <v>580988310</v>
      </c>
      <c r="H240" s="105">
        <f t="shared" si="7"/>
        <v>13314862466</v>
      </c>
      <c r="I240" s="103">
        <v>80237838</v>
      </c>
      <c r="J240" s="109" t="s">
        <v>675</v>
      </c>
    </row>
    <row r="241" spans="1:11">
      <c r="A241" s="101" t="s">
        <v>19</v>
      </c>
      <c r="B241" s="88" t="s">
        <v>270</v>
      </c>
      <c r="C241" s="97">
        <v>2018</v>
      </c>
      <c r="D241" s="103">
        <v>2454371034</v>
      </c>
      <c r="E241" s="103">
        <v>6086992784</v>
      </c>
      <c r="F241" s="103">
        <v>5561397895.2799997</v>
      </c>
      <c r="G241" s="103">
        <v>332270413</v>
      </c>
      <c r="H241" s="105">
        <f t="shared" si="7"/>
        <v>14435032126.279999</v>
      </c>
      <c r="I241" s="103">
        <v>141119756</v>
      </c>
      <c r="J241" s="109" t="s">
        <v>682</v>
      </c>
      <c r="K241" s="52" t="s">
        <v>677</v>
      </c>
    </row>
    <row r="242" spans="1:11">
      <c r="A242" s="101" t="s">
        <v>19</v>
      </c>
      <c r="B242" s="88" t="s">
        <v>270</v>
      </c>
      <c r="C242" s="97">
        <v>2019</v>
      </c>
      <c r="D242" s="103">
        <v>2502319212</v>
      </c>
      <c r="E242" s="103">
        <v>7439228540</v>
      </c>
      <c r="F242" s="103">
        <v>5353654567.0400009</v>
      </c>
      <c r="G242" s="103">
        <v>2861951392</v>
      </c>
      <c r="H242" s="105">
        <f t="shared" si="7"/>
        <v>18157153711.040001</v>
      </c>
      <c r="I242" s="103">
        <v>154534997</v>
      </c>
      <c r="J242" s="109" t="s">
        <v>678</v>
      </c>
    </row>
    <row r="243" spans="1:11">
      <c r="A243" s="101" t="s">
        <v>19</v>
      </c>
      <c r="B243" s="88" t="s">
        <v>270</v>
      </c>
      <c r="C243" s="97">
        <v>2020</v>
      </c>
      <c r="D243" s="103">
        <v>2471396169</v>
      </c>
      <c r="E243" s="103">
        <v>7490837599</v>
      </c>
      <c r="F243" s="103">
        <v>5338825814</v>
      </c>
      <c r="G243" s="103">
        <v>4292570905</v>
      </c>
      <c r="H243" s="105">
        <f t="shared" si="7"/>
        <v>19593630487</v>
      </c>
      <c r="I243" s="103">
        <v>-32696183</v>
      </c>
      <c r="J243" s="109" t="s">
        <v>678</v>
      </c>
    </row>
    <row r="244" spans="1:11">
      <c r="A244" s="101"/>
      <c r="B244" s="107"/>
      <c r="D244" s="104"/>
      <c r="E244" s="104"/>
      <c r="F244" s="104"/>
      <c r="G244" s="104"/>
      <c r="H244" s="103"/>
      <c r="I244" s="103"/>
      <c r="J244" s="109"/>
    </row>
    <row r="245" spans="1:11">
      <c r="A245" s="101" t="s">
        <v>21</v>
      </c>
      <c r="B245" s="88" t="s">
        <v>286</v>
      </c>
      <c r="C245" s="102">
        <v>1988</v>
      </c>
      <c r="D245" s="104">
        <v>268677160</v>
      </c>
      <c r="E245" s="104">
        <v>200351054</v>
      </c>
      <c r="F245" s="104">
        <v>123852673</v>
      </c>
      <c r="G245" s="104">
        <v>0</v>
      </c>
      <c r="H245" s="105">
        <f>SUM(D245:G245)</f>
        <v>592880887</v>
      </c>
      <c r="I245" s="103">
        <v>0</v>
      </c>
      <c r="J245" s="109"/>
    </row>
    <row r="246" spans="1:11">
      <c r="A246" s="101" t="s">
        <v>21</v>
      </c>
      <c r="B246" s="88" t="s">
        <v>286</v>
      </c>
      <c r="C246" s="102">
        <v>1989</v>
      </c>
      <c r="D246" s="104">
        <v>294024103</v>
      </c>
      <c r="E246" s="104">
        <v>277245305</v>
      </c>
      <c r="F246" s="104">
        <v>147063120</v>
      </c>
      <c r="G246" s="104">
        <v>0</v>
      </c>
      <c r="H246" s="105">
        <f t="shared" ref="H246:H277" si="8">SUM(D246:G246)</f>
        <v>718332528</v>
      </c>
      <c r="I246" s="103">
        <v>0</v>
      </c>
      <c r="J246" s="109"/>
    </row>
    <row r="247" spans="1:11">
      <c r="A247" s="101" t="s">
        <v>21</v>
      </c>
      <c r="B247" s="88" t="s">
        <v>286</v>
      </c>
      <c r="C247" s="102">
        <v>1990</v>
      </c>
      <c r="D247" s="104">
        <v>279345372</v>
      </c>
      <c r="E247" s="104">
        <v>428678578.80000001</v>
      </c>
      <c r="F247" s="104">
        <v>159149269</v>
      </c>
      <c r="G247" s="104">
        <v>0</v>
      </c>
      <c r="H247" s="105">
        <f t="shared" si="8"/>
        <v>867173219.79999995</v>
      </c>
      <c r="I247" s="103">
        <v>0</v>
      </c>
      <c r="J247" s="109"/>
    </row>
    <row r="248" spans="1:11">
      <c r="A248" s="101" t="s">
        <v>21</v>
      </c>
      <c r="B248" s="88" t="s">
        <v>286</v>
      </c>
      <c r="C248" s="102">
        <v>1991</v>
      </c>
      <c r="D248" s="104">
        <v>251924669</v>
      </c>
      <c r="E248" s="104">
        <v>152105063</v>
      </c>
      <c r="F248" s="104">
        <v>167312321</v>
      </c>
      <c r="G248" s="104">
        <v>95930921</v>
      </c>
      <c r="H248" s="105">
        <f t="shared" si="8"/>
        <v>667272974</v>
      </c>
      <c r="I248" s="103">
        <v>0</v>
      </c>
      <c r="J248" s="109"/>
    </row>
    <row r="249" spans="1:11">
      <c r="A249" s="101" t="s">
        <v>21</v>
      </c>
      <c r="B249" s="88" t="s">
        <v>286</v>
      </c>
      <c r="C249" s="102">
        <v>1992</v>
      </c>
      <c r="D249" s="104">
        <v>300680060</v>
      </c>
      <c r="E249" s="104">
        <v>166194571.36000001</v>
      </c>
      <c r="F249" s="104">
        <v>179825527</v>
      </c>
      <c r="G249" s="104">
        <v>119591410</v>
      </c>
      <c r="H249" s="105">
        <f t="shared" si="8"/>
        <v>766291568.36000001</v>
      </c>
      <c r="I249" s="103">
        <v>0</v>
      </c>
      <c r="J249" s="109"/>
    </row>
    <row r="250" spans="1:11">
      <c r="A250" s="101" t="s">
        <v>21</v>
      </c>
      <c r="B250" s="88" t="s">
        <v>286</v>
      </c>
      <c r="C250" s="102">
        <v>1993</v>
      </c>
      <c r="D250" s="104">
        <v>319455282</v>
      </c>
      <c r="E250" s="104">
        <v>168982760</v>
      </c>
      <c r="F250" s="104">
        <v>198654435</v>
      </c>
      <c r="G250" s="104">
        <v>78806194</v>
      </c>
      <c r="H250" s="105">
        <f t="shared" si="8"/>
        <v>765898671</v>
      </c>
      <c r="I250" s="103">
        <v>0</v>
      </c>
      <c r="J250" s="109"/>
    </row>
    <row r="251" spans="1:11">
      <c r="A251" s="101" t="s">
        <v>21</v>
      </c>
      <c r="B251" s="88" t="s">
        <v>286</v>
      </c>
      <c r="C251" s="102">
        <v>1994</v>
      </c>
      <c r="D251" s="104">
        <v>428382476</v>
      </c>
      <c r="E251" s="104">
        <v>523220061</v>
      </c>
      <c r="F251" s="104">
        <v>205453787</v>
      </c>
      <c r="G251" s="104">
        <v>213997835</v>
      </c>
      <c r="H251" s="105">
        <f t="shared" si="8"/>
        <v>1371054159</v>
      </c>
      <c r="I251" s="103">
        <v>0</v>
      </c>
      <c r="J251" s="109"/>
    </row>
    <row r="252" spans="1:11">
      <c r="A252" s="101" t="s">
        <v>21</v>
      </c>
      <c r="B252" s="88" t="s">
        <v>286</v>
      </c>
      <c r="C252" s="102">
        <v>1995</v>
      </c>
      <c r="D252" s="104">
        <v>661567700</v>
      </c>
      <c r="E252" s="104">
        <v>708830689</v>
      </c>
      <c r="F252" s="104">
        <v>212484286</v>
      </c>
      <c r="G252" s="104">
        <v>82769667</v>
      </c>
      <c r="H252" s="105">
        <f t="shared" si="8"/>
        <v>1665652342</v>
      </c>
      <c r="I252" s="103">
        <v>0</v>
      </c>
      <c r="J252" s="109"/>
    </row>
    <row r="253" spans="1:11">
      <c r="A253" s="101" t="s">
        <v>21</v>
      </c>
      <c r="B253" s="88" t="s">
        <v>286</v>
      </c>
      <c r="C253" s="102">
        <v>1996</v>
      </c>
      <c r="D253" s="104">
        <v>549255118</v>
      </c>
      <c r="E253" s="104">
        <v>655937573</v>
      </c>
      <c r="F253" s="104">
        <v>224620626</v>
      </c>
      <c r="G253" s="104">
        <v>41489322</v>
      </c>
      <c r="H253" s="105">
        <f t="shared" si="8"/>
        <v>1471302639</v>
      </c>
      <c r="I253" s="103">
        <v>0</v>
      </c>
      <c r="J253" s="109"/>
    </row>
    <row r="254" spans="1:11">
      <c r="A254" s="101" t="s">
        <v>21</v>
      </c>
      <c r="B254" s="88" t="s">
        <v>286</v>
      </c>
      <c r="C254" s="102">
        <v>1997</v>
      </c>
      <c r="D254" s="104">
        <v>537212842</v>
      </c>
      <c r="E254" s="104">
        <v>630683634</v>
      </c>
      <c r="F254" s="104">
        <v>224519103</v>
      </c>
      <c r="G254" s="104">
        <v>110664993</v>
      </c>
      <c r="H254" s="105">
        <f t="shared" si="8"/>
        <v>1503080572</v>
      </c>
      <c r="I254" s="103">
        <v>0</v>
      </c>
      <c r="J254" s="109"/>
    </row>
    <row r="255" spans="1:11">
      <c r="A255" s="101" t="s">
        <v>21</v>
      </c>
      <c r="B255" s="88" t="s">
        <v>286</v>
      </c>
      <c r="C255" s="102">
        <v>1998</v>
      </c>
      <c r="D255" s="104">
        <v>819860827</v>
      </c>
      <c r="E255" s="104">
        <v>925457335</v>
      </c>
      <c r="F255" s="104">
        <v>248690733</v>
      </c>
      <c r="G255" s="104">
        <v>78513421</v>
      </c>
      <c r="H255" s="105">
        <f t="shared" si="8"/>
        <v>2072522316</v>
      </c>
      <c r="I255" s="103">
        <v>10180962</v>
      </c>
      <c r="J255" s="109" t="s">
        <v>675</v>
      </c>
    </row>
    <row r="256" spans="1:11">
      <c r="A256" s="101" t="s">
        <v>21</v>
      </c>
      <c r="B256" s="88" t="s">
        <v>286</v>
      </c>
      <c r="C256" s="102">
        <v>1999</v>
      </c>
      <c r="D256" s="104">
        <v>754883179</v>
      </c>
      <c r="E256" s="104">
        <v>676625661</v>
      </c>
      <c r="F256" s="104">
        <v>262311238</v>
      </c>
      <c r="G256" s="104">
        <v>41695890</v>
      </c>
      <c r="H256" s="105">
        <f t="shared" si="8"/>
        <v>1735515968</v>
      </c>
      <c r="I256" s="103">
        <v>32717798</v>
      </c>
      <c r="J256" s="109" t="s">
        <v>675</v>
      </c>
    </row>
    <row r="257" spans="1:10">
      <c r="A257" s="101" t="s">
        <v>21</v>
      </c>
      <c r="B257" s="88" t="s">
        <v>286</v>
      </c>
      <c r="C257" s="102">
        <v>2000</v>
      </c>
      <c r="D257" s="104">
        <v>902167421</v>
      </c>
      <c r="E257" s="104">
        <v>807627348</v>
      </c>
      <c r="F257" s="104">
        <v>279902759</v>
      </c>
      <c r="G257" s="104">
        <v>55021022</v>
      </c>
      <c r="H257" s="105">
        <f t="shared" si="8"/>
        <v>2044718550</v>
      </c>
      <c r="I257" s="103">
        <v>15471277</v>
      </c>
      <c r="J257" s="109" t="s">
        <v>675</v>
      </c>
    </row>
    <row r="258" spans="1:10">
      <c r="A258" s="101" t="s">
        <v>21</v>
      </c>
      <c r="B258" s="88" t="s">
        <v>286</v>
      </c>
      <c r="C258" s="102">
        <v>2001</v>
      </c>
      <c r="D258" s="104">
        <v>902534951</v>
      </c>
      <c r="E258" s="104">
        <v>917437538.00999904</v>
      </c>
      <c r="F258" s="104">
        <v>321097608</v>
      </c>
      <c r="G258" s="104">
        <v>503753044</v>
      </c>
      <c r="H258" s="105">
        <f t="shared" si="8"/>
        <v>2644823141.0099993</v>
      </c>
      <c r="I258" s="103">
        <v>877471</v>
      </c>
      <c r="J258" s="109" t="s">
        <v>675</v>
      </c>
    </row>
    <row r="259" spans="1:10">
      <c r="A259" s="101" t="s">
        <v>21</v>
      </c>
      <c r="B259" s="88" t="s">
        <v>286</v>
      </c>
      <c r="C259" s="102">
        <v>2002</v>
      </c>
      <c r="D259" s="104">
        <v>692500394</v>
      </c>
      <c r="E259" s="104">
        <v>1409947304</v>
      </c>
      <c r="F259" s="104">
        <v>328355457</v>
      </c>
      <c r="G259" s="104">
        <v>31912055</v>
      </c>
      <c r="H259" s="105">
        <f t="shared" si="8"/>
        <v>2462715210</v>
      </c>
      <c r="I259" s="103">
        <v>1343470</v>
      </c>
      <c r="J259" s="109" t="s">
        <v>675</v>
      </c>
    </row>
    <row r="260" spans="1:10">
      <c r="A260" s="101" t="s">
        <v>21</v>
      </c>
      <c r="B260" s="88" t="s">
        <v>286</v>
      </c>
      <c r="C260" s="102">
        <v>2003</v>
      </c>
      <c r="D260" s="106">
        <v>563347541</v>
      </c>
      <c r="E260" s="106">
        <v>1580795606</v>
      </c>
      <c r="F260" s="106">
        <v>425855058</v>
      </c>
      <c r="G260" s="106">
        <v>30424834</v>
      </c>
      <c r="H260" s="105">
        <f t="shared" si="8"/>
        <v>2600423039</v>
      </c>
      <c r="I260" s="103">
        <v>21524800</v>
      </c>
      <c r="J260" s="109" t="s">
        <v>675</v>
      </c>
    </row>
    <row r="261" spans="1:10">
      <c r="A261" s="101" t="s">
        <v>21</v>
      </c>
      <c r="B261" s="88" t="s">
        <v>286</v>
      </c>
      <c r="C261" s="102">
        <v>2004</v>
      </c>
      <c r="D261" s="106">
        <v>522708579</v>
      </c>
      <c r="E261" s="106">
        <v>2834016464</v>
      </c>
      <c r="F261" s="106">
        <v>491073341</v>
      </c>
      <c r="G261" s="106">
        <v>41902580</v>
      </c>
      <c r="H261" s="105">
        <f t="shared" si="8"/>
        <v>3889700964</v>
      </c>
      <c r="I261" s="103">
        <v>7141705</v>
      </c>
      <c r="J261" s="109" t="s">
        <v>675</v>
      </c>
    </row>
    <row r="262" spans="1:10">
      <c r="A262" s="101" t="s">
        <v>21</v>
      </c>
      <c r="B262" s="88" t="s">
        <v>286</v>
      </c>
      <c r="C262" s="102">
        <v>2005</v>
      </c>
      <c r="D262" s="106">
        <v>660228251</v>
      </c>
      <c r="E262" s="106">
        <v>1421390035</v>
      </c>
      <c r="F262" s="106">
        <v>579179085.19000006</v>
      </c>
      <c r="G262" s="106">
        <v>196304730</v>
      </c>
      <c r="H262" s="105">
        <f t="shared" si="8"/>
        <v>2857102101.1900001</v>
      </c>
      <c r="I262" s="103">
        <v>67234192</v>
      </c>
      <c r="J262" s="109" t="s">
        <v>675</v>
      </c>
    </row>
    <row r="263" spans="1:10">
      <c r="A263" s="101" t="s">
        <v>21</v>
      </c>
      <c r="B263" s="88" t="s">
        <v>286</v>
      </c>
      <c r="C263" s="102">
        <v>2006</v>
      </c>
      <c r="D263" s="103">
        <v>882213488</v>
      </c>
      <c r="E263" s="103">
        <v>2398665193</v>
      </c>
      <c r="F263" s="103">
        <v>758889321</v>
      </c>
      <c r="G263" s="103">
        <v>88707613</v>
      </c>
      <c r="H263" s="105">
        <f t="shared" si="8"/>
        <v>4128475615</v>
      </c>
      <c r="I263" s="103">
        <v>2211338</v>
      </c>
      <c r="J263" s="109" t="s">
        <v>675</v>
      </c>
    </row>
    <row r="264" spans="1:10">
      <c r="A264" s="101" t="s">
        <v>21</v>
      </c>
      <c r="B264" s="88" t="s">
        <v>286</v>
      </c>
      <c r="C264" s="102">
        <v>2007</v>
      </c>
      <c r="D264" s="103">
        <v>852112573</v>
      </c>
      <c r="E264" s="103">
        <v>1808576871</v>
      </c>
      <c r="F264" s="103">
        <v>868659122</v>
      </c>
      <c r="G264" s="103">
        <v>17784824</v>
      </c>
      <c r="H264" s="105">
        <f t="shared" si="8"/>
        <v>3547133390</v>
      </c>
      <c r="I264" s="103">
        <v>622293</v>
      </c>
      <c r="J264" s="109" t="s">
        <v>675</v>
      </c>
    </row>
    <row r="265" spans="1:10">
      <c r="A265" s="101" t="s">
        <v>21</v>
      </c>
      <c r="B265" s="88" t="s">
        <v>286</v>
      </c>
      <c r="C265" s="102">
        <v>2008</v>
      </c>
      <c r="D265" s="103">
        <v>1025017351</v>
      </c>
      <c r="E265" s="103">
        <v>1910162221</v>
      </c>
      <c r="F265" s="103">
        <v>933158813</v>
      </c>
      <c r="G265" s="103">
        <v>369698279</v>
      </c>
      <c r="H265" s="105">
        <f t="shared" si="8"/>
        <v>4238036664</v>
      </c>
      <c r="I265" s="103">
        <v>879400</v>
      </c>
      <c r="J265" s="109" t="s">
        <v>675</v>
      </c>
    </row>
    <row r="266" spans="1:10">
      <c r="A266" s="101" t="s">
        <v>21</v>
      </c>
      <c r="B266" s="88" t="s">
        <v>286</v>
      </c>
      <c r="C266" s="102">
        <v>2009</v>
      </c>
      <c r="D266" s="103">
        <v>822552558</v>
      </c>
      <c r="E266" s="103">
        <v>1412206711</v>
      </c>
      <c r="F266" s="103">
        <v>988941253</v>
      </c>
      <c r="G266" s="103">
        <v>135349822</v>
      </c>
      <c r="H266" s="105">
        <f t="shared" si="8"/>
        <v>3359050344</v>
      </c>
      <c r="I266" s="103">
        <v>519387</v>
      </c>
      <c r="J266" s="109" t="s">
        <v>675</v>
      </c>
    </row>
    <row r="267" spans="1:10">
      <c r="A267" s="101" t="s">
        <v>21</v>
      </c>
      <c r="B267" s="88" t="s">
        <v>286</v>
      </c>
      <c r="C267" s="102">
        <v>2010</v>
      </c>
      <c r="D267" s="103">
        <v>1361781004</v>
      </c>
      <c r="E267" s="103">
        <v>2224925460</v>
      </c>
      <c r="F267" s="103">
        <v>1042389719</v>
      </c>
      <c r="G267" s="103">
        <v>380451203</v>
      </c>
      <c r="H267" s="105">
        <f t="shared" si="8"/>
        <v>5009547386</v>
      </c>
      <c r="I267" s="103">
        <v>891005</v>
      </c>
      <c r="J267" s="109" t="s">
        <v>675</v>
      </c>
    </row>
    <row r="268" spans="1:10">
      <c r="A268" s="101" t="s">
        <v>21</v>
      </c>
      <c r="B268" s="88" t="s">
        <v>286</v>
      </c>
      <c r="C268" s="102">
        <v>2011</v>
      </c>
      <c r="D268" s="103">
        <v>1276585349</v>
      </c>
      <c r="E268" s="103">
        <v>2447798958</v>
      </c>
      <c r="F268" s="103">
        <v>960004957.13999999</v>
      </c>
      <c r="G268" s="103">
        <v>21932357</v>
      </c>
      <c r="H268" s="105">
        <f t="shared" si="8"/>
        <v>4706321621.1400003</v>
      </c>
      <c r="I268" s="103">
        <v>768093</v>
      </c>
      <c r="J268" s="109" t="s">
        <v>675</v>
      </c>
    </row>
    <row r="269" spans="1:10">
      <c r="A269" s="101" t="s">
        <v>21</v>
      </c>
      <c r="B269" s="88" t="s">
        <v>286</v>
      </c>
      <c r="C269" s="102">
        <v>2012</v>
      </c>
      <c r="D269" s="103">
        <v>1198044498</v>
      </c>
      <c r="E269" s="103">
        <v>2785510402</v>
      </c>
      <c r="F269" s="103">
        <v>657546305</v>
      </c>
      <c r="G269" s="103">
        <v>186946251</v>
      </c>
      <c r="H269" s="105">
        <f t="shared" si="8"/>
        <v>4828047456</v>
      </c>
      <c r="I269" s="103">
        <v>537052</v>
      </c>
      <c r="J269" s="109" t="s">
        <v>675</v>
      </c>
    </row>
    <row r="270" spans="1:10">
      <c r="A270" s="101" t="s">
        <v>21</v>
      </c>
      <c r="B270" s="88" t="s">
        <v>286</v>
      </c>
      <c r="C270" s="102">
        <v>2013</v>
      </c>
      <c r="D270" s="103">
        <v>965551664</v>
      </c>
      <c r="E270" s="103">
        <v>2164682905</v>
      </c>
      <c r="F270" s="103">
        <v>509198021</v>
      </c>
      <c r="G270" s="103">
        <v>44607864</v>
      </c>
      <c r="H270" s="105">
        <f t="shared" si="8"/>
        <v>3684040454</v>
      </c>
      <c r="I270" s="103">
        <v>1407219</v>
      </c>
      <c r="J270" s="109" t="s">
        <v>675</v>
      </c>
    </row>
    <row r="271" spans="1:10">
      <c r="A271" s="101" t="s">
        <v>21</v>
      </c>
      <c r="B271" s="88" t="s">
        <v>286</v>
      </c>
      <c r="C271" s="97">
        <v>2014</v>
      </c>
      <c r="D271" s="103">
        <v>925035815</v>
      </c>
      <c r="E271" s="103">
        <v>2670489704</v>
      </c>
      <c r="F271" s="103">
        <v>551761086.40999997</v>
      </c>
      <c r="G271" s="103">
        <v>9214813</v>
      </c>
      <c r="H271" s="105">
        <f t="shared" si="8"/>
        <v>4156501418.4099998</v>
      </c>
      <c r="I271" s="103">
        <v>75394855</v>
      </c>
      <c r="J271" s="109" t="s">
        <v>675</v>
      </c>
    </row>
    <row r="272" spans="1:10">
      <c r="A272" s="101" t="s">
        <v>21</v>
      </c>
      <c r="B272" s="88" t="s">
        <v>286</v>
      </c>
      <c r="C272" s="97">
        <v>2015</v>
      </c>
      <c r="D272" s="103">
        <v>932058669</v>
      </c>
      <c r="E272" s="103">
        <v>2374396553</v>
      </c>
      <c r="F272" s="103">
        <v>533630370</v>
      </c>
      <c r="G272" s="103">
        <v>13522993</v>
      </c>
      <c r="H272" s="105">
        <f t="shared" si="8"/>
        <v>3853608585</v>
      </c>
      <c r="I272" s="103">
        <v>12709071</v>
      </c>
      <c r="J272" s="109" t="s">
        <v>675</v>
      </c>
    </row>
    <row r="273" spans="1:11">
      <c r="A273" s="101" t="s">
        <v>21</v>
      </c>
      <c r="B273" s="88" t="s">
        <v>286</v>
      </c>
      <c r="C273" s="97">
        <v>2016</v>
      </c>
      <c r="D273" s="103">
        <v>954796281</v>
      </c>
      <c r="E273" s="103">
        <v>2668716176</v>
      </c>
      <c r="F273" s="103">
        <v>582228613</v>
      </c>
      <c r="G273" s="103">
        <v>18664148</v>
      </c>
      <c r="H273" s="105">
        <f t="shared" si="8"/>
        <v>4224405218</v>
      </c>
      <c r="I273" s="103">
        <v>68361015</v>
      </c>
      <c r="J273" s="109" t="s">
        <v>675</v>
      </c>
    </row>
    <row r="274" spans="1:11">
      <c r="A274" s="101" t="s">
        <v>21</v>
      </c>
      <c r="B274" s="88" t="s">
        <v>286</v>
      </c>
      <c r="C274" s="97">
        <v>2017</v>
      </c>
      <c r="D274" s="103">
        <v>967482511</v>
      </c>
      <c r="E274" s="103">
        <v>3665055210</v>
      </c>
      <c r="F274" s="103">
        <v>704658255.11000001</v>
      </c>
      <c r="G274" s="103">
        <v>52947617</v>
      </c>
      <c r="H274" s="105">
        <f t="shared" si="8"/>
        <v>5390143593.1099997</v>
      </c>
      <c r="I274" s="103">
        <v>818567</v>
      </c>
      <c r="J274" s="109" t="s">
        <v>675</v>
      </c>
    </row>
    <row r="275" spans="1:11">
      <c r="A275" s="101" t="s">
        <v>21</v>
      </c>
      <c r="B275" s="88" t="s">
        <v>286</v>
      </c>
      <c r="C275" s="97">
        <v>2018</v>
      </c>
      <c r="D275" s="103">
        <v>984509292</v>
      </c>
      <c r="E275" s="103">
        <v>3197502033</v>
      </c>
      <c r="F275" s="103">
        <v>735735607.07999992</v>
      </c>
      <c r="G275" s="103">
        <v>138709862</v>
      </c>
      <c r="H275" s="105">
        <f t="shared" si="8"/>
        <v>5056456794.0799999</v>
      </c>
      <c r="I275" s="103">
        <v>6829488</v>
      </c>
      <c r="J275" s="109" t="s">
        <v>675</v>
      </c>
    </row>
    <row r="276" spans="1:11">
      <c r="A276" s="101" t="s">
        <v>21</v>
      </c>
      <c r="B276" s="88" t="s">
        <v>286</v>
      </c>
      <c r="C276" s="97">
        <v>2019</v>
      </c>
      <c r="D276" s="103">
        <v>1079807725</v>
      </c>
      <c r="E276" s="103">
        <v>3784493080</v>
      </c>
      <c r="F276" s="103">
        <v>767517553.19720006</v>
      </c>
      <c r="G276" s="103">
        <v>368727834</v>
      </c>
      <c r="H276" s="105">
        <f t="shared" si="8"/>
        <v>6000546192.1971998</v>
      </c>
      <c r="I276" s="103">
        <v>1183644</v>
      </c>
      <c r="J276" s="111" t="s">
        <v>681</v>
      </c>
      <c r="K276" s="52" t="s">
        <v>677</v>
      </c>
    </row>
    <row r="277" spans="1:11">
      <c r="A277" s="101" t="s">
        <v>21</v>
      </c>
      <c r="B277" s="88" t="s">
        <v>286</v>
      </c>
      <c r="C277" s="97">
        <v>2020</v>
      </c>
      <c r="D277" s="103">
        <v>1100057857</v>
      </c>
      <c r="E277" s="103">
        <v>4344738619</v>
      </c>
      <c r="F277" s="103">
        <v>707201583</v>
      </c>
      <c r="G277" s="103">
        <v>35875504</v>
      </c>
      <c r="H277" s="105">
        <f t="shared" si="8"/>
        <v>6187873563</v>
      </c>
      <c r="I277" s="103">
        <v>-6425721</v>
      </c>
      <c r="J277" s="111" t="s">
        <v>678</v>
      </c>
    </row>
    <row r="278" spans="1:11">
      <c r="A278" s="101"/>
      <c r="B278" s="107"/>
      <c r="D278" s="112"/>
      <c r="E278" s="112"/>
      <c r="F278" s="112"/>
      <c r="G278" s="112"/>
      <c r="H278" s="103"/>
      <c r="I278" s="103"/>
      <c r="J278" s="109"/>
    </row>
    <row r="279" spans="1:11">
      <c r="A279" s="71" t="s">
        <v>683</v>
      </c>
      <c r="B279" s="88" t="s">
        <v>684</v>
      </c>
      <c r="C279" s="102">
        <v>1988</v>
      </c>
      <c r="D279" s="104">
        <v>0</v>
      </c>
      <c r="E279" s="104">
        <v>0</v>
      </c>
      <c r="F279" s="104">
        <v>0</v>
      </c>
      <c r="G279" s="104">
        <v>0</v>
      </c>
      <c r="H279" s="105">
        <f>SUM(D279:G279)</f>
        <v>0</v>
      </c>
      <c r="I279" s="103">
        <v>0</v>
      </c>
      <c r="J279" s="109"/>
    </row>
    <row r="280" spans="1:11">
      <c r="A280" s="71" t="s">
        <v>683</v>
      </c>
      <c r="B280" s="88" t="s">
        <v>684</v>
      </c>
      <c r="C280" s="102">
        <v>1989</v>
      </c>
      <c r="D280" s="104">
        <v>0</v>
      </c>
      <c r="E280" s="104">
        <v>0</v>
      </c>
      <c r="F280" s="104">
        <v>0</v>
      </c>
      <c r="G280" s="104">
        <v>0</v>
      </c>
      <c r="H280" s="105">
        <f t="shared" ref="H280:H311" si="9">SUM(D280:G280)</f>
        <v>0</v>
      </c>
      <c r="I280" s="103">
        <v>0</v>
      </c>
      <c r="J280" s="109"/>
    </row>
    <row r="281" spans="1:11">
      <c r="A281" s="71" t="s">
        <v>683</v>
      </c>
      <c r="B281" s="88" t="s">
        <v>684</v>
      </c>
      <c r="C281" s="102">
        <v>1990</v>
      </c>
      <c r="D281" s="104">
        <v>0</v>
      </c>
      <c r="E281" s="104">
        <v>0</v>
      </c>
      <c r="F281" s="104">
        <v>0</v>
      </c>
      <c r="G281" s="104">
        <v>0</v>
      </c>
      <c r="H281" s="105">
        <f t="shared" si="9"/>
        <v>0</v>
      </c>
      <c r="I281" s="103">
        <v>0</v>
      </c>
      <c r="J281" s="109"/>
    </row>
    <row r="282" spans="1:11">
      <c r="A282" s="71" t="s">
        <v>683</v>
      </c>
      <c r="B282" s="88" t="s">
        <v>684</v>
      </c>
      <c r="C282" s="102">
        <v>1991</v>
      </c>
      <c r="D282" s="104">
        <v>217338412</v>
      </c>
      <c r="E282" s="104">
        <v>180130467</v>
      </c>
      <c r="F282" s="104">
        <v>510479203</v>
      </c>
      <c r="G282" s="104">
        <v>0</v>
      </c>
      <c r="H282" s="105">
        <f t="shared" si="9"/>
        <v>907948082</v>
      </c>
      <c r="I282" s="103">
        <v>0</v>
      </c>
      <c r="J282" s="109"/>
    </row>
    <row r="283" spans="1:11">
      <c r="A283" s="71" t="s">
        <v>683</v>
      </c>
      <c r="B283" s="88" t="s">
        <v>684</v>
      </c>
      <c r="C283" s="102">
        <v>1992</v>
      </c>
      <c r="D283" s="104">
        <v>210556219</v>
      </c>
      <c r="E283" s="104">
        <v>229032963.80000001</v>
      </c>
      <c r="F283" s="104">
        <v>532295059</v>
      </c>
      <c r="G283" s="104">
        <v>0</v>
      </c>
      <c r="H283" s="105">
        <f t="shared" si="9"/>
        <v>971884241.79999995</v>
      </c>
      <c r="I283" s="103">
        <v>0</v>
      </c>
      <c r="J283" s="109"/>
    </row>
    <row r="284" spans="1:11">
      <c r="A284" s="71" t="s">
        <v>683</v>
      </c>
      <c r="B284" s="88" t="s">
        <v>684</v>
      </c>
      <c r="C284" s="102">
        <v>1993</v>
      </c>
      <c r="D284" s="104">
        <v>207127514</v>
      </c>
      <c r="E284" s="104">
        <v>164168075</v>
      </c>
      <c r="F284" s="104">
        <v>555080312</v>
      </c>
      <c r="G284" s="104">
        <v>0</v>
      </c>
      <c r="H284" s="105">
        <f t="shared" si="9"/>
        <v>926375901</v>
      </c>
      <c r="I284" s="103">
        <v>0</v>
      </c>
      <c r="J284" s="109"/>
    </row>
    <row r="285" spans="1:11">
      <c r="A285" s="71" t="s">
        <v>683</v>
      </c>
      <c r="B285" s="88" t="s">
        <v>684</v>
      </c>
      <c r="C285" s="102">
        <v>1994</v>
      </c>
      <c r="D285" s="104">
        <v>236776873</v>
      </c>
      <c r="E285" s="104">
        <v>174802375</v>
      </c>
      <c r="F285" s="104">
        <v>589711121</v>
      </c>
      <c r="G285" s="104">
        <v>0</v>
      </c>
      <c r="H285" s="105">
        <f t="shared" si="9"/>
        <v>1001290369</v>
      </c>
      <c r="I285" s="103">
        <v>0</v>
      </c>
      <c r="J285" s="109"/>
    </row>
    <row r="286" spans="1:11">
      <c r="A286" s="71" t="s">
        <v>683</v>
      </c>
      <c r="B286" s="88" t="s">
        <v>684</v>
      </c>
      <c r="C286" s="102">
        <v>1995</v>
      </c>
      <c r="D286" s="104">
        <v>234349983</v>
      </c>
      <c r="E286" s="104">
        <v>198810580</v>
      </c>
      <c r="F286" s="104">
        <v>627674026</v>
      </c>
      <c r="G286" s="104">
        <v>0</v>
      </c>
      <c r="H286" s="105">
        <f t="shared" si="9"/>
        <v>1060834589</v>
      </c>
      <c r="I286" s="103">
        <v>0</v>
      </c>
      <c r="J286" s="109"/>
    </row>
    <row r="287" spans="1:11">
      <c r="A287" s="71" t="s">
        <v>683</v>
      </c>
      <c r="B287" s="88" t="s">
        <v>684</v>
      </c>
      <c r="C287" s="102">
        <v>1996</v>
      </c>
      <c r="D287" s="104">
        <v>416473837</v>
      </c>
      <c r="E287" s="104">
        <v>153864229</v>
      </c>
      <c r="F287" s="104">
        <v>616338520</v>
      </c>
      <c r="G287" s="104">
        <v>0</v>
      </c>
      <c r="H287" s="105">
        <f t="shared" si="9"/>
        <v>1186676586</v>
      </c>
      <c r="I287" s="103">
        <v>0</v>
      </c>
      <c r="J287" s="109"/>
    </row>
    <row r="288" spans="1:11">
      <c r="A288" s="71" t="s">
        <v>683</v>
      </c>
      <c r="B288" s="88" t="s">
        <v>684</v>
      </c>
      <c r="C288" s="102">
        <v>1997</v>
      </c>
      <c r="D288" s="104">
        <v>263347768</v>
      </c>
      <c r="E288" s="104">
        <v>380001823</v>
      </c>
      <c r="F288" s="104">
        <v>578124488</v>
      </c>
      <c r="G288" s="104">
        <v>0</v>
      </c>
      <c r="H288" s="105">
        <f t="shared" si="9"/>
        <v>1221474079</v>
      </c>
      <c r="I288" s="103">
        <v>0</v>
      </c>
      <c r="J288" s="109"/>
    </row>
    <row r="289" spans="1:10">
      <c r="A289" s="71" t="s">
        <v>683</v>
      </c>
      <c r="B289" s="88" t="s">
        <v>684</v>
      </c>
      <c r="C289" s="102">
        <v>1998</v>
      </c>
      <c r="D289" s="104">
        <v>292761053</v>
      </c>
      <c r="E289" s="104">
        <v>180723360</v>
      </c>
      <c r="F289" s="104">
        <v>691258384</v>
      </c>
      <c r="G289" s="104">
        <v>0</v>
      </c>
      <c r="H289" s="105">
        <f t="shared" si="9"/>
        <v>1164742797</v>
      </c>
      <c r="I289" s="103">
        <v>0</v>
      </c>
      <c r="J289" s="109"/>
    </row>
    <row r="290" spans="1:10">
      <c r="A290" s="71" t="s">
        <v>683</v>
      </c>
      <c r="B290" s="88" t="s">
        <v>684</v>
      </c>
      <c r="C290" s="102">
        <v>1999</v>
      </c>
      <c r="D290" s="104">
        <v>249107368</v>
      </c>
      <c r="E290" s="104">
        <v>372749297</v>
      </c>
      <c r="F290" s="104">
        <v>739288811</v>
      </c>
      <c r="G290" s="104">
        <v>0</v>
      </c>
      <c r="H290" s="105">
        <f t="shared" si="9"/>
        <v>1361145476</v>
      </c>
      <c r="I290" s="103">
        <v>0</v>
      </c>
      <c r="J290" s="109"/>
    </row>
    <row r="291" spans="1:10">
      <c r="A291" s="71" t="s">
        <v>683</v>
      </c>
      <c r="B291" s="88" t="s">
        <v>684</v>
      </c>
      <c r="C291" s="102">
        <v>2000</v>
      </c>
      <c r="D291" s="104">
        <v>266914407</v>
      </c>
      <c r="E291" s="104">
        <v>190477399</v>
      </c>
      <c r="F291" s="104">
        <v>810659448</v>
      </c>
      <c r="G291" s="104">
        <v>0</v>
      </c>
      <c r="H291" s="105">
        <f t="shared" si="9"/>
        <v>1268051254</v>
      </c>
      <c r="I291" s="103">
        <v>0</v>
      </c>
      <c r="J291" s="109"/>
    </row>
    <row r="292" spans="1:10">
      <c r="A292" s="71" t="s">
        <v>683</v>
      </c>
      <c r="B292" s="88" t="s">
        <v>684</v>
      </c>
      <c r="C292" s="102">
        <v>2001</v>
      </c>
      <c r="D292" s="104">
        <v>258847716</v>
      </c>
      <c r="E292" s="104">
        <v>249653429</v>
      </c>
      <c r="F292" s="104">
        <v>750560040</v>
      </c>
      <c r="G292" s="104">
        <v>0</v>
      </c>
      <c r="H292" s="105">
        <f t="shared" si="9"/>
        <v>1259061185</v>
      </c>
      <c r="I292" s="103">
        <v>0</v>
      </c>
      <c r="J292" s="109"/>
    </row>
    <row r="293" spans="1:10">
      <c r="A293" s="71" t="s">
        <v>683</v>
      </c>
      <c r="B293" s="88" t="s">
        <v>684</v>
      </c>
      <c r="C293" s="102">
        <v>2002</v>
      </c>
      <c r="D293" s="104">
        <v>276884688</v>
      </c>
      <c r="E293" s="104">
        <v>485283204</v>
      </c>
      <c r="F293" s="104">
        <v>877958136</v>
      </c>
      <c r="G293" s="104">
        <v>0</v>
      </c>
      <c r="H293" s="105">
        <f t="shared" si="9"/>
        <v>1640126028</v>
      </c>
      <c r="I293" s="103">
        <v>0</v>
      </c>
      <c r="J293" s="109"/>
    </row>
    <row r="294" spans="1:10">
      <c r="A294" s="71" t="s">
        <v>683</v>
      </c>
      <c r="B294" s="88" t="s">
        <v>684</v>
      </c>
      <c r="C294" s="102">
        <v>2003</v>
      </c>
      <c r="D294" s="106">
        <v>311849706</v>
      </c>
      <c r="E294" s="106">
        <v>490061992</v>
      </c>
      <c r="F294" s="106">
        <v>901468918</v>
      </c>
      <c r="G294" s="104">
        <v>0</v>
      </c>
      <c r="H294" s="105">
        <f t="shared" si="9"/>
        <v>1703380616</v>
      </c>
      <c r="I294" s="103">
        <v>0</v>
      </c>
      <c r="J294" s="109"/>
    </row>
    <row r="295" spans="1:10">
      <c r="A295" s="71" t="s">
        <v>683</v>
      </c>
      <c r="B295" s="88" t="s">
        <v>684</v>
      </c>
      <c r="C295" s="102">
        <v>2004</v>
      </c>
      <c r="D295" s="106">
        <v>305373489</v>
      </c>
      <c r="E295" s="106">
        <v>389560861</v>
      </c>
      <c r="F295" s="106">
        <v>930139944</v>
      </c>
      <c r="G295" s="104">
        <v>0</v>
      </c>
      <c r="H295" s="105">
        <f t="shared" si="9"/>
        <v>1625074294</v>
      </c>
      <c r="I295" s="103">
        <v>0</v>
      </c>
      <c r="J295" s="109"/>
    </row>
    <row r="296" spans="1:10">
      <c r="A296" s="71" t="s">
        <v>683</v>
      </c>
      <c r="B296" s="88" t="s">
        <v>684</v>
      </c>
      <c r="C296" s="102">
        <v>2005</v>
      </c>
      <c r="D296" s="106">
        <v>357640743</v>
      </c>
      <c r="E296" s="106">
        <v>254186592</v>
      </c>
      <c r="F296" s="106">
        <v>963803577.01999903</v>
      </c>
      <c r="G296" s="104">
        <v>0</v>
      </c>
      <c r="H296" s="105">
        <f t="shared" si="9"/>
        <v>1575630912.019999</v>
      </c>
      <c r="I296" s="103">
        <v>0</v>
      </c>
      <c r="J296" s="109"/>
    </row>
    <row r="297" spans="1:10">
      <c r="A297" s="71" t="s">
        <v>683</v>
      </c>
      <c r="B297" s="88" t="s">
        <v>684</v>
      </c>
      <c r="C297" s="102">
        <v>2006</v>
      </c>
      <c r="D297" s="103">
        <v>355321670</v>
      </c>
      <c r="E297" s="103">
        <v>273683351</v>
      </c>
      <c r="F297" s="103">
        <v>963082608</v>
      </c>
      <c r="G297" s="103">
        <v>0</v>
      </c>
      <c r="H297" s="105">
        <f t="shared" si="9"/>
        <v>1592087629</v>
      </c>
      <c r="I297" s="103">
        <v>0</v>
      </c>
      <c r="J297" s="109"/>
    </row>
    <row r="298" spans="1:10">
      <c r="A298" s="71" t="s">
        <v>683</v>
      </c>
      <c r="B298" s="88" t="s">
        <v>684</v>
      </c>
      <c r="C298" s="102">
        <v>2007</v>
      </c>
      <c r="D298" s="103">
        <v>376219516</v>
      </c>
      <c r="E298" s="103">
        <v>454474562</v>
      </c>
      <c r="F298" s="103">
        <v>1166633067</v>
      </c>
      <c r="G298" s="103">
        <v>0</v>
      </c>
      <c r="H298" s="105">
        <f t="shared" si="9"/>
        <v>1997327145</v>
      </c>
      <c r="I298" s="103">
        <v>0</v>
      </c>
      <c r="J298" s="109"/>
    </row>
    <row r="299" spans="1:10">
      <c r="A299" s="71" t="s">
        <v>683</v>
      </c>
      <c r="B299" s="88" t="s">
        <v>684</v>
      </c>
      <c r="C299" s="102">
        <v>2008</v>
      </c>
      <c r="D299" s="103">
        <v>367138554</v>
      </c>
      <c r="E299" s="103">
        <v>463223374</v>
      </c>
      <c r="F299" s="103">
        <v>1296792711</v>
      </c>
      <c r="G299" s="103">
        <v>0</v>
      </c>
      <c r="H299" s="105">
        <f t="shared" si="9"/>
        <v>2127154639</v>
      </c>
      <c r="I299" s="103">
        <v>0</v>
      </c>
      <c r="J299" s="109"/>
    </row>
    <row r="300" spans="1:10">
      <c r="A300" s="71" t="s">
        <v>683</v>
      </c>
      <c r="B300" s="88" t="s">
        <v>684</v>
      </c>
      <c r="C300" s="102">
        <v>2009</v>
      </c>
      <c r="D300" s="103">
        <v>589760311</v>
      </c>
      <c r="E300" s="103">
        <v>402348019</v>
      </c>
      <c r="F300" s="103">
        <v>1340338177</v>
      </c>
      <c r="G300" s="103">
        <v>0</v>
      </c>
      <c r="H300" s="105">
        <f t="shared" si="9"/>
        <v>2332446507</v>
      </c>
      <c r="I300" s="103">
        <v>0</v>
      </c>
      <c r="J300" s="109"/>
    </row>
    <row r="301" spans="1:10">
      <c r="A301" s="71" t="s">
        <v>683</v>
      </c>
      <c r="B301" s="88" t="s">
        <v>684</v>
      </c>
      <c r="C301" s="102">
        <v>2010</v>
      </c>
      <c r="D301" s="103">
        <v>582050124</v>
      </c>
      <c r="E301" s="103">
        <v>356639884</v>
      </c>
      <c r="F301" s="103">
        <v>1356062472</v>
      </c>
      <c r="G301" s="103">
        <v>0</v>
      </c>
      <c r="H301" s="105">
        <f t="shared" si="9"/>
        <v>2294752480</v>
      </c>
      <c r="I301" s="103">
        <v>0</v>
      </c>
      <c r="J301" s="109"/>
    </row>
    <row r="302" spans="1:10">
      <c r="A302" s="71" t="s">
        <v>683</v>
      </c>
      <c r="B302" s="88" t="s">
        <v>684</v>
      </c>
      <c r="C302" s="102">
        <v>2011</v>
      </c>
      <c r="D302" s="103">
        <v>555448782</v>
      </c>
      <c r="E302" s="103">
        <v>322957063</v>
      </c>
      <c r="F302" s="103">
        <v>1478092695.6599998</v>
      </c>
      <c r="G302" s="103">
        <v>0</v>
      </c>
      <c r="H302" s="105">
        <f t="shared" si="9"/>
        <v>2356498540.6599998</v>
      </c>
      <c r="I302" s="103">
        <v>0</v>
      </c>
      <c r="J302" s="109"/>
    </row>
    <row r="303" spans="1:10">
      <c r="A303" s="71" t="s">
        <v>683</v>
      </c>
      <c r="B303" s="88" t="s">
        <v>684</v>
      </c>
      <c r="C303" s="102">
        <v>2012</v>
      </c>
      <c r="D303" s="103">
        <v>569416328</v>
      </c>
      <c r="E303" s="103">
        <v>331727663</v>
      </c>
      <c r="F303" s="103">
        <v>1417656271</v>
      </c>
      <c r="G303" s="103">
        <v>0</v>
      </c>
      <c r="H303" s="105">
        <f t="shared" si="9"/>
        <v>2318800262</v>
      </c>
      <c r="I303" s="103">
        <v>0</v>
      </c>
      <c r="J303" s="109"/>
    </row>
    <row r="304" spans="1:10">
      <c r="A304" s="71" t="s">
        <v>683</v>
      </c>
      <c r="B304" s="88" t="s">
        <v>684</v>
      </c>
      <c r="C304" s="102">
        <v>2013</v>
      </c>
      <c r="D304" s="103">
        <v>599092036</v>
      </c>
      <c r="E304" s="103">
        <v>344442817</v>
      </c>
      <c r="F304" s="103">
        <v>1546493942</v>
      </c>
      <c r="G304" s="103">
        <v>0</v>
      </c>
      <c r="H304" s="105">
        <f t="shared" si="9"/>
        <v>2490028795</v>
      </c>
      <c r="I304" s="103">
        <v>0</v>
      </c>
      <c r="J304" s="109"/>
    </row>
    <row r="305" spans="1:10">
      <c r="A305" s="71" t="s">
        <v>683</v>
      </c>
      <c r="B305" s="88" t="s">
        <v>684</v>
      </c>
      <c r="C305" s="97">
        <v>2014</v>
      </c>
      <c r="D305" s="103">
        <v>608274115</v>
      </c>
      <c r="E305" s="103">
        <v>489914827</v>
      </c>
      <c r="F305" s="103">
        <v>1457442455.8199999</v>
      </c>
      <c r="G305" s="103">
        <v>0</v>
      </c>
      <c r="H305" s="105">
        <f t="shared" si="9"/>
        <v>2555631397.8199997</v>
      </c>
      <c r="I305" s="103">
        <v>0</v>
      </c>
      <c r="J305" s="109"/>
    </row>
    <row r="306" spans="1:10">
      <c r="A306" s="71" t="s">
        <v>683</v>
      </c>
      <c r="B306" s="88" t="s">
        <v>684</v>
      </c>
      <c r="C306" s="97">
        <v>2015</v>
      </c>
      <c r="D306" s="103">
        <v>635801187</v>
      </c>
      <c r="E306" s="103">
        <v>396142039</v>
      </c>
      <c r="F306" s="103">
        <v>1498032963</v>
      </c>
      <c r="G306" s="103">
        <v>0</v>
      </c>
      <c r="H306" s="105">
        <f t="shared" si="9"/>
        <v>2529976189</v>
      </c>
      <c r="I306" s="103">
        <v>0</v>
      </c>
      <c r="J306" s="109"/>
    </row>
    <row r="307" spans="1:10">
      <c r="A307" s="71" t="s">
        <v>683</v>
      </c>
      <c r="B307" s="88" t="s">
        <v>684</v>
      </c>
      <c r="C307" s="97">
        <v>2016</v>
      </c>
      <c r="D307" s="103">
        <v>694218698</v>
      </c>
      <c r="E307" s="103">
        <v>487935023</v>
      </c>
      <c r="F307" s="103">
        <v>1433172159</v>
      </c>
      <c r="G307" s="103">
        <v>0</v>
      </c>
      <c r="H307" s="105">
        <f t="shared" si="9"/>
        <v>2615325880</v>
      </c>
      <c r="I307" s="103">
        <v>0</v>
      </c>
      <c r="J307" s="109"/>
    </row>
    <row r="308" spans="1:10">
      <c r="A308" s="71" t="s">
        <v>683</v>
      </c>
      <c r="B308" s="88" t="s">
        <v>684</v>
      </c>
      <c r="C308" s="97">
        <v>2017</v>
      </c>
      <c r="D308" s="103">
        <v>694587613</v>
      </c>
      <c r="E308" s="103">
        <v>470558762</v>
      </c>
      <c r="F308" s="103">
        <v>1345269877.9000001</v>
      </c>
      <c r="G308" s="103">
        <v>0</v>
      </c>
      <c r="H308" s="105">
        <f t="shared" si="9"/>
        <v>2510416252.9000001</v>
      </c>
      <c r="I308" s="103">
        <v>0</v>
      </c>
      <c r="J308" s="109"/>
    </row>
    <row r="309" spans="1:10">
      <c r="A309" s="71" t="s">
        <v>683</v>
      </c>
      <c r="B309" s="88" t="s">
        <v>684</v>
      </c>
      <c r="C309" s="97">
        <v>2018</v>
      </c>
      <c r="D309" s="103">
        <v>670445833</v>
      </c>
      <c r="E309" s="103">
        <v>493423681</v>
      </c>
      <c r="F309" s="103">
        <v>1412820301</v>
      </c>
      <c r="G309" s="103">
        <v>0</v>
      </c>
      <c r="H309" s="105">
        <f t="shared" si="9"/>
        <v>2576689815</v>
      </c>
      <c r="I309" s="103">
        <v>0</v>
      </c>
      <c r="J309" s="109"/>
    </row>
    <row r="310" spans="1:10">
      <c r="A310" s="71" t="s">
        <v>683</v>
      </c>
      <c r="B310" s="88" t="s">
        <v>684</v>
      </c>
      <c r="C310" s="97">
        <v>2019</v>
      </c>
      <c r="D310" s="103">
        <v>653119970</v>
      </c>
      <c r="E310" s="103">
        <v>525600101</v>
      </c>
      <c r="F310" s="103">
        <v>1725703642.9925001</v>
      </c>
      <c r="G310" s="103">
        <v>0</v>
      </c>
      <c r="H310" s="105">
        <f t="shared" si="9"/>
        <v>2904423713.9925003</v>
      </c>
      <c r="I310" s="103">
        <v>0</v>
      </c>
      <c r="J310" s="109"/>
    </row>
    <row r="311" spans="1:10">
      <c r="A311" s="71" t="s">
        <v>683</v>
      </c>
      <c r="B311" s="88" t="s">
        <v>684</v>
      </c>
      <c r="C311" s="97">
        <v>2020</v>
      </c>
      <c r="D311" s="103">
        <v>657339610</v>
      </c>
      <c r="E311" s="103">
        <v>583133211</v>
      </c>
      <c r="F311" s="103">
        <v>1777954388</v>
      </c>
      <c r="G311" s="103">
        <v>0</v>
      </c>
      <c r="H311" s="105">
        <f t="shared" si="9"/>
        <v>3018427209</v>
      </c>
      <c r="I311" s="103">
        <v>0</v>
      </c>
      <c r="J311" s="109"/>
    </row>
    <row r="312" spans="1:10">
      <c r="A312" s="101"/>
      <c r="B312" s="107"/>
      <c r="D312" s="104"/>
      <c r="E312" s="104"/>
      <c r="F312" s="104"/>
      <c r="G312" s="104"/>
      <c r="H312" s="103"/>
      <c r="I312" s="103"/>
      <c r="J312" s="109"/>
    </row>
    <row r="313" spans="1:10">
      <c r="A313" s="101" t="s">
        <v>25</v>
      </c>
      <c r="B313" s="88" t="s">
        <v>305</v>
      </c>
      <c r="C313" s="102">
        <v>1988</v>
      </c>
      <c r="D313" s="104">
        <v>2904264606</v>
      </c>
      <c r="E313" s="104">
        <v>2766315166</v>
      </c>
      <c r="F313" s="104">
        <v>4016774828</v>
      </c>
      <c r="G313" s="104">
        <v>0</v>
      </c>
      <c r="H313" s="105">
        <f>SUM(D313:G313)</f>
        <v>9687354600</v>
      </c>
      <c r="I313" s="103">
        <v>0</v>
      </c>
      <c r="J313" s="109"/>
    </row>
    <row r="314" spans="1:10">
      <c r="A314" s="101" t="s">
        <v>25</v>
      </c>
      <c r="B314" s="88" t="s">
        <v>305</v>
      </c>
      <c r="C314" s="102">
        <v>1989</v>
      </c>
      <c r="D314" s="104">
        <v>2622317118</v>
      </c>
      <c r="E314" s="104">
        <v>3090286175</v>
      </c>
      <c r="F314" s="104">
        <v>4566724561</v>
      </c>
      <c r="G314" s="104">
        <v>0</v>
      </c>
      <c r="H314" s="105">
        <f t="shared" ref="H314:H345" si="10">SUM(D314:G314)</f>
        <v>10279327854</v>
      </c>
      <c r="I314" s="103">
        <v>0</v>
      </c>
      <c r="J314" s="109"/>
    </row>
    <row r="315" spans="1:10">
      <c r="A315" s="101" t="s">
        <v>25</v>
      </c>
      <c r="B315" s="88" t="s">
        <v>305</v>
      </c>
      <c r="C315" s="102">
        <v>1990</v>
      </c>
      <c r="D315" s="104">
        <v>2785056749</v>
      </c>
      <c r="E315" s="104">
        <v>3399675776.1599998</v>
      </c>
      <c r="F315" s="104">
        <v>4910814104</v>
      </c>
      <c r="G315" s="104">
        <v>0</v>
      </c>
      <c r="H315" s="105">
        <f t="shared" si="10"/>
        <v>11095546629.16</v>
      </c>
      <c r="I315" s="103">
        <v>0</v>
      </c>
      <c r="J315" s="109"/>
    </row>
    <row r="316" spans="1:10">
      <c r="A316" s="101" t="s">
        <v>25</v>
      </c>
      <c r="B316" s="88" t="s">
        <v>305</v>
      </c>
      <c r="C316" s="102">
        <v>1991</v>
      </c>
      <c r="D316" s="104">
        <v>3018214798</v>
      </c>
      <c r="E316" s="104">
        <v>3260602915</v>
      </c>
      <c r="F316" s="104">
        <v>4824686085</v>
      </c>
      <c r="G316" s="104">
        <v>0</v>
      </c>
      <c r="H316" s="105">
        <f t="shared" si="10"/>
        <v>11103503798</v>
      </c>
      <c r="I316" s="103">
        <v>0</v>
      </c>
      <c r="J316" s="109"/>
    </row>
    <row r="317" spans="1:10">
      <c r="A317" s="101" t="s">
        <v>25</v>
      </c>
      <c r="B317" s="88" t="s">
        <v>305</v>
      </c>
      <c r="C317" s="102">
        <v>1992</v>
      </c>
      <c r="D317" s="104">
        <v>3162112541</v>
      </c>
      <c r="E317" s="104">
        <v>3336448588.6399999</v>
      </c>
      <c r="F317" s="104">
        <v>5037561670</v>
      </c>
      <c r="G317" s="104">
        <v>0</v>
      </c>
      <c r="H317" s="105">
        <f t="shared" si="10"/>
        <v>11536122799.639999</v>
      </c>
      <c r="I317" s="103">
        <v>0</v>
      </c>
      <c r="J317" s="109"/>
    </row>
    <row r="318" spans="1:10">
      <c r="A318" s="101" t="s">
        <v>25</v>
      </c>
      <c r="B318" s="88" t="s">
        <v>305</v>
      </c>
      <c r="C318" s="102">
        <v>1993</v>
      </c>
      <c r="D318" s="104">
        <v>3409968139</v>
      </c>
      <c r="E318" s="104">
        <v>2977923343</v>
      </c>
      <c r="F318" s="104">
        <v>5262005332</v>
      </c>
      <c r="G318" s="104">
        <v>0</v>
      </c>
      <c r="H318" s="105">
        <f t="shared" si="10"/>
        <v>11649896814</v>
      </c>
      <c r="I318" s="103">
        <v>0</v>
      </c>
      <c r="J318" s="109"/>
    </row>
    <row r="319" spans="1:10">
      <c r="A319" s="101" t="s">
        <v>25</v>
      </c>
      <c r="B319" s="88" t="s">
        <v>305</v>
      </c>
      <c r="C319" s="102">
        <v>1994</v>
      </c>
      <c r="D319" s="104">
        <v>3715944861</v>
      </c>
      <c r="E319" s="104">
        <v>3650195195</v>
      </c>
      <c r="F319" s="104">
        <v>5365881056</v>
      </c>
      <c r="G319" s="104">
        <v>0</v>
      </c>
      <c r="H319" s="105">
        <f t="shared" si="10"/>
        <v>12732021112</v>
      </c>
      <c r="I319" s="103">
        <v>0</v>
      </c>
      <c r="J319" s="109"/>
    </row>
    <row r="320" spans="1:10">
      <c r="A320" s="101" t="s">
        <v>25</v>
      </c>
      <c r="B320" s="88" t="s">
        <v>305</v>
      </c>
      <c r="C320" s="102">
        <v>1995</v>
      </c>
      <c r="D320" s="104">
        <v>4287121478</v>
      </c>
      <c r="E320" s="104">
        <v>3533068915</v>
      </c>
      <c r="F320" s="104">
        <v>5524451760</v>
      </c>
      <c r="G320" s="104">
        <v>0</v>
      </c>
      <c r="H320" s="105">
        <f t="shared" si="10"/>
        <v>13344642153</v>
      </c>
      <c r="I320" s="103">
        <v>0</v>
      </c>
      <c r="J320" s="109"/>
    </row>
    <row r="321" spans="1:10">
      <c r="A321" s="101" t="s">
        <v>25</v>
      </c>
      <c r="B321" s="88" t="s">
        <v>305</v>
      </c>
      <c r="C321" s="102">
        <v>1996</v>
      </c>
      <c r="D321" s="104">
        <v>4054776472</v>
      </c>
      <c r="E321" s="104">
        <v>3336938386</v>
      </c>
      <c r="F321" s="104">
        <v>5511083411</v>
      </c>
      <c r="G321" s="104">
        <v>0</v>
      </c>
      <c r="H321" s="105">
        <f t="shared" si="10"/>
        <v>12902798269</v>
      </c>
      <c r="I321" s="103">
        <v>0</v>
      </c>
      <c r="J321" s="109"/>
    </row>
    <row r="322" spans="1:10">
      <c r="A322" s="101" t="s">
        <v>25</v>
      </c>
      <c r="B322" s="88" t="s">
        <v>305</v>
      </c>
      <c r="C322" s="102">
        <v>1997</v>
      </c>
      <c r="D322" s="104">
        <v>4280528455</v>
      </c>
      <c r="E322" s="104">
        <v>3709224961</v>
      </c>
      <c r="F322" s="104">
        <v>5430501418</v>
      </c>
      <c r="G322" s="104">
        <v>0</v>
      </c>
      <c r="H322" s="105">
        <f t="shared" si="10"/>
        <v>13420254834</v>
      </c>
      <c r="I322" s="103">
        <v>0</v>
      </c>
      <c r="J322" s="109"/>
    </row>
    <row r="323" spans="1:10">
      <c r="A323" s="101" t="s">
        <v>25</v>
      </c>
      <c r="B323" s="88" t="s">
        <v>305</v>
      </c>
      <c r="C323" s="102">
        <v>1998</v>
      </c>
      <c r="D323" s="104">
        <v>4277963293</v>
      </c>
      <c r="E323" s="104">
        <v>3707410535</v>
      </c>
      <c r="F323" s="104">
        <v>5537143929</v>
      </c>
      <c r="G323" s="104">
        <v>0</v>
      </c>
      <c r="H323" s="105">
        <f t="shared" si="10"/>
        <v>13522517757</v>
      </c>
      <c r="I323" s="103">
        <v>0</v>
      </c>
      <c r="J323" s="109"/>
    </row>
    <row r="324" spans="1:10">
      <c r="A324" s="101" t="s">
        <v>25</v>
      </c>
      <c r="B324" s="88" t="s">
        <v>305</v>
      </c>
      <c r="C324" s="102">
        <v>1999</v>
      </c>
      <c r="D324" s="104">
        <v>4145941046</v>
      </c>
      <c r="E324" s="104">
        <v>5013620199</v>
      </c>
      <c r="F324" s="104">
        <v>5741068706</v>
      </c>
      <c r="G324" s="104">
        <v>0</v>
      </c>
      <c r="H324" s="105">
        <f t="shared" si="10"/>
        <v>14900629951</v>
      </c>
      <c r="I324" s="103">
        <v>0</v>
      </c>
      <c r="J324" s="109"/>
    </row>
    <row r="325" spans="1:10">
      <c r="A325" s="101" t="s">
        <v>25</v>
      </c>
      <c r="B325" s="88" t="s">
        <v>305</v>
      </c>
      <c r="C325" s="102">
        <v>2000</v>
      </c>
      <c r="D325" s="104">
        <v>4328405879</v>
      </c>
      <c r="E325" s="104">
        <v>5902011296</v>
      </c>
      <c r="F325" s="104">
        <v>6043302610</v>
      </c>
      <c r="G325" s="104">
        <v>0</v>
      </c>
      <c r="H325" s="105">
        <f t="shared" si="10"/>
        <v>16273719785</v>
      </c>
      <c r="I325" s="103">
        <v>0</v>
      </c>
      <c r="J325" s="109"/>
    </row>
    <row r="326" spans="1:10">
      <c r="A326" s="101" t="s">
        <v>25</v>
      </c>
      <c r="B326" s="88" t="s">
        <v>305</v>
      </c>
      <c r="C326" s="102">
        <v>2001</v>
      </c>
      <c r="D326" s="104">
        <v>4556230821</v>
      </c>
      <c r="E326" s="104">
        <v>8535906409</v>
      </c>
      <c r="F326" s="104">
        <v>6691943712</v>
      </c>
      <c r="G326" s="104">
        <v>0</v>
      </c>
      <c r="H326" s="105">
        <f t="shared" si="10"/>
        <v>19784080942</v>
      </c>
      <c r="I326" s="103">
        <v>0</v>
      </c>
      <c r="J326" s="109"/>
    </row>
    <row r="327" spans="1:10">
      <c r="A327" s="101" t="s">
        <v>25</v>
      </c>
      <c r="B327" s="88" t="s">
        <v>305</v>
      </c>
      <c r="C327" s="102">
        <v>2002</v>
      </c>
      <c r="D327" s="104">
        <v>4722240139</v>
      </c>
      <c r="E327" s="104">
        <v>12062139569</v>
      </c>
      <c r="F327" s="104">
        <v>7128916882</v>
      </c>
      <c r="G327" s="104">
        <v>0</v>
      </c>
      <c r="H327" s="105">
        <f t="shared" si="10"/>
        <v>23913296590</v>
      </c>
      <c r="I327" s="103">
        <v>0</v>
      </c>
      <c r="J327" s="109"/>
    </row>
    <row r="328" spans="1:10">
      <c r="A328" s="101" t="s">
        <v>25</v>
      </c>
      <c r="B328" s="88" t="s">
        <v>305</v>
      </c>
      <c r="C328" s="102">
        <v>2003</v>
      </c>
      <c r="D328" s="106">
        <v>5134646920</v>
      </c>
      <c r="E328" s="106">
        <v>11338322377</v>
      </c>
      <c r="F328" s="106">
        <v>7680083229</v>
      </c>
      <c r="G328" s="104">
        <v>0</v>
      </c>
      <c r="H328" s="105">
        <f t="shared" si="10"/>
        <v>24153052526</v>
      </c>
      <c r="I328" s="103">
        <v>0</v>
      </c>
      <c r="J328" s="109"/>
    </row>
    <row r="329" spans="1:10">
      <c r="A329" s="101" t="s">
        <v>25</v>
      </c>
      <c r="B329" s="88" t="s">
        <v>305</v>
      </c>
      <c r="C329" s="102">
        <v>2004</v>
      </c>
      <c r="D329" s="106">
        <v>5619245870</v>
      </c>
      <c r="E329" s="106">
        <v>8878815674</v>
      </c>
      <c r="F329" s="106">
        <v>8589728379</v>
      </c>
      <c r="G329" s="104">
        <v>0</v>
      </c>
      <c r="H329" s="105">
        <f t="shared" si="10"/>
        <v>23087789923</v>
      </c>
      <c r="I329" s="103">
        <v>0</v>
      </c>
      <c r="J329" s="109"/>
    </row>
    <row r="330" spans="1:10">
      <c r="A330" s="101" t="s">
        <v>25</v>
      </c>
      <c r="B330" s="88" t="s">
        <v>305</v>
      </c>
      <c r="C330" s="102">
        <v>2005</v>
      </c>
      <c r="D330" s="106">
        <v>5896022804</v>
      </c>
      <c r="E330" s="106">
        <v>7607281653</v>
      </c>
      <c r="F330" s="106">
        <v>9941072388.2799892</v>
      </c>
      <c r="G330" s="104">
        <v>0</v>
      </c>
      <c r="H330" s="105">
        <f t="shared" si="10"/>
        <v>23444376845.279991</v>
      </c>
      <c r="I330" s="103">
        <v>0</v>
      </c>
      <c r="J330" s="109"/>
    </row>
    <row r="331" spans="1:10">
      <c r="A331" s="101" t="s">
        <v>25</v>
      </c>
      <c r="B331" s="88" t="s">
        <v>305</v>
      </c>
      <c r="C331" s="102">
        <v>2006</v>
      </c>
      <c r="D331" s="103">
        <v>6477413628</v>
      </c>
      <c r="E331" s="103">
        <v>8236527265</v>
      </c>
      <c r="F331" s="103">
        <v>10959160794</v>
      </c>
      <c r="G331" s="104">
        <v>0</v>
      </c>
      <c r="H331" s="105">
        <f t="shared" si="10"/>
        <v>25673101687</v>
      </c>
      <c r="I331" s="103">
        <v>0</v>
      </c>
      <c r="J331" s="109"/>
    </row>
    <row r="332" spans="1:10">
      <c r="A332" s="101" t="s">
        <v>25</v>
      </c>
      <c r="B332" s="88" t="s">
        <v>305</v>
      </c>
      <c r="C332" s="102">
        <v>2007</v>
      </c>
      <c r="D332" s="103">
        <v>6737841562</v>
      </c>
      <c r="E332" s="103">
        <v>9503241605</v>
      </c>
      <c r="F332" s="103">
        <v>14723125905</v>
      </c>
      <c r="G332" s="104">
        <v>0</v>
      </c>
      <c r="H332" s="105">
        <f t="shared" si="10"/>
        <v>30964209072</v>
      </c>
      <c r="I332" s="103">
        <v>0</v>
      </c>
      <c r="J332" s="109"/>
    </row>
    <row r="333" spans="1:10">
      <c r="A333" s="101" t="s">
        <v>25</v>
      </c>
      <c r="B333" s="88" t="s">
        <v>305</v>
      </c>
      <c r="C333" s="102">
        <v>2008</v>
      </c>
      <c r="D333" s="103">
        <v>6902676520</v>
      </c>
      <c r="E333" s="103">
        <v>13498259765</v>
      </c>
      <c r="F333" s="103">
        <v>15399410273</v>
      </c>
      <c r="G333" s="104">
        <v>0</v>
      </c>
      <c r="H333" s="105">
        <f t="shared" si="10"/>
        <v>35800346558</v>
      </c>
      <c r="I333" s="103">
        <v>0</v>
      </c>
      <c r="J333" s="109"/>
    </row>
    <row r="334" spans="1:10">
      <c r="A334" s="101" t="s">
        <v>25</v>
      </c>
      <c r="B334" s="88" t="s">
        <v>305</v>
      </c>
      <c r="C334" s="102">
        <v>2009</v>
      </c>
      <c r="D334" s="103">
        <v>6999870075</v>
      </c>
      <c r="E334" s="103">
        <v>13125370809</v>
      </c>
      <c r="F334" s="103">
        <v>15565154033</v>
      </c>
      <c r="G334" s="104">
        <v>0</v>
      </c>
      <c r="H334" s="105">
        <f t="shared" si="10"/>
        <v>35690394917</v>
      </c>
      <c r="I334" s="103">
        <v>0</v>
      </c>
      <c r="J334" s="109"/>
    </row>
    <row r="335" spans="1:10">
      <c r="A335" s="101" t="s">
        <v>25</v>
      </c>
      <c r="B335" s="88" t="s">
        <v>305</v>
      </c>
      <c r="C335" s="102">
        <v>2010</v>
      </c>
      <c r="D335" s="103">
        <v>7258349178</v>
      </c>
      <c r="E335" s="103">
        <v>11073309892</v>
      </c>
      <c r="F335" s="103">
        <v>16019974112</v>
      </c>
      <c r="G335" s="104">
        <v>0</v>
      </c>
      <c r="H335" s="105">
        <f t="shared" si="10"/>
        <v>34351633182</v>
      </c>
      <c r="I335" s="103">
        <v>0</v>
      </c>
      <c r="J335" s="109"/>
    </row>
    <row r="336" spans="1:10">
      <c r="A336" s="101" t="s">
        <v>25</v>
      </c>
      <c r="B336" s="88" t="s">
        <v>305</v>
      </c>
      <c r="C336" s="102">
        <v>2011</v>
      </c>
      <c r="D336" s="103">
        <v>7532542724</v>
      </c>
      <c r="E336" s="103">
        <v>10744644453</v>
      </c>
      <c r="F336" s="103">
        <v>16012672883.950001</v>
      </c>
      <c r="G336" s="104">
        <v>0</v>
      </c>
      <c r="H336" s="105">
        <f t="shared" si="10"/>
        <v>34289860060.950001</v>
      </c>
      <c r="I336" s="103">
        <v>0</v>
      </c>
      <c r="J336" s="109"/>
    </row>
    <row r="337" spans="1:11">
      <c r="A337" s="101" t="s">
        <v>25</v>
      </c>
      <c r="B337" s="88" t="s">
        <v>305</v>
      </c>
      <c r="C337" s="102">
        <v>2012</v>
      </c>
      <c r="D337" s="103">
        <v>7825022377</v>
      </c>
      <c r="E337" s="103">
        <v>13111423767</v>
      </c>
      <c r="F337" s="103">
        <v>14295540155</v>
      </c>
      <c r="G337" s="104">
        <v>0</v>
      </c>
      <c r="H337" s="105">
        <f t="shared" si="10"/>
        <v>35231986299</v>
      </c>
      <c r="I337" s="103">
        <v>0</v>
      </c>
      <c r="J337" s="109"/>
    </row>
    <row r="338" spans="1:11">
      <c r="A338" s="101" t="s">
        <v>25</v>
      </c>
      <c r="B338" s="88" t="s">
        <v>305</v>
      </c>
      <c r="C338" s="102">
        <v>2013</v>
      </c>
      <c r="D338" s="103">
        <v>7908130067</v>
      </c>
      <c r="E338" s="103">
        <v>11167755761</v>
      </c>
      <c r="F338" s="103">
        <v>13725596130</v>
      </c>
      <c r="G338" s="104">
        <v>0</v>
      </c>
      <c r="H338" s="105">
        <f t="shared" si="10"/>
        <v>32801481958</v>
      </c>
      <c r="I338" s="103">
        <v>0</v>
      </c>
      <c r="J338" s="109"/>
    </row>
    <row r="339" spans="1:11">
      <c r="A339" s="101" t="s">
        <v>25</v>
      </c>
      <c r="B339" s="88" t="s">
        <v>305</v>
      </c>
      <c r="C339" s="97">
        <v>2014</v>
      </c>
      <c r="D339" s="103">
        <v>8148702937</v>
      </c>
      <c r="E339" s="103">
        <v>12262895711</v>
      </c>
      <c r="F339" s="103">
        <v>15280959381.98</v>
      </c>
      <c r="G339" s="103">
        <v>0</v>
      </c>
      <c r="H339" s="105">
        <f t="shared" si="10"/>
        <v>35692558029.979996</v>
      </c>
      <c r="I339" s="103">
        <v>0</v>
      </c>
      <c r="J339" s="109"/>
    </row>
    <row r="340" spans="1:11">
      <c r="A340" s="101" t="s">
        <v>25</v>
      </c>
      <c r="B340" s="88" t="s">
        <v>305</v>
      </c>
      <c r="C340" s="97">
        <v>2015</v>
      </c>
      <c r="D340" s="103">
        <v>8605260060</v>
      </c>
      <c r="E340" s="103">
        <v>13676689759</v>
      </c>
      <c r="F340" s="103">
        <v>16086129162</v>
      </c>
      <c r="G340" s="103">
        <v>0</v>
      </c>
      <c r="H340" s="105">
        <f t="shared" si="10"/>
        <v>38368078981</v>
      </c>
      <c r="I340" s="103">
        <v>0</v>
      </c>
      <c r="J340" s="109"/>
    </row>
    <row r="341" spans="1:11">
      <c r="A341" s="101" t="s">
        <v>25</v>
      </c>
      <c r="B341" s="88" t="s">
        <v>305</v>
      </c>
      <c r="C341" s="97">
        <v>2016</v>
      </c>
      <c r="D341" s="103">
        <v>9063076811</v>
      </c>
      <c r="E341" s="103">
        <v>14836143334</v>
      </c>
      <c r="F341" s="103">
        <v>16576886331</v>
      </c>
      <c r="G341" s="103">
        <v>0</v>
      </c>
      <c r="H341" s="105">
        <f t="shared" si="10"/>
        <v>40476106476</v>
      </c>
      <c r="I341" s="103">
        <v>0</v>
      </c>
      <c r="J341" s="109"/>
    </row>
    <row r="342" spans="1:11">
      <c r="A342" s="101" t="s">
        <v>25</v>
      </c>
      <c r="B342" s="88" t="s">
        <v>305</v>
      </c>
      <c r="C342" s="97">
        <v>2017</v>
      </c>
      <c r="D342" s="103">
        <v>9426316098</v>
      </c>
      <c r="E342" s="103">
        <v>14556727092</v>
      </c>
      <c r="F342" s="103">
        <v>18105143020.93</v>
      </c>
      <c r="G342" s="103">
        <v>0</v>
      </c>
      <c r="H342" s="105">
        <f t="shared" si="10"/>
        <v>42088186210.93</v>
      </c>
      <c r="I342" s="103">
        <v>0</v>
      </c>
      <c r="J342" s="109"/>
    </row>
    <row r="343" spans="1:11">
      <c r="A343" s="101" t="s">
        <v>25</v>
      </c>
      <c r="B343" s="88" t="s">
        <v>305</v>
      </c>
      <c r="C343" s="97">
        <v>2018</v>
      </c>
      <c r="D343" s="103">
        <v>9482791750</v>
      </c>
      <c r="E343" s="103">
        <v>16822865202</v>
      </c>
      <c r="F343" s="103">
        <v>20800801687</v>
      </c>
      <c r="G343" s="103">
        <v>0</v>
      </c>
      <c r="H343" s="105">
        <f t="shared" si="10"/>
        <v>47106458639</v>
      </c>
      <c r="I343" s="103">
        <v>0</v>
      </c>
      <c r="J343" s="109"/>
    </row>
    <row r="344" spans="1:11">
      <c r="A344" s="101" t="s">
        <v>25</v>
      </c>
      <c r="B344" s="88" t="s">
        <v>305</v>
      </c>
      <c r="C344" s="97">
        <v>2019</v>
      </c>
      <c r="D344" s="103">
        <v>10294840353</v>
      </c>
      <c r="E344" s="103">
        <v>17671506776</v>
      </c>
      <c r="F344" s="103">
        <v>22416945054.3563</v>
      </c>
      <c r="G344" s="103">
        <v>0</v>
      </c>
      <c r="H344" s="105">
        <f t="shared" si="10"/>
        <v>50383292183.3563</v>
      </c>
      <c r="I344" s="103">
        <v>0</v>
      </c>
      <c r="J344" s="113" t="s">
        <v>685</v>
      </c>
      <c r="K344" s="52" t="s">
        <v>677</v>
      </c>
    </row>
    <row r="345" spans="1:11">
      <c r="A345" s="101" t="s">
        <v>25</v>
      </c>
      <c r="B345" s="88" t="s">
        <v>305</v>
      </c>
      <c r="C345" s="97">
        <v>2020</v>
      </c>
      <c r="D345" s="103">
        <v>10293063086</v>
      </c>
      <c r="E345" s="103">
        <v>17821254549</v>
      </c>
      <c r="F345" s="103">
        <v>23465780320</v>
      </c>
      <c r="G345" s="103">
        <v>0</v>
      </c>
      <c r="H345" s="105">
        <f t="shared" si="10"/>
        <v>51580097955</v>
      </c>
      <c r="I345" s="103">
        <v>0</v>
      </c>
      <c r="J345" s="113" t="s">
        <v>685</v>
      </c>
    </row>
    <row r="346" spans="1:11" ht="84.75" customHeight="1">
      <c r="A346" s="101"/>
      <c r="B346" s="150" t="s">
        <v>686</v>
      </c>
      <c r="C346" s="150"/>
      <c r="D346" s="150"/>
      <c r="E346" s="150"/>
      <c r="F346" s="150"/>
      <c r="G346" s="150"/>
      <c r="H346" s="150"/>
      <c r="I346" s="150"/>
      <c r="J346" s="113"/>
    </row>
    <row r="347" spans="1:11">
      <c r="A347" s="101"/>
      <c r="B347" s="107"/>
      <c r="D347" s="104"/>
      <c r="E347" s="104"/>
      <c r="F347" s="104"/>
      <c r="G347" s="104"/>
      <c r="H347" s="103"/>
      <c r="I347" s="103"/>
      <c r="J347" s="109"/>
    </row>
    <row r="348" spans="1:11">
      <c r="A348" s="101" t="s">
        <v>27</v>
      </c>
      <c r="B348" s="88" t="s">
        <v>374</v>
      </c>
      <c r="C348" s="102">
        <v>1988</v>
      </c>
      <c r="D348" s="104">
        <v>1651853622</v>
      </c>
      <c r="E348" s="104">
        <v>637077492</v>
      </c>
      <c r="F348" s="104">
        <v>1539502266</v>
      </c>
      <c r="G348" s="104">
        <v>590976969</v>
      </c>
      <c r="H348" s="105">
        <f>SUM(D348:G348)</f>
        <v>4419410349</v>
      </c>
      <c r="I348" s="103">
        <v>0</v>
      </c>
      <c r="J348" s="109"/>
    </row>
    <row r="349" spans="1:11">
      <c r="A349" s="101" t="s">
        <v>27</v>
      </c>
      <c r="B349" s="88" t="s">
        <v>374</v>
      </c>
      <c r="C349" s="102">
        <v>1989</v>
      </c>
      <c r="D349" s="104">
        <v>1746241815</v>
      </c>
      <c r="E349" s="104">
        <v>628533462</v>
      </c>
      <c r="F349" s="104">
        <v>1693237863</v>
      </c>
      <c r="G349" s="104">
        <v>596919974</v>
      </c>
      <c r="H349" s="105">
        <f t="shared" ref="H349:H380" si="11">SUM(D349:G349)</f>
        <v>4664933114</v>
      </c>
      <c r="I349" s="103">
        <v>0</v>
      </c>
      <c r="J349" s="109"/>
    </row>
    <row r="350" spans="1:11">
      <c r="A350" s="101" t="s">
        <v>27</v>
      </c>
      <c r="B350" s="88" t="s">
        <v>374</v>
      </c>
      <c r="C350" s="102">
        <v>1990</v>
      </c>
      <c r="D350" s="104">
        <v>2309173087</v>
      </c>
      <c r="E350" s="104">
        <v>760124195.79999995</v>
      </c>
      <c r="F350" s="104">
        <v>1824468127</v>
      </c>
      <c r="G350" s="104">
        <v>551210647</v>
      </c>
      <c r="H350" s="105">
        <f t="shared" si="11"/>
        <v>5444976056.8000002</v>
      </c>
      <c r="I350" s="103">
        <v>0</v>
      </c>
      <c r="J350" s="109"/>
    </row>
    <row r="351" spans="1:11">
      <c r="A351" s="101" t="s">
        <v>27</v>
      </c>
      <c r="B351" s="88" t="s">
        <v>374</v>
      </c>
      <c r="C351" s="102">
        <v>1991</v>
      </c>
      <c r="D351" s="104">
        <v>1841069807</v>
      </c>
      <c r="E351" s="104">
        <v>605465260</v>
      </c>
      <c r="F351" s="104">
        <v>1912591664</v>
      </c>
      <c r="G351" s="104">
        <v>689638415</v>
      </c>
      <c r="H351" s="105">
        <f t="shared" si="11"/>
        <v>5048765146</v>
      </c>
      <c r="I351" s="103">
        <v>0</v>
      </c>
      <c r="J351" s="109"/>
    </row>
    <row r="352" spans="1:11">
      <c r="A352" s="101" t="s">
        <v>27</v>
      </c>
      <c r="B352" s="88" t="s">
        <v>374</v>
      </c>
      <c r="C352" s="102">
        <v>1992</v>
      </c>
      <c r="D352" s="104">
        <v>1970694356</v>
      </c>
      <c r="E352" s="104">
        <v>803565372.88</v>
      </c>
      <c r="F352" s="104">
        <v>2000369427</v>
      </c>
      <c r="G352" s="104">
        <v>526747407</v>
      </c>
      <c r="H352" s="105">
        <f t="shared" si="11"/>
        <v>5301376562.8800001</v>
      </c>
      <c r="I352" s="103">
        <v>0</v>
      </c>
      <c r="J352" s="109"/>
    </row>
    <row r="353" spans="1:10">
      <c r="A353" s="101" t="s">
        <v>27</v>
      </c>
      <c r="B353" s="88" t="s">
        <v>374</v>
      </c>
      <c r="C353" s="102">
        <v>1993</v>
      </c>
      <c r="D353" s="104">
        <v>2098423104</v>
      </c>
      <c r="E353" s="104">
        <v>531702558</v>
      </c>
      <c r="F353" s="104">
        <v>2146166805</v>
      </c>
      <c r="G353" s="104">
        <v>522014082</v>
      </c>
      <c r="H353" s="105">
        <f t="shared" si="11"/>
        <v>5298306549</v>
      </c>
      <c r="I353" s="103">
        <v>0</v>
      </c>
      <c r="J353" s="109"/>
    </row>
    <row r="354" spans="1:10">
      <c r="A354" s="101" t="s">
        <v>27</v>
      </c>
      <c r="B354" s="88" t="s">
        <v>374</v>
      </c>
      <c r="C354" s="102">
        <v>1994</v>
      </c>
      <c r="D354" s="104">
        <v>2282019202</v>
      </c>
      <c r="E354" s="104">
        <v>705403547</v>
      </c>
      <c r="F354" s="104">
        <v>2282243817</v>
      </c>
      <c r="G354" s="104">
        <v>487037622</v>
      </c>
      <c r="H354" s="105">
        <f t="shared" si="11"/>
        <v>5756704188</v>
      </c>
      <c r="I354" s="103">
        <v>0</v>
      </c>
      <c r="J354" s="109"/>
    </row>
    <row r="355" spans="1:10">
      <c r="A355" s="101" t="s">
        <v>27</v>
      </c>
      <c r="B355" s="88" t="s">
        <v>374</v>
      </c>
      <c r="C355" s="102">
        <v>1995</v>
      </c>
      <c r="D355" s="104">
        <v>2567907585</v>
      </c>
      <c r="E355" s="104">
        <v>716891479</v>
      </c>
      <c r="F355" s="104">
        <v>2380262718</v>
      </c>
      <c r="G355" s="104">
        <v>531272701</v>
      </c>
      <c r="H355" s="105">
        <f t="shared" si="11"/>
        <v>6196334483</v>
      </c>
      <c r="I355" s="103">
        <v>0</v>
      </c>
      <c r="J355" s="109"/>
    </row>
    <row r="356" spans="1:10">
      <c r="A356" s="101" t="s">
        <v>27</v>
      </c>
      <c r="B356" s="88" t="s">
        <v>374</v>
      </c>
      <c r="C356" s="102">
        <v>1996</v>
      </c>
      <c r="D356" s="104">
        <v>2369005513</v>
      </c>
      <c r="E356" s="104">
        <v>764306413</v>
      </c>
      <c r="F356" s="104">
        <v>2449589248</v>
      </c>
      <c r="G356" s="104">
        <v>441261624</v>
      </c>
      <c r="H356" s="105">
        <f t="shared" si="11"/>
        <v>6024162798</v>
      </c>
      <c r="I356" s="103">
        <v>0</v>
      </c>
      <c r="J356" s="109"/>
    </row>
    <row r="357" spans="1:10">
      <c r="A357" s="101" t="s">
        <v>27</v>
      </c>
      <c r="B357" s="88" t="s">
        <v>374</v>
      </c>
      <c r="C357" s="102">
        <v>1997</v>
      </c>
      <c r="D357" s="104">
        <v>2428324567</v>
      </c>
      <c r="E357" s="104">
        <v>768673675</v>
      </c>
      <c r="F357" s="104">
        <v>2434033051</v>
      </c>
      <c r="G357" s="104">
        <v>447223192</v>
      </c>
      <c r="H357" s="105">
        <f t="shared" si="11"/>
        <v>6078254485</v>
      </c>
      <c r="I357" s="103">
        <v>0</v>
      </c>
      <c r="J357" s="109"/>
    </row>
    <row r="358" spans="1:10">
      <c r="A358" s="101" t="s">
        <v>27</v>
      </c>
      <c r="B358" s="88" t="s">
        <v>374</v>
      </c>
      <c r="C358" s="102">
        <v>1998</v>
      </c>
      <c r="D358" s="104">
        <v>2622036548</v>
      </c>
      <c r="E358" s="104">
        <v>747830907</v>
      </c>
      <c r="F358" s="104">
        <v>2510294567</v>
      </c>
      <c r="G358" s="104">
        <v>420309326</v>
      </c>
      <c r="H358" s="105">
        <f t="shared" si="11"/>
        <v>6300471348</v>
      </c>
      <c r="I358" s="103">
        <v>0</v>
      </c>
      <c r="J358" s="109"/>
    </row>
    <row r="359" spans="1:10">
      <c r="A359" s="101" t="s">
        <v>27</v>
      </c>
      <c r="B359" s="88" t="s">
        <v>374</v>
      </c>
      <c r="C359" s="102">
        <v>1999</v>
      </c>
      <c r="D359" s="104">
        <v>2768837267</v>
      </c>
      <c r="E359" s="104">
        <v>1144539525</v>
      </c>
      <c r="F359" s="104">
        <v>2687358073</v>
      </c>
      <c r="G359" s="104">
        <v>368226950</v>
      </c>
      <c r="H359" s="105">
        <f t="shared" si="11"/>
        <v>6968961815</v>
      </c>
      <c r="I359" s="103">
        <v>0</v>
      </c>
      <c r="J359" s="109"/>
    </row>
    <row r="360" spans="1:10">
      <c r="A360" s="101" t="s">
        <v>27</v>
      </c>
      <c r="B360" s="88" t="s">
        <v>374</v>
      </c>
      <c r="C360" s="102">
        <v>2000</v>
      </c>
      <c r="D360" s="104">
        <v>2705365144</v>
      </c>
      <c r="E360" s="104">
        <v>1188060986</v>
      </c>
      <c r="F360" s="104">
        <v>2792966214</v>
      </c>
      <c r="G360" s="104">
        <v>441152243</v>
      </c>
      <c r="H360" s="105">
        <f t="shared" si="11"/>
        <v>7127544587</v>
      </c>
      <c r="I360" s="103">
        <v>0</v>
      </c>
      <c r="J360" s="109"/>
    </row>
    <row r="361" spans="1:10">
      <c r="A361" s="101" t="s">
        <v>27</v>
      </c>
      <c r="B361" s="88" t="s">
        <v>374</v>
      </c>
      <c r="C361" s="102">
        <v>2001</v>
      </c>
      <c r="D361" s="104">
        <v>2809156234</v>
      </c>
      <c r="E361" s="104">
        <v>1740072374</v>
      </c>
      <c r="F361" s="104">
        <v>2884712920</v>
      </c>
      <c r="G361" s="104">
        <v>408108249</v>
      </c>
      <c r="H361" s="105">
        <f t="shared" si="11"/>
        <v>7842049777</v>
      </c>
      <c r="I361" s="103">
        <v>0</v>
      </c>
      <c r="J361" s="109"/>
    </row>
    <row r="362" spans="1:10">
      <c r="A362" s="101" t="s">
        <v>27</v>
      </c>
      <c r="B362" s="88" t="s">
        <v>374</v>
      </c>
      <c r="C362" s="102">
        <v>2002</v>
      </c>
      <c r="D362" s="104">
        <v>2920365305</v>
      </c>
      <c r="E362" s="104">
        <v>2492103815</v>
      </c>
      <c r="F362" s="104">
        <v>2847086261</v>
      </c>
      <c r="G362" s="104">
        <v>529180604</v>
      </c>
      <c r="H362" s="105">
        <f t="shared" si="11"/>
        <v>8788735985</v>
      </c>
      <c r="I362" s="103">
        <v>0</v>
      </c>
      <c r="J362" s="109"/>
    </row>
    <row r="363" spans="1:10">
      <c r="A363" s="101" t="s">
        <v>27</v>
      </c>
      <c r="B363" s="88" t="s">
        <v>374</v>
      </c>
      <c r="C363" s="102">
        <v>2003</v>
      </c>
      <c r="D363" s="106">
        <v>3000073998</v>
      </c>
      <c r="E363" s="106">
        <v>2506300505</v>
      </c>
      <c r="F363" s="106">
        <v>2844873479</v>
      </c>
      <c r="G363" s="106">
        <v>669389456</v>
      </c>
      <c r="H363" s="105">
        <f t="shared" si="11"/>
        <v>9020637438</v>
      </c>
      <c r="I363" s="103">
        <v>0</v>
      </c>
      <c r="J363" s="109"/>
    </row>
    <row r="364" spans="1:10">
      <c r="A364" s="101" t="s">
        <v>27</v>
      </c>
      <c r="B364" s="88" t="s">
        <v>374</v>
      </c>
      <c r="C364" s="102">
        <v>2004</v>
      </c>
      <c r="D364" s="106">
        <v>3125411036</v>
      </c>
      <c r="E364" s="106">
        <v>1976527927</v>
      </c>
      <c r="F364" s="106">
        <v>2985047415</v>
      </c>
      <c r="G364" s="106">
        <v>611573059</v>
      </c>
      <c r="H364" s="105">
        <f t="shared" si="11"/>
        <v>8698559437</v>
      </c>
      <c r="I364" s="103">
        <v>0</v>
      </c>
      <c r="J364" s="109"/>
    </row>
    <row r="365" spans="1:10">
      <c r="A365" s="101" t="s">
        <v>27</v>
      </c>
      <c r="B365" s="88" t="s">
        <v>374</v>
      </c>
      <c r="C365" s="102">
        <v>2005</v>
      </c>
      <c r="D365" s="106">
        <v>3263007134</v>
      </c>
      <c r="E365" s="106">
        <v>1960725744</v>
      </c>
      <c r="F365" s="106">
        <v>3209940916.6399899</v>
      </c>
      <c r="G365" s="106">
        <v>644182010</v>
      </c>
      <c r="H365" s="105">
        <f t="shared" si="11"/>
        <v>9077855804.6399899</v>
      </c>
      <c r="I365" s="103">
        <v>0</v>
      </c>
      <c r="J365" s="109"/>
    </row>
    <row r="366" spans="1:10">
      <c r="A366" s="101" t="s">
        <v>27</v>
      </c>
      <c r="B366" s="88" t="s">
        <v>374</v>
      </c>
      <c r="C366" s="102">
        <v>2006</v>
      </c>
      <c r="D366" s="103">
        <v>3505771048</v>
      </c>
      <c r="E366" s="103">
        <v>2099956017</v>
      </c>
      <c r="F366" s="103">
        <v>3741417739</v>
      </c>
      <c r="G366" s="103">
        <v>647129014</v>
      </c>
      <c r="H366" s="105">
        <f t="shared" si="11"/>
        <v>9994273818</v>
      </c>
      <c r="I366" s="103">
        <v>0</v>
      </c>
      <c r="J366" s="109"/>
    </row>
    <row r="367" spans="1:10">
      <c r="A367" s="101" t="s">
        <v>27</v>
      </c>
      <c r="B367" s="88" t="s">
        <v>374</v>
      </c>
      <c r="C367" s="102">
        <v>2007</v>
      </c>
      <c r="D367" s="103">
        <v>3582468504</v>
      </c>
      <c r="E367" s="103">
        <v>2129925976</v>
      </c>
      <c r="F367" s="103">
        <v>4402674249</v>
      </c>
      <c r="G367" s="103">
        <v>614422918</v>
      </c>
      <c r="H367" s="105">
        <f t="shared" si="11"/>
        <v>10729491647</v>
      </c>
      <c r="I367" s="103">
        <v>0</v>
      </c>
      <c r="J367" s="109"/>
    </row>
    <row r="368" spans="1:10">
      <c r="A368" s="101" t="s">
        <v>27</v>
      </c>
      <c r="B368" s="88" t="s">
        <v>374</v>
      </c>
      <c r="C368" s="102">
        <v>2008</v>
      </c>
      <c r="D368" s="103">
        <v>3702644975</v>
      </c>
      <c r="E368" s="103">
        <v>3044225771</v>
      </c>
      <c r="F368" s="103">
        <v>4891949987</v>
      </c>
      <c r="G368" s="103">
        <v>809438239</v>
      </c>
      <c r="H368" s="105">
        <f t="shared" si="11"/>
        <v>12448258972</v>
      </c>
      <c r="I368" s="103">
        <v>0</v>
      </c>
      <c r="J368" s="109"/>
    </row>
    <row r="369" spans="1:11">
      <c r="A369" s="101" t="s">
        <v>27</v>
      </c>
      <c r="B369" s="88" t="s">
        <v>374</v>
      </c>
      <c r="C369" s="102">
        <v>2009</v>
      </c>
      <c r="D369" s="103">
        <v>3820786015</v>
      </c>
      <c r="E369" s="103">
        <v>2985838083</v>
      </c>
      <c r="F369" s="103">
        <v>5335452434</v>
      </c>
      <c r="G369" s="103">
        <v>624736998</v>
      </c>
      <c r="H369" s="105">
        <f t="shared" si="11"/>
        <v>12766813530</v>
      </c>
      <c r="I369" s="103">
        <v>0</v>
      </c>
      <c r="J369" s="109"/>
    </row>
    <row r="370" spans="1:11">
      <c r="A370" s="101" t="s">
        <v>27</v>
      </c>
      <c r="B370" s="88" t="s">
        <v>374</v>
      </c>
      <c r="C370" s="102">
        <v>2010</v>
      </c>
      <c r="D370" s="103">
        <v>3995546886</v>
      </c>
      <c r="E370" s="103">
        <v>2436414758</v>
      </c>
      <c r="F370" s="103">
        <v>6271861186</v>
      </c>
      <c r="G370" s="103">
        <v>708006189</v>
      </c>
      <c r="H370" s="105">
        <f t="shared" si="11"/>
        <v>13411829019</v>
      </c>
      <c r="I370" s="103">
        <v>0</v>
      </c>
      <c r="J370" s="109"/>
    </row>
    <row r="371" spans="1:11">
      <c r="A371" s="101" t="s">
        <v>27</v>
      </c>
      <c r="B371" s="88" t="s">
        <v>374</v>
      </c>
      <c r="C371" s="102">
        <v>2011</v>
      </c>
      <c r="D371" s="103">
        <v>3983128965</v>
      </c>
      <c r="E371" s="103">
        <v>2572352693</v>
      </c>
      <c r="F371" s="103">
        <v>6426640876</v>
      </c>
      <c r="G371" s="103">
        <v>678456498</v>
      </c>
      <c r="H371" s="105">
        <f t="shared" si="11"/>
        <v>13660579032</v>
      </c>
      <c r="I371" s="103">
        <v>0</v>
      </c>
      <c r="J371" s="109"/>
    </row>
    <row r="372" spans="1:11">
      <c r="A372" s="101" t="s">
        <v>27</v>
      </c>
      <c r="B372" s="88" t="s">
        <v>374</v>
      </c>
      <c r="C372" s="102">
        <v>2012</v>
      </c>
      <c r="D372" s="103">
        <v>4320375438</v>
      </c>
      <c r="E372" s="103">
        <v>3347688205</v>
      </c>
      <c r="F372" s="103">
        <v>5308193551</v>
      </c>
      <c r="G372" s="103">
        <v>619779629</v>
      </c>
      <c r="H372" s="105">
        <f t="shared" si="11"/>
        <v>13596036823</v>
      </c>
      <c r="I372" s="103">
        <v>0</v>
      </c>
      <c r="J372" s="109"/>
    </row>
    <row r="373" spans="1:11">
      <c r="A373" s="101" t="s">
        <v>27</v>
      </c>
      <c r="B373" s="88" t="s">
        <v>374</v>
      </c>
      <c r="C373" s="102">
        <v>2013</v>
      </c>
      <c r="D373" s="103">
        <v>4338355798</v>
      </c>
      <c r="E373" s="103">
        <v>2565193385</v>
      </c>
      <c r="F373" s="103">
        <v>4630988577</v>
      </c>
      <c r="G373" s="103">
        <v>843683795</v>
      </c>
      <c r="H373" s="105">
        <f t="shared" si="11"/>
        <v>12378221555</v>
      </c>
      <c r="I373" s="103">
        <v>0</v>
      </c>
      <c r="J373" s="109"/>
    </row>
    <row r="374" spans="1:11">
      <c r="A374" s="101" t="s">
        <v>27</v>
      </c>
      <c r="B374" s="88" t="s">
        <v>374</v>
      </c>
      <c r="C374" s="97">
        <v>2014</v>
      </c>
      <c r="D374" s="103">
        <v>4254780749</v>
      </c>
      <c r="E374" s="103">
        <v>3198786000</v>
      </c>
      <c r="F374" s="103">
        <v>4872373920.0900002</v>
      </c>
      <c r="G374" s="103">
        <v>732966381</v>
      </c>
      <c r="H374" s="105">
        <f t="shared" si="11"/>
        <v>13058907050.09</v>
      </c>
      <c r="I374" s="103">
        <v>0</v>
      </c>
      <c r="J374" s="109"/>
    </row>
    <row r="375" spans="1:11">
      <c r="A375" s="101" t="s">
        <v>27</v>
      </c>
      <c r="B375" s="88" t="s">
        <v>374</v>
      </c>
      <c r="C375" s="97">
        <v>2015</v>
      </c>
      <c r="D375" s="103">
        <v>4599717888</v>
      </c>
      <c r="E375" s="103">
        <v>3626597863</v>
      </c>
      <c r="F375" s="103">
        <v>5000813660</v>
      </c>
      <c r="G375" s="103">
        <v>721901987</v>
      </c>
      <c r="H375" s="105">
        <f t="shared" si="11"/>
        <v>13949031398</v>
      </c>
      <c r="I375" s="103">
        <v>0</v>
      </c>
      <c r="J375" s="109"/>
    </row>
    <row r="376" spans="1:11">
      <c r="A376" s="101" t="s">
        <v>27</v>
      </c>
      <c r="B376" s="88" t="s">
        <v>374</v>
      </c>
      <c r="C376" s="97">
        <v>2016</v>
      </c>
      <c r="D376" s="103">
        <v>4700024884</v>
      </c>
      <c r="E376" s="103">
        <v>4302951403</v>
      </c>
      <c r="F376" s="103">
        <v>5313730741</v>
      </c>
      <c r="G376" s="103">
        <v>670809579</v>
      </c>
      <c r="H376" s="105">
        <f t="shared" si="11"/>
        <v>14987516607</v>
      </c>
      <c r="I376" s="103">
        <v>0</v>
      </c>
      <c r="J376" s="109"/>
    </row>
    <row r="377" spans="1:11">
      <c r="A377" s="101" t="s">
        <v>27</v>
      </c>
      <c r="B377" s="88" t="s">
        <v>374</v>
      </c>
      <c r="C377" s="97">
        <v>2017</v>
      </c>
      <c r="D377" s="103">
        <v>4956195887</v>
      </c>
      <c r="E377" s="103">
        <v>4256103473</v>
      </c>
      <c r="F377" s="103">
        <v>5362162347.8099995</v>
      </c>
      <c r="G377" s="103">
        <v>576491438</v>
      </c>
      <c r="H377" s="105">
        <f t="shared" si="11"/>
        <v>15150953145.809999</v>
      </c>
      <c r="I377" s="103">
        <v>0</v>
      </c>
      <c r="J377" s="109"/>
    </row>
    <row r="378" spans="1:11">
      <c r="A378" s="101" t="s">
        <v>27</v>
      </c>
      <c r="B378" s="88" t="s">
        <v>374</v>
      </c>
      <c r="C378" s="97">
        <v>2018</v>
      </c>
      <c r="D378" s="103">
        <v>5003339940</v>
      </c>
      <c r="E378" s="103">
        <v>5252832446</v>
      </c>
      <c r="F378" s="103">
        <v>5658166599.3999996</v>
      </c>
      <c r="G378" s="103">
        <v>882158247</v>
      </c>
      <c r="H378" s="105">
        <f t="shared" si="11"/>
        <v>16796497232.4</v>
      </c>
      <c r="I378" s="103">
        <v>0</v>
      </c>
      <c r="J378" s="109"/>
    </row>
    <row r="379" spans="1:11">
      <c r="A379" s="101" t="s">
        <v>27</v>
      </c>
      <c r="B379" s="88" t="s">
        <v>374</v>
      </c>
      <c r="C379" s="97">
        <v>2019</v>
      </c>
      <c r="D379" s="103">
        <v>5010563561</v>
      </c>
      <c r="E379" s="103">
        <v>5442622323</v>
      </c>
      <c r="F379" s="103">
        <v>5853509283.3761005</v>
      </c>
      <c r="G379" s="103">
        <v>671459968</v>
      </c>
      <c r="H379" s="105">
        <f t="shared" si="11"/>
        <v>16978155135.376101</v>
      </c>
      <c r="I379" s="103">
        <v>0</v>
      </c>
      <c r="J379" s="109"/>
    </row>
    <row r="380" spans="1:11">
      <c r="A380" s="101" t="s">
        <v>27</v>
      </c>
      <c r="B380" s="88" t="s">
        <v>374</v>
      </c>
      <c r="C380" s="97">
        <v>2020</v>
      </c>
      <c r="D380" s="103">
        <v>5371228096</v>
      </c>
      <c r="E380" s="103">
        <v>5202453560</v>
      </c>
      <c r="F380" s="103">
        <v>13116483733</v>
      </c>
      <c r="G380" s="103">
        <v>637300402</v>
      </c>
      <c r="H380" s="105">
        <f t="shared" si="11"/>
        <v>24327465791</v>
      </c>
      <c r="I380" s="103">
        <v>0</v>
      </c>
      <c r="J380" s="109" t="s">
        <v>687</v>
      </c>
      <c r="K380" s="52" t="s">
        <v>677</v>
      </c>
    </row>
    <row r="381" spans="1:11">
      <c r="A381" s="101"/>
      <c r="B381" s="107"/>
      <c r="D381" s="104"/>
      <c r="E381" s="104"/>
      <c r="F381" s="104"/>
      <c r="G381" s="104"/>
      <c r="H381" s="103"/>
      <c r="I381" s="103"/>
      <c r="J381" s="109"/>
    </row>
    <row r="382" spans="1:11">
      <c r="A382" s="101" t="s">
        <v>29</v>
      </c>
      <c r="B382" s="88" t="s">
        <v>467</v>
      </c>
      <c r="C382" s="102">
        <v>1988</v>
      </c>
      <c r="D382" s="104">
        <v>292686064</v>
      </c>
      <c r="E382" s="104">
        <v>222200416</v>
      </c>
      <c r="F382" s="104">
        <v>119228811</v>
      </c>
      <c r="G382" s="104">
        <v>0</v>
      </c>
      <c r="H382" s="105">
        <f>SUM(D382:G382)</f>
        <v>634115291</v>
      </c>
      <c r="I382" s="103">
        <v>0</v>
      </c>
      <c r="J382" s="109"/>
    </row>
    <row r="383" spans="1:11">
      <c r="A383" s="101" t="s">
        <v>29</v>
      </c>
      <c r="B383" s="88" t="s">
        <v>467</v>
      </c>
      <c r="C383" s="102">
        <v>1989</v>
      </c>
      <c r="D383" s="104">
        <v>271467846</v>
      </c>
      <c r="E383" s="104">
        <v>293377869</v>
      </c>
      <c r="F383" s="104">
        <v>125767114</v>
      </c>
      <c r="G383" s="104">
        <v>0</v>
      </c>
      <c r="H383" s="105">
        <f t="shared" ref="H383:H414" si="12">SUM(D383:G383)</f>
        <v>690612829</v>
      </c>
      <c r="I383" s="103">
        <v>0</v>
      </c>
      <c r="J383" s="109"/>
    </row>
    <row r="384" spans="1:11">
      <c r="A384" s="101" t="s">
        <v>29</v>
      </c>
      <c r="B384" s="88" t="s">
        <v>467</v>
      </c>
      <c r="C384" s="102">
        <v>1990</v>
      </c>
      <c r="D384" s="104">
        <v>307921019</v>
      </c>
      <c r="E384" s="104">
        <v>385024537.83999997</v>
      </c>
      <c r="F384" s="104">
        <v>130123595</v>
      </c>
      <c r="G384" s="104">
        <v>0</v>
      </c>
      <c r="H384" s="105">
        <f t="shared" si="12"/>
        <v>823069151.83999991</v>
      </c>
      <c r="I384" s="103">
        <v>0</v>
      </c>
      <c r="J384" s="109"/>
    </row>
    <row r="385" spans="1:10">
      <c r="A385" s="101" t="s">
        <v>29</v>
      </c>
      <c r="B385" s="88" t="s">
        <v>467</v>
      </c>
      <c r="C385" s="102">
        <v>1991</v>
      </c>
      <c r="D385" s="104">
        <v>339685365</v>
      </c>
      <c r="E385" s="104">
        <v>291514770</v>
      </c>
      <c r="F385" s="104">
        <v>138284159</v>
      </c>
      <c r="G385" s="104">
        <v>0</v>
      </c>
      <c r="H385" s="105">
        <f t="shared" si="12"/>
        <v>769484294</v>
      </c>
      <c r="I385" s="103">
        <v>0</v>
      </c>
      <c r="J385" s="109"/>
    </row>
    <row r="386" spans="1:10">
      <c r="A386" s="101" t="s">
        <v>29</v>
      </c>
      <c r="B386" s="88" t="s">
        <v>467</v>
      </c>
      <c r="C386" s="102">
        <v>1992</v>
      </c>
      <c r="D386" s="104">
        <v>350257420</v>
      </c>
      <c r="E386" s="104">
        <v>308282151.60000002</v>
      </c>
      <c r="F386" s="104">
        <v>148633372</v>
      </c>
      <c r="G386" s="104">
        <v>0</v>
      </c>
      <c r="H386" s="105">
        <f t="shared" si="12"/>
        <v>807172943.60000002</v>
      </c>
      <c r="I386" s="103">
        <v>0</v>
      </c>
      <c r="J386" s="109"/>
    </row>
    <row r="387" spans="1:10">
      <c r="A387" s="101" t="s">
        <v>29</v>
      </c>
      <c r="B387" s="88" t="s">
        <v>467</v>
      </c>
      <c r="C387" s="102">
        <v>1993</v>
      </c>
      <c r="D387" s="104">
        <v>352932662</v>
      </c>
      <c r="E387" s="104">
        <v>256075180</v>
      </c>
      <c r="F387" s="104">
        <v>153389324</v>
      </c>
      <c r="G387" s="104">
        <v>0</v>
      </c>
      <c r="H387" s="105">
        <f t="shared" si="12"/>
        <v>762397166</v>
      </c>
      <c r="I387" s="103">
        <v>0</v>
      </c>
      <c r="J387" s="109"/>
    </row>
    <row r="388" spans="1:10">
      <c r="A388" s="101" t="s">
        <v>29</v>
      </c>
      <c r="B388" s="88" t="s">
        <v>467</v>
      </c>
      <c r="C388" s="102">
        <v>1994</v>
      </c>
      <c r="D388" s="104">
        <v>376354138</v>
      </c>
      <c r="E388" s="104">
        <v>387647554</v>
      </c>
      <c r="F388" s="104">
        <v>157065300</v>
      </c>
      <c r="G388" s="104">
        <v>0</v>
      </c>
      <c r="H388" s="105">
        <f t="shared" si="12"/>
        <v>921066992</v>
      </c>
      <c r="I388" s="103">
        <v>0</v>
      </c>
      <c r="J388" s="109"/>
    </row>
    <row r="389" spans="1:10">
      <c r="A389" s="101" t="s">
        <v>29</v>
      </c>
      <c r="B389" s="88" t="s">
        <v>467</v>
      </c>
      <c r="C389" s="102">
        <v>1995</v>
      </c>
      <c r="D389" s="104">
        <v>459545008</v>
      </c>
      <c r="E389" s="104">
        <v>384824639</v>
      </c>
      <c r="F389" s="104">
        <v>158199562</v>
      </c>
      <c r="G389" s="104">
        <v>0</v>
      </c>
      <c r="H389" s="105">
        <f t="shared" si="12"/>
        <v>1002569209</v>
      </c>
      <c r="I389" s="103">
        <v>0</v>
      </c>
      <c r="J389" s="109"/>
    </row>
    <row r="390" spans="1:10">
      <c r="A390" s="101" t="s">
        <v>29</v>
      </c>
      <c r="B390" s="88" t="s">
        <v>467</v>
      </c>
      <c r="C390" s="102">
        <v>1996</v>
      </c>
      <c r="D390" s="104">
        <v>413233413</v>
      </c>
      <c r="E390" s="104">
        <v>489260313</v>
      </c>
      <c r="F390" s="104">
        <v>175717710</v>
      </c>
      <c r="G390" s="104">
        <v>0</v>
      </c>
      <c r="H390" s="105">
        <f t="shared" si="12"/>
        <v>1078211436</v>
      </c>
      <c r="I390" s="103">
        <v>0</v>
      </c>
      <c r="J390" s="109"/>
    </row>
    <row r="391" spans="1:10">
      <c r="A391" s="101" t="s">
        <v>29</v>
      </c>
      <c r="B391" s="88" t="s">
        <v>467</v>
      </c>
      <c r="C391" s="102">
        <v>1997</v>
      </c>
      <c r="D391" s="104">
        <v>446611937</v>
      </c>
      <c r="E391" s="104">
        <v>357280503</v>
      </c>
      <c r="F391" s="104">
        <v>175447406</v>
      </c>
      <c r="G391" s="104">
        <v>0</v>
      </c>
      <c r="H391" s="105">
        <f t="shared" si="12"/>
        <v>979339846</v>
      </c>
      <c r="I391" s="103">
        <v>0</v>
      </c>
      <c r="J391" s="109"/>
    </row>
    <row r="392" spans="1:10">
      <c r="A392" s="101" t="s">
        <v>29</v>
      </c>
      <c r="B392" s="88" t="s">
        <v>467</v>
      </c>
      <c r="C392" s="102">
        <v>1998</v>
      </c>
      <c r="D392" s="104">
        <v>413901881</v>
      </c>
      <c r="E392" s="104">
        <v>413338303</v>
      </c>
      <c r="F392" s="104">
        <v>170690538</v>
      </c>
      <c r="G392" s="104">
        <v>0</v>
      </c>
      <c r="H392" s="105">
        <f t="shared" si="12"/>
        <v>997930722</v>
      </c>
      <c r="I392" s="103">
        <v>0</v>
      </c>
      <c r="J392" s="109"/>
    </row>
    <row r="393" spans="1:10">
      <c r="A393" s="101" t="s">
        <v>29</v>
      </c>
      <c r="B393" s="88" t="s">
        <v>467</v>
      </c>
      <c r="C393" s="102">
        <v>1999</v>
      </c>
      <c r="D393" s="104">
        <v>437280519</v>
      </c>
      <c r="E393" s="104">
        <v>438396889</v>
      </c>
      <c r="F393" s="104">
        <v>182601407</v>
      </c>
      <c r="G393" s="104">
        <v>0</v>
      </c>
      <c r="H393" s="105">
        <f t="shared" si="12"/>
        <v>1058278815</v>
      </c>
      <c r="I393" s="103">
        <v>0</v>
      </c>
      <c r="J393" s="109"/>
    </row>
    <row r="394" spans="1:10">
      <c r="A394" s="101" t="s">
        <v>29</v>
      </c>
      <c r="B394" s="88" t="s">
        <v>467</v>
      </c>
      <c r="C394" s="102">
        <v>2000</v>
      </c>
      <c r="D394" s="104">
        <v>514076764</v>
      </c>
      <c r="E394" s="104">
        <v>567135516</v>
      </c>
      <c r="F394" s="104">
        <v>201211269</v>
      </c>
      <c r="G394" s="104">
        <v>0</v>
      </c>
      <c r="H394" s="105">
        <f t="shared" si="12"/>
        <v>1282423549</v>
      </c>
      <c r="I394" s="103">
        <v>0</v>
      </c>
      <c r="J394" s="109"/>
    </row>
    <row r="395" spans="1:10">
      <c r="A395" s="101" t="s">
        <v>29</v>
      </c>
      <c r="B395" s="88" t="s">
        <v>467</v>
      </c>
      <c r="C395" s="102">
        <v>2001</v>
      </c>
      <c r="D395" s="104">
        <v>393712531</v>
      </c>
      <c r="E395" s="104">
        <v>624528133</v>
      </c>
      <c r="F395" s="104">
        <v>208532835</v>
      </c>
      <c r="G395" s="104">
        <v>0</v>
      </c>
      <c r="H395" s="105">
        <f t="shared" si="12"/>
        <v>1226773499</v>
      </c>
      <c r="I395" s="103">
        <v>0</v>
      </c>
      <c r="J395" s="109"/>
    </row>
    <row r="396" spans="1:10">
      <c r="A396" s="101" t="s">
        <v>29</v>
      </c>
      <c r="B396" s="88" t="s">
        <v>467</v>
      </c>
      <c r="C396" s="102">
        <v>2002</v>
      </c>
      <c r="D396" s="104">
        <v>474929610</v>
      </c>
      <c r="E396" s="104">
        <v>829282949</v>
      </c>
      <c r="F396" s="104">
        <v>224955478</v>
      </c>
      <c r="G396" s="104">
        <v>0</v>
      </c>
      <c r="H396" s="105">
        <f t="shared" si="12"/>
        <v>1529168037</v>
      </c>
      <c r="I396" s="103">
        <v>0</v>
      </c>
      <c r="J396" s="109"/>
    </row>
    <row r="397" spans="1:10">
      <c r="A397" s="101" t="s">
        <v>29</v>
      </c>
      <c r="B397" s="88" t="s">
        <v>467</v>
      </c>
      <c r="C397" s="102">
        <v>2003</v>
      </c>
      <c r="D397" s="106">
        <v>521909669</v>
      </c>
      <c r="E397" s="106">
        <v>797316118</v>
      </c>
      <c r="F397" s="106">
        <v>234767150</v>
      </c>
      <c r="G397" s="104">
        <v>0</v>
      </c>
      <c r="H397" s="105">
        <f t="shared" si="12"/>
        <v>1553992937</v>
      </c>
      <c r="I397" s="103">
        <v>0</v>
      </c>
      <c r="J397" s="109"/>
    </row>
    <row r="398" spans="1:10">
      <c r="A398" s="101" t="s">
        <v>29</v>
      </c>
      <c r="B398" s="88" t="s">
        <v>467</v>
      </c>
      <c r="C398" s="102">
        <v>2004</v>
      </c>
      <c r="D398" s="106">
        <v>469416393</v>
      </c>
      <c r="E398" s="106">
        <v>704378484</v>
      </c>
      <c r="F398" s="106">
        <v>250783994</v>
      </c>
      <c r="G398" s="104">
        <v>0</v>
      </c>
      <c r="H398" s="105">
        <f t="shared" si="12"/>
        <v>1424578871</v>
      </c>
      <c r="I398" s="103">
        <v>0</v>
      </c>
      <c r="J398" s="109"/>
    </row>
    <row r="399" spans="1:10">
      <c r="A399" s="101" t="s">
        <v>29</v>
      </c>
      <c r="B399" s="88" t="s">
        <v>467</v>
      </c>
      <c r="C399" s="102">
        <v>2005</v>
      </c>
      <c r="D399" s="106">
        <v>497219236</v>
      </c>
      <c r="E399" s="106">
        <v>692529159</v>
      </c>
      <c r="F399" s="106">
        <v>265357425.329999</v>
      </c>
      <c r="G399" s="104">
        <v>0</v>
      </c>
      <c r="H399" s="105">
        <f t="shared" si="12"/>
        <v>1455105820.329999</v>
      </c>
      <c r="I399" s="103">
        <v>0</v>
      </c>
      <c r="J399" s="109"/>
    </row>
    <row r="400" spans="1:10">
      <c r="A400" s="101" t="s">
        <v>29</v>
      </c>
      <c r="B400" s="88" t="s">
        <v>467</v>
      </c>
      <c r="C400" s="102">
        <v>2006</v>
      </c>
      <c r="D400" s="103">
        <v>510463157</v>
      </c>
      <c r="E400" s="103">
        <v>838750531</v>
      </c>
      <c r="F400" s="103">
        <v>338469824</v>
      </c>
      <c r="G400" s="103">
        <v>0</v>
      </c>
      <c r="H400" s="105">
        <f t="shared" si="12"/>
        <v>1687683512</v>
      </c>
      <c r="I400" s="103">
        <v>0</v>
      </c>
      <c r="J400" s="109"/>
    </row>
    <row r="401" spans="1:10">
      <c r="A401" s="101" t="s">
        <v>29</v>
      </c>
      <c r="B401" s="88" t="s">
        <v>467</v>
      </c>
      <c r="C401" s="102">
        <v>2007</v>
      </c>
      <c r="D401" s="103">
        <v>505107454</v>
      </c>
      <c r="E401" s="103">
        <v>842533842</v>
      </c>
      <c r="F401" s="103">
        <v>402081140</v>
      </c>
      <c r="G401" s="103">
        <v>0</v>
      </c>
      <c r="H401" s="105">
        <f t="shared" si="12"/>
        <v>1749722436</v>
      </c>
      <c r="I401" s="103">
        <v>0</v>
      </c>
      <c r="J401" s="109"/>
    </row>
    <row r="402" spans="1:10">
      <c r="A402" s="101" t="s">
        <v>29</v>
      </c>
      <c r="B402" s="88" t="s">
        <v>467</v>
      </c>
      <c r="C402" s="102">
        <v>2008</v>
      </c>
      <c r="D402" s="103">
        <v>604155199</v>
      </c>
      <c r="E402" s="103">
        <v>1098537973</v>
      </c>
      <c r="F402" s="103">
        <v>454006775</v>
      </c>
      <c r="G402" s="103">
        <v>0</v>
      </c>
      <c r="H402" s="105">
        <f t="shared" si="12"/>
        <v>2156699947</v>
      </c>
      <c r="I402" s="103">
        <v>0</v>
      </c>
      <c r="J402" s="109"/>
    </row>
    <row r="403" spans="1:10">
      <c r="A403" s="101" t="s">
        <v>29</v>
      </c>
      <c r="B403" s="88" t="s">
        <v>467</v>
      </c>
      <c r="C403" s="102">
        <v>2009</v>
      </c>
      <c r="D403" s="103">
        <v>612444475</v>
      </c>
      <c r="E403" s="103">
        <v>980409275</v>
      </c>
      <c r="F403" s="103">
        <v>977121609</v>
      </c>
      <c r="G403" s="103">
        <v>0</v>
      </c>
      <c r="H403" s="105">
        <f t="shared" si="12"/>
        <v>2569975359</v>
      </c>
      <c r="I403" s="103">
        <v>0</v>
      </c>
      <c r="J403" s="109"/>
    </row>
    <row r="404" spans="1:10">
      <c r="A404" s="101" t="s">
        <v>29</v>
      </c>
      <c r="B404" s="88" t="s">
        <v>467</v>
      </c>
      <c r="C404" s="102">
        <v>2010</v>
      </c>
      <c r="D404" s="103">
        <v>633237335</v>
      </c>
      <c r="E404" s="103">
        <v>810659609</v>
      </c>
      <c r="F404" s="103">
        <v>1186022784</v>
      </c>
      <c r="G404" s="103">
        <v>0</v>
      </c>
      <c r="H404" s="105">
        <f t="shared" si="12"/>
        <v>2629919728</v>
      </c>
      <c r="I404" s="103">
        <v>0</v>
      </c>
      <c r="J404" s="109"/>
    </row>
    <row r="405" spans="1:10">
      <c r="A405" s="101" t="s">
        <v>29</v>
      </c>
      <c r="B405" s="88" t="s">
        <v>467</v>
      </c>
      <c r="C405" s="102">
        <v>2011</v>
      </c>
      <c r="D405" s="103">
        <v>643574500</v>
      </c>
      <c r="E405" s="103">
        <v>883326217</v>
      </c>
      <c r="F405" s="103">
        <v>866175548.40999997</v>
      </c>
      <c r="G405" s="103">
        <v>0</v>
      </c>
      <c r="H405" s="105">
        <f t="shared" si="12"/>
        <v>2393076265.4099998</v>
      </c>
      <c r="I405" s="103">
        <v>0</v>
      </c>
      <c r="J405" s="109"/>
    </row>
    <row r="406" spans="1:10">
      <c r="A406" s="101" t="s">
        <v>29</v>
      </c>
      <c r="B406" s="88" t="s">
        <v>467</v>
      </c>
      <c r="C406" s="102">
        <v>2012</v>
      </c>
      <c r="D406" s="103">
        <v>673101632</v>
      </c>
      <c r="E406" s="103">
        <v>873677574</v>
      </c>
      <c r="F406" s="103">
        <v>1132254241</v>
      </c>
      <c r="G406" s="103">
        <v>0</v>
      </c>
      <c r="H406" s="105">
        <f t="shared" si="12"/>
        <v>2679033447</v>
      </c>
      <c r="I406" s="103">
        <v>0</v>
      </c>
      <c r="J406" s="109"/>
    </row>
    <row r="407" spans="1:10">
      <c r="A407" s="101" t="s">
        <v>29</v>
      </c>
      <c r="B407" s="88" t="s">
        <v>467</v>
      </c>
      <c r="C407" s="102">
        <v>2013</v>
      </c>
      <c r="D407" s="103">
        <v>764845153</v>
      </c>
      <c r="E407" s="103">
        <v>867994635</v>
      </c>
      <c r="F407" s="103">
        <v>356693857</v>
      </c>
      <c r="G407" s="103">
        <v>0</v>
      </c>
      <c r="H407" s="105">
        <f t="shared" si="12"/>
        <v>1989533645</v>
      </c>
      <c r="I407" s="103">
        <v>0</v>
      </c>
      <c r="J407" s="109"/>
    </row>
    <row r="408" spans="1:10">
      <c r="A408" s="101" t="s">
        <v>29</v>
      </c>
      <c r="B408" s="88" t="s">
        <v>467</v>
      </c>
      <c r="C408" s="97">
        <v>2014</v>
      </c>
      <c r="D408" s="103">
        <v>710122339</v>
      </c>
      <c r="E408" s="103">
        <v>879583941</v>
      </c>
      <c r="F408" s="103">
        <v>761524166</v>
      </c>
      <c r="G408" s="103">
        <v>0</v>
      </c>
      <c r="H408" s="105">
        <f t="shared" si="12"/>
        <v>2351230446</v>
      </c>
      <c r="I408" s="103">
        <v>0</v>
      </c>
      <c r="J408" s="109"/>
    </row>
    <row r="409" spans="1:10">
      <c r="A409" s="101" t="s">
        <v>29</v>
      </c>
      <c r="B409" s="88" t="s">
        <v>467</v>
      </c>
      <c r="C409" s="97">
        <v>2015</v>
      </c>
      <c r="D409" s="103">
        <v>738433143</v>
      </c>
      <c r="E409" s="103">
        <v>932362585</v>
      </c>
      <c r="F409" s="103">
        <v>796656759</v>
      </c>
      <c r="G409" s="103">
        <v>0</v>
      </c>
      <c r="H409" s="105">
        <f t="shared" si="12"/>
        <v>2467452487</v>
      </c>
      <c r="I409" s="103">
        <v>0</v>
      </c>
      <c r="J409" s="109"/>
    </row>
    <row r="410" spans="1:10">
      <c r="A410" s="101" t="s">
        <v>29</v>
      </c>
      <c r="B410" s="88" t="s">
        <v>467</v>
      </c>
      <c r="C410" s="97">
        <v>2016</v>
      </c>
      <c r="D410" s="103">
        <v>758544807</v>
      </c>
      <c r="E410" s="103">
        <v>1004709940</v>
      </c>
      <c r="F410" s="103">
        <v>1302400685</v>
      </c>
      <c r="G410" s="103">
        <v>0</v>
      </c>
      <c r="H410" s="105">
        <f t="shared" si="12"/>
        <v>3065655432</v>
      </c>
      <c r="I410" s="103">
        <v>0</v>
      </c>
      <c r="J410" s="109"/>
    </row>
    <row r="411" spans="1:10">
      <c r="A411" s="101" t="s">
        <v>29</v>
      </c>
      <c r="B411" s="88" t="s">
        <v>467</v>
      </c>
      <c r="C411" s="97">
        <v>2017</v>
      </c>
      <c r="D411" s="103">
        <v>813993595</v>
      </c>
      <c r="E411" s="103">
        <v>1149395029</v>
      </c>
      <c r="F411" s="103">
        <v>1386860854.3800001</v>
      </c>
      <c r="G411" s="103">
        <v>0</v>
      </c>
      <c r="H411" s="105">
        <f t="shared" si="12"/>
        <v>3350249478.3800001</v>
      </c>
      <c r="I411" s="103">
        <v>0</v>
      </c>
      <c r="J411" s="109"/>
    </row>
    <row r="412" spans="1:10">
      <c r="A412" s="101" t="s">
        <v>29</v>
      </c>
      <c r="B412" s="88" t="s">
        <v>467</v>
      </c>
      <c r="C412" s="97">
        <v>2018</v>
      </c>
      <c r="D412" s="103">
        <v>877504905</v>
      </c>
      <c r="E412" s="103">
        <v>1290908774</v>
      </c>
      <c r="F412" s="103">
        <v>1332447860</v>
      </c>
      <c r="G412" s="103">
        <v>0</v>
      </c>
      <c r="H412" s="105">
        <f t="shared" si="12"/>
        <v>3500861539</v>
      </c>
      <c r="I412" s="103">
        <v>0</v>
      </c>
      <c r="J412" s="109"/>
    </row>
    <row r="413" spans="1:10">
      <c r="A413" s="101" t="s">
        <v>29</v>
      </c>
      <c r="B413" s="88" t="s">
        <v>467</v>
      </c>
      <c r="C413" s="97">
        <v>2019</v>
      </c>
      <c r="D413" s="103">
        <v>888542571</v>
      </c>
      <c r="E413" s="103">
        <v>1269025088</v>
      </c>
      <c r="F413" s="103">
        <v>1271344345</v>
      </c>
      <c r="G413" s="103">
        <v>0</v>
      </c>
      <c r="H413" s="105">
        <f t="shared" si="12"/>
        <v>3428912004</v>
      </c>
      <c r="I413" s="103">
        <v>0</v>
      </c>
      <c r="J413" s="109"/>
    </row>
    <row r="414" spans="1:10">
      <c r="A414" s="101" t="s">
        <v>29</v>
      </c>
      <c r="B414" s="88" t="s">
        <v>467</v>
      </c>
      <c r="C414" s="97">
        <v>2020</v>
      </c>
      <c r="D414" s="103">
        <v>871404521</v>
      </c>
      <c r="E414" s="103">
        <v>1132153896</v>
      </c>
      <c r="F414" s="103">
        <v>1375259869</v>
      </c>
      <c r="G414" s="103">
        <v>0</v>
      </c>
      <c r="H414" s="105">
        <f t="shared" si="12"/>
        <v>3378818286</v>
      </c>
      <c r="I414" s="103">
        <v>0</v>
      </c>
      <c r="J414" s="109"/>
    </row>
    <row r="415" spans="1:10">
      <c r="A415" s="101"/>
      <c r="B415" s="107"/>
      <c r="D415" s="104"/>
      <c r="E415" s="104"/>
      <c r="F415" s="104"/>
      <c r="G415" s="104"/>
      <c r="H415" s="103"/>
      <c r="I415" s="103"/>
      <c r="J415" s="109"/>
    </row>
    <row r="416" spans="1:10">
      <c r="A416" s="101" t="s">
        <v>30</v>
      </c>
      <c r="B416" s="88" t="s">
        <v>579</v>
      </c>
      <c r="C416" s="102">
        <v>1988</v>
      </c>
      <c r="D416" s="104">
        <v>209218365</v>
      </c>
      <c r="E416" s="104">
        <v>202403417</v>
      </c>
      <c r="F416" s="104">
        <v>127835580</v>
      </c>
      <c r="G416" s="104">
        <v>0</v>
      </c>
      <c r="H416" s="105">
        <f>SUM(D416:G416)</f>
        <v>539457362</v>
      </c>
      <c r="I416" s="103">
        <v>0</v>
      </c>
      <c r="J416" s="109"/>
    </row>
    <row r="417" spans="1:10">
      <c r="A417" s="101" t="s">
        <v>30</v>
      </c>
      <c r="B417" s="88" t="s">
        <v>579</v>
      </c>
      <c r="C417" s="102">
        <v>1989</v>
      </c>
      <c r="D417" s="104">
        <v>188151307</v>
      </c>
      <c r="E417" s="104">
        <v>202928400</v>
      </c>
      <c r="F417" s="104">
        <v>131191153</v>
      </c>
      <c r="G417" s="104">
        <v>0</v>
      </c>
      <c r="H417" s="105">
        <f t="shared" ref="H417:H448" si="13">SUM(D417:G417)</f>
        <v>522270860</v>
      </c>
      <c r="I417" s="103">
        <v>0</v>
      </c>
      <c r="J417" s="109"/>
    </row>
    <row r="418" spans="1:10">
      <c r="A418" s="101" t="s">
        <v>30</v>
      </c>
      <c r="B418" s="88" t="s">
        <v>579</v>
      </c>
      <c r="C418" s="102">
        <v>1990</v>
      </c>
      <c r="D418" s="104">
        <v>231237401</v>
      </c>
      <c r="E418" s="104">
        <v>209817898.59999999</v>
      </c>
      <c r="F418" s="104">
        <v>132075566</v>
      </c>
      <c r="G418" s="104">
        <v>0</v>
      </c>
      <c r="H418" s="105">
        <f t="shared" si="13"/>
        <v>573130865.60000002</v>
      </c>
      <c r="I418" s="103">
        <v>0</v>
      </c>
      <c r="J418" s="109"/>
    </row>
    <row r="419" spans="1:10">
      <c r="A419" s="101" t="s">
        <v>30</v>
      </c>
      <c r="B419" s="88" t="s">
        <v>579</v>
      </c>
      <c r="C419" s="102">
        <v>1991</v>
      </c>
      <c r="D419" s="104">
        <v>227915285</v>
      </c>
      <c r="E419" s="104">
        <v>215609153</v>
      </c>
      <c r="F419" s="104">
        <v>134230766</v>
      </c>
      <c r="G419" s="104">
        <v>0</v>
      </c>
      <c r="H419" s="105">
        <f t="shared" si="13"/>
        <v>577755204</v>
      </c>
      <c r="I419" s="103">
        <v>0</v>
      </c>
      <c r="J419" s="109"/>
    </row>
    <row r="420" spans="1:10">
      <c r="A420" s="101" t="s">
        <v>30</v>
      </c>
      <c r="B420" s="88" t="s">
        <v>579</v>
      </c>
      <c r="C420" s="102">
        <v>1992</v>
      </c>
      <c r="D420" s="104">
        <v>233551360</v>
      </c>
      <c r="E420" s="104">
        <v>221813746.91999999</v>
      </c>
      <c r="F420" s="104">
        <v>140162314</v>
      </c>
      <c r="G420" s="104">
        <v>0</v>
      </c>
      <c r="H420" s="105">
        <f t="shared" si="13"/>
        <v>595527420.91999996</v>
      </c>
      <c r="I420" s="103">
        <v>0</v>
      </c>
      <c r="J420" s="109"/>
    </row>
    <row r="421" spans="1:10">
      <c r="A421" s="101" t="s">
        <v>30</v>
      </c>
      <c r="B421" s="88" t="s">
        <v>579</v>
      </c>
      <c r="C421" s="102">
        <v>1993</v>
      </c>
      <c r="D421" s="104">
        <v>249047127</v>
      </c>
      <c r="E421" s="104">
        <v>185562498</v>
      </c>
      <c r="F421" s="104">
        <v>161754102</v>
      </c>
      <c r="G421" s="104">
        <v>0</v>
      </c>
      <c r="H421" s="105">
        <f t="shared" si="13"/>
        <v>596363727</v>
      </c>
      <c r="I421" s="103">
        <v>0</v>
      </c>
      <c r="J421" s="109"/>
    </row>
    <row r="422" spans="1:10">
      <c r="A422" s="101" t="s">
        <v>30</v>
      </c>
      <c r="B422" s="88" t="s">
        <v>579</v>
      </c>
      <c r="C422" s="102">
        <v>1994</v>
      </c>
      <c r="D422" s="104">
        <v>264160806</v>
      </c>
      <c r="E422" s="104">
        <v>217683968</v>
      </c>
      <c r="F422" s="104">
        <v>176895710</v>
      </c>
      <c r="G422" s="104">
        <v>0</v>
      </c>
      <c r="H422" s="105">
        <f t="shared" si="13"/>
        <v>658740484</v>
      </c>
      <c r="I422" s="103">
        <v>0</v>
      </c>
      <c r="J422" s="109"/>
    </row>
    <row r="423" spans="1:10">
      <c r="A423" s="101" t="s">
        <v>30</v>
      </c>
      <c r="B423" s="88" t="s">
        <v>579</v>
      </c>
      <c r="C423" s="102">
        <v>1995</v>
      </c>
      <c r="D423" s="104">
        <v>280977226</v>
      </c>
      <c r="E423" s="104">
        <v>218531343</v>
      </c>
      <c r="F423" s="104">
        <v>413583394</v>
      </c>
      <c r="G423" s="104">
        <v>0</v>
      </c>
      <c r="H423" s="105">
        <f t="shared" si="13"/>
        <v>913091963</v>
      </c>
      <c r="I423" s="103">
        <v>0</v>
      </c>
      <c r="J423" s="109"/>
    </row>
    <row r="424" spans="1:10">
      <c r="A424" s="101" t="s">
        <v>30</v>
      </c>
      <c r="B424" s="88" t="s">
        <v>579</v>
      </c>
      <c r="C424" s="102">
        <v>1996</v>
      </c>
      <c r="D424" s="104">
        <v>285850570</v>
      </c>
      <c r="E424" s="104">
        <v>209367847</v>
      </c>
      <c r="F424" s="104">
        <v>701148543</v>
      </c>
      <c r="G424" s="104">
        <v>0</v>
      </c>
      <c r="H424" s="105">
        <f t="shared" si="13"/>
        <v>1196366960</v>
      </c>
      <c r="I424" s="103">
        <v>0</v>
      </c>
      <c r="J424" s="109"/>
    </row>
    <row r="425" spans="1:10">
      <c r="A425" s="101" t="s">
        <v>30</v>
      </c>
      <c r="B425" s="88" t="s">
        <v>579</v>
      </c>
      <c r="C425" s="102">
        <v>1997</v>
      </c>
      <c r="D425" s="104">
        <v>288442487</v>
      </c>
      <c r="E425" s="104">
        <v>214100988</v>
      </c>
      <c r="F425" s="104">
        <v>692479444</v>
      </c>
      <c r="G425" s="104">
        <v>0</v>
      </c>
      <c r="H425" s="105">
        <f t="shared" si="13"/>
        <v>1195022919</v>
      </c>
      <c r="I425" s="103">
        <v>0</v>
      </c>
      <c r="J425" s="109"/>
    </row>
    <row r="426" spans="1:10">
      <c r="A426" s="101" t="s">
        <v>30</v>
      </c>
      <c r="B426" s="88" t="s">
        <v>579</v>
      </c>
      <c r="C426" s="102">
        <v>1998</v>
      </c>
      <c r="D426" s="104">
        <v>292525566</v>
      </c>
      <c r="E426" s="104">
        <v>234439692</v>
      </c>
      <c r="F426" s="104">
        <v>723378162</v>
      </c>
      <c r="G426" s="104">
        <v>0</v>
      </c>
      <c r="H426" s="105">
        <f t="shared" si="13"/>
        <v>1250343420</v>
      </c>
      <c r="I426" s="103">
        <v>0</v>
      </c>
      <c r="J426" s="109"/>
    </row>
    <row r="427" spans="1:10">
      <c r="A427" s="101" t="s">
        <v>30</v>
      </c>
      <c r="B427" s="88" t="s">
        <v>579</v>
      </c>
      <c r="C427" s="102">
        <v>1999</v>
      </c>
      <c r="D427" s="104">
        <v>286845096</v>
      </c>
      <c r="E427" s="104">
        <v>278075266</v>
      </c>
      <c r="F427" s="104">
        <v>808352623</v>
      </c>
      <c r="G427" s="104">
        <v>0</v>
      </c>
      <c r="H427" s="105">
        <f t="shared" si="13"/>
        <v>1373272985</v>
      </c>
      <c r="I427" s="103">
        <v>0</v>
      </c>
      <c r="J427" s="109"/>
    </row>
    <row r="428" spans="1:10">
      <c r="A428" s="101" t="s">
        <v>30</v>
      </c>
      <c r="B428" s="88" t="s">
        <v>579</v>
      </c>
      <c r="C428" s="102">
        <v>2000</v>
      </c>
      <c r="D428" s="104">
        <v>305108271</v>
      </c>
      <c r="E428" s="104">
        <v>317256120</v>
      </c>
      <c r="F428" s="104">
        <v>979520802</v>
      </c>
      <c r="G428" s="104">
        <v>0</v>
      </c>
      <c r="H428" s="105">
        <f t="shared" si="13"/>
        <v>1601885193</v>
      </c>
      <c r="I428" s="103">
        <v>0</v>
      </c>
      <c r="J428" s="109"/>
    </row>
    <row r="429" spans="1:10">
      <c r="A429" s="101" t="s">
        <v>30</v>
      </c>
      <c r="B429" s="88" t="s">
        <v>579</v>
      </c>
      <c r="C429" s="102">
        <v>2001</v>
      </c>
      <c r="D429" s="104">
        <v>314931002</v>
      </c>
      <c r="E429" s="104">
        <v>369758027</v>
      </c>
      <c r="F429" s="104">
        <v>1045803684</v>
      </c>
      <c r="G429" s="104">
        <v>0</v>
      </c>
      <c r="H429" s="105">
        <f t="shared" si="13"/>
        <v>1730492713</v>
      </c>
      <c r="I429" s="103">
        <v>0</v>
      </c>
      <c r="J429" s="109"/>
    </row>
    <row r="430" spans="1:10">
      <c r="A430" s="101" t="s">
        <v>30</v>
      </c>
      <c r="B430" s="88" t="s">
        <v>579</v>
      </c>
      <c r="C430" s="102">
        <v>2002</v>
      </c>
      <c r="D430" s="104">
        <v>316049014</v>
      </c>
      <c r="E430" s="104">
        <v>532399255</v>
      </c>
      <c r="F430" s="104">
        <v>1152783294</v>
      </c>
      <c r="G430" s="104">
        <v>0</v>
      </c>
      <c r="H430" s="105">
        <f t="shared" si="13"/>
        <v>2001231563</v>
      </c>
      <c r="I430" s="103">
        <v>0</v>
      </c>
      <c r="J430" s="109"/>
    </row>
    <row r="431" spans="1:10">
      <c r="A431" s="101" t="s">
        <v>30</v>
      </c>
      <c r="B431" s="88" t="s">
        <v>579</v>
      </c>
      <c r="C431" s="102">
        <v>2003</v>
      </c>
      <c r="D431" s="106">
        <v>338447654</v>
      </c>
      <c r="E431" s="106">
        <v>493198114</v>
      </c>
      <c r="F431" s="106">
        <v>1275933536</v>
      </c>
      <c r="G431" s="104">
        <v>0</v>
      </c>
      <c r="H431" s="105">
        <f t="shared" si="13"/>
        <v>2107579304</v>
      </c>
      <c r="I431" s="103">
        <v>0</v>
      </c>
      <c r="J431" s="109"/>
    </row>
    <row r="432" spans="1:10">
      <c r="A432" s="101" t="s">
        <v>30</v>
      </c>
      <c r="B432" s="88" t="s">
        <v>579</v>
      </c>
      <c r="C432" s="102">
        <v>2004</v>
      </c>
      <c r="D432" s="106">
        <v>346977476</v>
      </c>
      <c r="E432" s="106">
        <v>477691623</v>
      </c>
      <c r="F432" s="106">
        <v>1380118307</v>
      </c>
      <c r="G432" s="104">
        <v>0</v>
      </c>
      <c r="H432" s="105">
        <f t="shared" si="13"/>
        <v>2204787406</v>
      </c>
      <c r="I432" s="103">
        <v>0</v>
      </c>
      <c r="J432" s="109"/>
    </row>
    <row r="433" spans="1:11">
      <c r="A433" s="101" t="s">
        <v>30</v>
      </c>
      <c r="B433" s="88" t="s">
        <v>579</v>
      </c>
      <c r="C433" s="102">
        <v>2005</v>
      </c>
      <c r="D433" s="106">
        <v>360890133</v>
      </c>
      <c r="E433" s="106">
        <v>519455789</v>
      </c>
      <c r="F433" s="106">
        <v>1410076974.27</v>
      </c>
      <c r="G433" s="104">
        <v>0</v>
      </c>
      <c r="H433" s="105">
        <f t="shared" si="13"/>
        <v>2290422896.27</v>
      </c>
      <c r="I433" s="103">
        <v>0</v>
      </c>
      <c r="J433" s="109"/>
    </row>
    <row r="434" spans="1:11">
      <c r="A434" s="101" t="s">
        <v>30</v>
      </c>
      <c r="B434" s="88" t="s">
        <v>579</v>
      </c>
      <c r="C434" s="102">
        <v>2006</v>
      </c>
      <c r="D434" s="103">
        <v>393545884</v>
      </c>
      <c r="E434" s="103">
        <v>568866865</v>
      </c>
      <c r="F434" s="103">
        <v>1582104957</v>
      </c>
      <c r="G434" s="103">
        <v>0</v>
      </c>
      <c r="H434" s="105">
        <f t="shared" si="13"/>
        <v>2544517706</v>
      </c>
      <c r="I434" s="103">
        <v>0</v>
      </c>
      <c r="J434" s="109"/>
    </row>
    <row r="435" spans="1:11">
      <c r="A435" s="101" t="s">
        <v>30</v>
      </c>
      <c r="B435" s="88" t="s">
        <v>579</v>
      </c>
      <c r="C435" s="102">
        <v>2007</v>
      </c>
      <c r="D435" s="103">
        <v>408458502</v>
      </c>
      <c r="E435" s="103">
        <v>458571123</v>
      </c>
      <c r="F435" s="103">
        <v>1758385374</v>
      </c>
      <c r="G435" s="103">
        <v>0</v>
      </c>
      <c r="H435" s="105">
        <f t="shared" si="13"/>
        <v>2625414999</v>
      </c>
      <c r="I435" s="103">
        <v>0</v>
      </c>
      <c r="J435" s="109"/>
    </row>
    <row r="436" spans="1:11">
      <c r="A436" s="101" t="s">
        <v>30</v>
      </c>
      <c r="B436" s="88" t="s">
        <v>579</v>
      </c>
      <c r="C436" s="102">
        <v>2008</v>
      </c>
      <c r="D436" s="103">
        <v>417886894</v>
      </c>
      <c r="E436" s="103">
        <v>600625736</v>
      </c>
      <c r="F436" s="103">
        <v>1908888744</v>
      </c>
      <c r="G436" s="103">
        <v>0</v>
      </c>
      <c r="H436" s="105">
        <f t="shared" si="13"/>
        <v>2927401374</v>
      </c>
      <c r="I436" s="103">
        <v>0</v>
      </c>
      <c r="J436" s="109"/>
    </row>
    <row r="437" spans="1:11">
      <c r="A437" s="101" t="s">
        <v>30</v>
      </c>
      <c r="B437" s="88" t="s">
        <v>579</v>
      </c>
      <c r="C437" s="102">
        <v>2009</v>
      </c>
      <c r="D437" s="103">
        <v>452639962</v>
      </c>
      <c r="E437" s="103">
        <v>632743888</v>
      </c>
      <c r="F437" s="103">
        <v>2109951242</v>
      </c>
      <c r="G437" s="103">
        <v>0</v>
      </c>
      <c r="H437" s="105">
        <f t="shared" si="13"/>
        <v>3195335092</v>
      </c>
      <c r="I437" s="103">
        <v>0</v>
      </c>
      <c r="J437" s="109"/>
    </row>
    <row r="438" spans="1:11">
      <c r="A438" s="101" t="s">
        <v>30</v>
      </c>
      <c r="B438" s="88" t="s">
        <v>579</v>
      </c>
      <c r="C438" s="102">
        <v>2010</v>
      </c>
      <c r="D438" s="103">
        <v>471480159</v>
      </c>
      <c r="E438" s="103">
        <v>562603618</v>
      </c>
      <c r="F438" s="103">
        <v>1856258256</v>
      </c>
      <c r="G438" s="103">
        <v>0</v>
      </c>
      <c r="H438" s="105">
        <f t="shared" si="13"/>
        <v>2890342033</v>
      </c>
      <c r="I438" s="103">
        <v>0</v>
      </c>
      <c r="J438" s="109"/>
    </row>
    <row r="439" spans="1:11">
      <c r="A439" s="101" t="s">
        <v>30</v>
      </c>
      <c r="B439" s="88" t="s">
        <v>579</v>
      </c>
      <c r="C439" s="102">
        <v>2011</v>
      </c>
      <c r="D439" s="103">
        <v>479146732</v>
      </c>
      <c r="E439" s="103">
        <v>619816840</v>
      </c>
      <c r="F439" s="103">
        <v>1885326272.6900001</v>
      </c>
      <c r="G439" s="103">
        <v>0</v>
      </c>
      <c r="H439" s="105">
        <f t="shared" si="13"/>
        <v>2984289844.6900001</v>
      </c>
      <c r="I439" s="103">
        <v>0</v>
      </c>
      <c r="J439" s="109"/>
    </row>
    <row r="440" spans="1:11">
      <c r="A440" s="101" t="s">
        <v>30</v>
      </c>
      <c r="B440" s="88" t="s">
        <v>579</v>
      </c>
      <c r="C440" s="102">
        <v>2012</v>
      </c>
      <c r="D440" s="103">
        <v>485889296</v>
      </c>
      <c r="E440" s="103">
        <v>570440270</v>
      </c>
      <c r="F440" s="103">
        <v>1804463005</v>
      </c>
      <c r="G440" s="103">
        <v>0</v>
      </c>
      <c r="H440" s="105">
        <f t="shared" si="13"/>
        <v>2860792571</v>
      </c>
      <c r="I440" s="103">
        <v>0</v>
      </c>
      <c r="J440" s="109"/>
    </row>
    <row r="441" spans="1:11">
      <c r="A441" s="101" t="s">
        <v>30</v>
      </c>
      <c r="B441" s="88" t="s">
        <v>579</v>
      </c>
      <c r="C441" s="102">
        <v>2013</v>
      </c>
      <c r="D441" s="103">
        <v>506674937</v>
      </c>
      <c r="E441" s="103">
        <v>590926716</v>
      </c>
      <c r="F441" s="103">
        <v>1998654032</v>
      </c>
      <c r="G441" s="103">
        <v>0</v>
      </c>
      <c r="H441" s="105">
        <f t="shared" si="13"/>
        <v>3096255685</v>
      </c>
      <c r="I441" s="103">
        <v>0</v>
      </c>
      <c r="J441" s="109"/>
    </row>
    <row r="442" spans="1:11">
      <c r="A442" s="101" t="s">
        <v>30</v>
      </c>
      <c r="B442" s="88" t="s">
        <v>579</v>
      </c>
      <c r="C442" s="97">
        <v>2014</v>
      </c>
      <c r="D442" s="103">
        <v>531349729</v>
      </c>
      <c r="E442" s="103">
        <v>606405385</v>
      </c>
      <c r="F442" s="103">
        <v>2171330661.52</v>
      </c>
      <c r="G442" s="103">
        <v>0</v>
      </c>
      <c r="H442" s="105">
        <f t="shared" si="13"/>
        <v>3309085775.52</v>
      </c>
      <c r="I442" s="103">
        <v>0</v>
      </c>
      <c r="J442" s="109"/>
    </row>
    <row r="443" spans="1:11">
      <c r="A443" s="101" t="s">
        <v>30</v>
      </c>
      <c r="B443" s="88" t="s">
        <v>579</v>
      </c>
      <c r="C443" s="97">
        <v>2015</v>
      </c>
      <c r="D443" s="103">
        <v>562722497</v>
      </c>
      <c r="E443" s="103">
        <v>689375290</v>
      </c>
      <c r="F443" s="103">
        <v>2221929429</v>
      </c>
      <c r="G443" s="103">
        <v>0</v>
      </c>
      <c r="H443" s="105">
        <f t="shared" si="13"/>
        <v>3474027216</v>
      </c>
      <c r="I443" s="103">
        <v>0</v>
      </c>
      <c r="J443" s="109"/>
    </row>
    <row r="444" spans="1:11">
      <c r="A444" s="101" t="s">
        <v>30</v>
      </c>
      <c r="B444" s="88" t="s">
        <v>579</v>
      </c>
      <c r="C444" s="97">
        <v>2016</v>
      </c>
      <c r="D444" s="103">
        <v>568900218</v>
      </c>
      <c r="E444" s="103">
        <v>716351570</v>
      </c>
      <c r="F444" s="103">
        <v>2322207830</v>
      </c>
      <c r="G444" s="103">
        <v>0</v>
      </c>
      <c r="H444" s="105">
        <f t="shared" si="13"/>
        <v>3607459618</v>
      </c>
      <c r="I444" s="103">
        <v>0</v>
      </c>
      <c r="J444" s="109"/>
    </row>
    <row r="445" spans="1:11">
      <c r="A445" s="101" t="s">
        <v>30</v>
      </c>
      <c r="B445" s="88" t="s">
        <v>579</v>
      </c>
      <c r="C445" s="97">
        <v>2017</v>
      </c>
      <c r="D445" s="103">
        <v>589493733</v>
      </c>
      <c r="E445" s="103">
        <v>741318983</v>
      </c>
      <c r="F445" s="103">
        <v>2225219412.1500001</v>
      </c>
      <c r="G445" s="103">
        <v>0</v>
      </c>
      <c r="H445" s="105">
        <f t="shared" si="13"/>
        <v>3556032128.1500001</v>
      </c>
      <c r="I445" s="103">
        <v>0</v>
      </c>
      <c r="J445" s="109"/>
    </row>
    <row r="446" spans="1:11">
      <c r="A446" s="101" t="s">
        <v>30</v>
      </c>
      <c r="B446" s="88" t="s">
        <v>579</v>
      </c>
      <c r="C446" s="97">
        <v>2018</v>
      </c>
      <c r="D446" s="103">
        <v>609087865</v>
      </c>
      <c r="E446" s="103">
        <v>1056714197</v>
      </c>
      <c r="F446" s="103">
        <v>2373356031.6399999</v>
      </c>
      <c r="G446" s="103">
        <v>0</v>
      </c>
      <c r="H446" s="105">
        <f t="shared" si="13"/>
        <v>4039158093.6399999</v>
      </c>
      <c r="I446" s="103">
        <v>0</v>
      </c>
      <c r="J446" s="109" t="s">
        <v>679</v>
      </c>
      <c r="K446" s="52" t="s">
        <v>677</v>
      </c>
    </row>
    <row r="447" spans="1:11">
      <c r="A447" s="101" t="s">
        <v>30</v>
      </c>
      <c r="B447" s="88" t="s">
        <v>579</v>
      </c>
      <c r="C447" s="97">
        <v>2019</v>
      </c>
      <c r="D447" s="103">
        <v>617875009</v>
      </c>
      <c r="E447" s="103">
        <v>903603816</v>
      </c>
      <c r="F447" s="103">
        <v>2392515889.9882002</v>
      </c>
      <c r="G447" s="103">
        <v>0</v>
      </c>
      <c r="H447" s="105">
        <f t="shared" si="13"/>
        <v>3913994714.9882002</v>
      </c>
      <c r="I447" s="103">
        <v>0</v>
      </c>
      <c r="J447" s="109" t="s">
        <v>680</v>
      </c>
    </row>
    <row r="448" spans="1:11">
      <c r="A448" s="101" t="s">
        <v>30</v>
      </c>
      <c r="B448" s="88" t="s">
        <v>579</v>
      </c>
      <c r="C448" s="97">
        <v>2020</v>
      </c>
      <c r="D448" s="103">
        <v>645659404</v>
      </c>
      <c r="E448" s="103">
        <v>1047106025</v>
      </c>
      <c r="F448" s="103">
        <v>2560990087</v>
      </c>
      <c r="G448" s="103">
        <v>0</v>
      </c>
      <c r="H448" s="105">
        <f t="shared" si="13"/>
        <v>4253755516</v>
      </c>
      <c r="I448" s="103">
        <v>0</v>
      </c>
      <c r="J448" s="109" t="s">
        <v>680</v>
      </c>
    </row>
    <row r="449" spans="1:10">
      <c r="A449" s="101"/>
      <c r="B449" s="107"/>
      <c r="D449" s="104"/>
      <c r="E449" s="104"/>
      <c r="F449" s="104"/>
      <c r="G449" s="104"/>
      <c r="H449" s="103"/>
      <c r="I449" s="103"/>
      <c r="J449" s="109"/>
    </row>
    <row r="450" spans="1:10">
      <c r="A450" s="101" t="s">
        <v>32</v>
      </c>
      <c r="B450" s="88" t="s">
        <v>275</v>
      </c>
      <c r="C450" s="102">
        <v>1988</v>
      </c>
      <c r="D450" s="104">
        <v>2916560905</v>
      </c>
      <c r="E450" s="104">
        <v>2858069425</v>
      </c>
      <c r="F450" s="104">
        <v>4014954929</v>
      </c>
      <c r="G450" s="104">
        <v>2266160590</v>
      </c>
      <c r="H450" s="105">
        <f>SUM(D450:G450)</f>
        <v>12055745849</v>
      </c>
      <c r="I450" s="103">
        <v>0</v>
      </c>
      <c r="J450" s="109"/>
    </row>
    <row r="451" spans="1:10">
      <c r="A451" s="101" t="s">
        <v>32</v>
      </c>
      <c r="B451" s="88" t="s">
        <v>275</v>
      </c>
      <c r="C451" s="102">
        <v>1989</v>
      </c>
      <c r="D451" s="104">
        <v>2700553206</v>
      </c>
      <c r="E451" s="104">
        <v>2674346269</v>
      </c>
      <c r="F451" s="104">
        <v>4301382157</v>
      </c>
      <c r="G451" s="104">
        <v>2493039004</v>
      </c>
      <c r="H451" s="105">
        <f t="shared" ref="H451:H482" si="14">SUM(D451:G451)</f>
        <v>12169320636</v>
      </c>
      <c r="I451" s="103">
        <v>0</v>
      </c>
      <c r="J451" s="109"/>
    </row>
    <row r="452" spans="1:10">
      <c r="A452" s="101" t="s">
        <v>32</v>
      </c>
      <c r="B452" s="88" t="s">
        <v>275</v>
      </c>
      <c r="C452" s="102">
        <v>1990</v>
      </c>
      <c r="D452" s="104">
        <v>3209665412</v>
      </c>
      <c r="E452" s="104">
        <v>3309153971.7600002</v>
      </c>
      <c r="F452" s="104">
        <v>4650013014</v>
      </c>
      <c r="G452" s="104">
        <v>2299751811</v>
      </c>
      <c r="H452" s="105">
        <f t="shared" si="14"/>
        <v>13468584208.76</v>
      </c>
      <c r="I452" s="103">
        <v>0</v>
      </c>
      <c r="J452" s="109"/>
    </row>
    <row r="453" spans="1:10">
      <c r="A453" s="101" t="s">
        <v>32</v>
      </c>
      <c r="B453" s="88" t="s">
        <v>275</v>
      </c>
      <c r="C453" s="102">
        <v>1991</v>
      </c>
      <c r="D453" s="104">
        <v>3240873981</v>
      </c>
      <c r="E453" s="104">
        <v>2568263110</v>
      </c>
      <c r="F453" s="104">
        <v>4989068321</v>
      </c>
      <c r="G453" s="104">
        <v>2543478586</v>
      </c>
      <c r="H453" s="105">
        <f t="shared" si="14"/>
        <v>13341683998</v>
      </c>
      <c r="I453" s="103">
        <v>0</v>
      </c>
      <c r="J453" s="109"/>
    </row>
    <row r="454" spans="1:10">
      <c r="A454" s="101" t="s">
        <v>32</v>
      </c>
      <c r="B454" s="88" t="s">
        <v>275</v>
      </c>
      <c r="C454" s="102">
        <v>1992</v>
      </c>
      <c r="D454" s="104">
        <v>3525611739</v>
      </c>
      <c r="E454" s="104">
        <v>3080341168.0799999</v>
      </c>
      <c r="F454" s="104">
        <v>5267388215</v>
      </c>
      <c r="G454" s="104">
        <v>1796618481</v>
      </c>
      <c r="H454" s="105">
        <f t="shared" si="14"/>
        <v>13669959603.08</v>
      </c>
      <c r="I454" s="103">
        <v>0</v>
      </c>
      <c r="J454" s="109"/>
    </row>
    <row r="455" spans="1:10">
      <c r="A455" s="101" t="s">
        <v>32</v>
      </c>
      <c r="B455" s="88" t="s">
        <v>275</v>
      </c>
      <c r="C455" s="102">
        <v>1993</v>
      </c>
      <c r="D455" s="104">
        <v>3755748488</v>
      </c>
      <c r="E455" s="104">
        <v>2536677405</v>
      </c>
      <c r="F455" s="104">
        <v>5499260017</v>
      </c>
      <c r="G455" s="104">
        <v>1717591047</v>
      </c>
      <c r="H455" s="105">
        <f t="shared" si="14"/>
        <v>13509276957</v>
      </c>
      <c r="I455" s="103">
        <v>0</v>
      </c>
      <c r="J455" s="109"/>
    </row>
    <row r="456" spans="1:10">
      <c r="A456" s="101" t="s">
        <v>32</v>
      </c>
      <c r="B456" s="88" t="s">
        <v>275</v>
      </c>
      <c r="C456" s="102">
        <v>1994</v>
      </c>
      <c r="D456" s="104">
        <v>3916038976</v>
      </c>
      <c r="E456" s="104">
        <v>3318561672</v>
      </c>
      <c r="F456" s="104">
        <v>5453615449</v>
      </c>
      <c r="G456" s="104">
        <v>1316602994</v>
      </c>
      <c r="H456" s="105">
        <f t="shared" si="14"/>
        <v>14004819091</v>
      </c>
      <c r="I456" s="103">
        <v>0</v>
      </c>
      <c r="J456" s="109"/>
    </row>
    <row r="457" spans="1:10">
      <c r="A457" s="101" t="s">
        <v>32</v>
      </c>
      <c r="B457" s="88" t="s">
        <v>275</v>
      </c>
      <c r="C457" s="102">
        <v>1995</v>
      </c>
      <c r="D457" s="104">
        <v>4365262226</v>
      </c>
      <c r="E457" s="104">
        <v>3452409881</v>
      </c>
      <c r="F457" s="104">
        <v>5615584047</v>
      </c>
      <c r="G457" s="104">
        <v>1539192171</v>
      </c>
      <c r="H457" s="105">
        <f t="shared" si="14"/>
        <v>14972448325</v>
      </c>
      <c r="I457" s="103">
        <v>0</v>
      </c>
      <c r="J457" s="109"/>
    </row>
    <row r="458" spans="1:10">
      <c r="A458" s="101" t="s">
        <v>32</v>
      </c>
      <c r="B458" s="88" t="s">
        <v>275</v>
      </c>
      <c r="C458" s="102">
        <v>1996</v>
      </c>
      <c r="D458" s="104">
        <v>4193919982</v>
      </c>
      <c r="E458" s="104">
        <v>3047390248</v>
      </c>
      <c r="F458" s="104">
        <v>8035409502</v>
      </c>
      <c r="G458" s="104">
        <v>1253094239</v>
      </c>
      <c r="H458" s="105">
        <f t="shared" si="14"/>
        <v>16529813971</v>
      </c>
      <c r="I458" s="103">
        <v>0</v>
      </c>
      <c r="J458" s="109"/>
    </row>
    <row r="459" spans="1:10">
      <c r="A459" s="101" t="s">
        <v>32</v>
      </c>
      <c r="B459" s="88" t="s">
        <v>275</v>
      </c>
      <c r="C459" s="102">
        <v>1997</v>
      </c>
      <c r="D459" s="104">
        <v>4031393590</v>
      </c>
      <c r="E459" s="104">
        <v>3440298209</v>
      </c>
      <c r="F459" s="104">
        <v>8576360365</v>
      </c>
      <c r="G459" s="104">
        <v>1495483035</v>
      </c>
      <c r="H459" s="105">
        <f t="shared" si="14"/>
        <v>17543535199</v>
      </c>
      <c r="I459" s="103">
        <v>0</v>
      </c>
      <c r="J459" s="109"/>
    </row>
    <row r="460" spans="1:10">
      <c r="A460" s="101" t="s">
        <v>32</v>
      </c>
      <c r="B460" s="88" t="s">
        <v>275</v>
      </c>
      <c r="C460" s="102">
        <v>1998</v>
      </c>
      <c r="D460" s="104">
        <v>4228395655</v>
      </c>
      <c r="E460" s="104">
        <v>2962927663</v>
      </c>
      <c r="F460" s="104">
        <v>9508753259</v>
      </c>
      <c r="G460" s="104">
        <v>1044210217</v>
      </c>
      <c r="H460" s="105">
        <f t="shared" si="14"/>
        <v>17744286794</v>
      </c>
      <c r="I460" s="103">
        <v>0</v>
      </c>
      <c r="J460" s="109"/>
    </row>
    <row r="461" spans="1:10">
      <c r="A461" s="101" t="s">
        <v>32</v>
      </c>
      <c r="B461" s="88" t="s">
        <v>275</v>
      </c>
      <c r="C461" s="102">
        <v>1999</v>
      </c>
      <c r="D461" s="104">
        <v>4023964010</v>
      </c>
      <c r="E461" s="104">
        <v>4996875602</v>
      </c>
      <c r="F461" s="104">
        <v>10594243637</v>
      </c>
      <c r="G461" s="104">
        <v>1238480879</v>
      </c>
      <c r="H461" s="105">
        <f t="shared" si="14"/>
        <v>20853564128</v>
      </c>
      <c r="I461" s="103">
        <v>0</v>
      </c>
      <c r="J461" s="109"/>
    </row>
    <row r="462" spans="1:10">
      <c r="A462" s="101" t="s">
        <v>32</v>
      </c>
      <c r="B462" s="88" t="s">
        <v>275</v>
      </c>
      <c r="C462" s="102">
        <v>2000</v>
      </c>
      <c r="D462" s="104">
        <v>4303930262</v>
      </c>
      <c r="E462" s="104">
        <v>4719150120</v>
      </c>
      <c r="F462" s="104">
        <v>12331631713</v>
      </c>
      <c r="G462" s="104">
        <v>873020430</v>
      </c>
      <c r="H462" s="105">
        <f t="shared" si="14"/>
        <v>22227732525</v>
      </c>
      <c r="I462" s="103">
        <v>0</v>
      </c>
      <c r="J462" s="109"/>
    </row>
    <row r="463" spans="1:10">
      <c r="A463" s="101" t="s">
        <v>32</v>
      </c>
      <c r="B463" s="88" t="s">
        <v>275</v>
      </c>
      <c r="C463" s="102">
        <v>2001</v>
      </c>
      <c r="D463" s="104">
        <v>4259788621</v>
      </c>
      <c r="E463" s="104">
        <v>6623766294.5100002</v>
      </c>
      <c r="F463" s="104">
        <v>8446525377</v>
      </c>
      <c r="G463" s="104">
        <v>1124798276</v>
      </c>
      <c r="H463" s="105">
        <f t="shared" si="14"/>
        <v>20454878568.510002</v>
      </c>
      <c r="I463" s="103">
        <v>0</v>
      </c>
      <c r="J463" s="109"/>
    </row>
    <row r="464" spans="1:10">
      <c r="A464" s="101" t="s">
        <v>32</v>
      </c>
      <c r="B464" s="88" t="s">
        <v>275</v>
      </c>
      <c r="C464" s="102">
        <v>2002</v>
      </c>
      <c r="D464" s="104">
        <v>4474638586</v>
      </c>
      <c r="E464" s="104">
        <v>6954435404</v>
      </c>
      <c r="F464" s="104">
        <v>9157386286</v>
      </c>
      <c r="G464" s="104">
        <v>1081899396</v>
      </c>
      <c r="H464" s="105">
        <f t="shared" si="14"/>
        <v>21668359672</v>
      </c>
      <c r="I464" s="103">
        <v>0</v>
      </c>
      <c r="J464" s="109"/>
    </row>
    <row r="465" spans="1:11">
      <c r="A465" s="101" t="s">
        <v>32</v>
      </c>
      <c r="B465" s="88" t="s">
        <v>275</v>
      </c>
      <c r="C465" s="102">
        <v>2003</v>
      </c>
      <c r="D465" s="106">
        <v>4787263262</v>
      </c>
      <c r="E465" s="106">
        <v>5971977804</v>
      </c>
      <c r="F465" s="106">
        <v>9991773730</v>
      </c>
      <c r="G465" s="106">
        <v>1031390728</v>
      </c>
      <c r="H465" s="105">
        <f t="shared" si="14"/>
        <v>21782405524</v>
      </c>
      <c r="I465" s="103">
        <v>0</v>
      </c>
      <c r="J465" s="109"/>
    </row>
    <row r="466" spans="1:11">
      <c r="A466" s="101" t="s">
        <v>32</v>
      </c>
      <c r="B466" s="88" t="s">
        <v>275</v>
      </c>
      <c r="C466" s="102">
        <v>2004</v>
      </c>
      <c r="D466" s="106">
        <v>4905589261</v>
      </c>
      <c r="E466" s="106">
        <v>5074168432</v>
      </c>
      <c r="F466" s="106">
        <v>10062257016</v>
      </c>
      <c r="G466" s="106">
        <v>964060683</v>
      </c>
      <c r="H466" s="105">
        <f t="shared" si="14"/>
        <v>21006075392</v>
      </c>
      <c r="I466" s="103">
        <v>0</v>
      </c>
      <c r="J466" s="109"/>
    </row>
    <row r="467" spans="1:11">
      <c r="A467" s="101" t="s">
        <v>32</v>
      </c>
      <c r="B467" s="88" t="s">
        <v>275</v>
      </c>
      <c r="C467" s="102">
        <v>2005</v>
      </c>
      <c r="D467" s="106">
        <v>5005951330</v>
      </c>
      <c r="E467" s="106">
        <v>4504335031</v>
      </c>
      <c r="F467" s="106">
        <v>13031388654.58</v>
      </c>
      <c r="G467" s="106">
        <v>1117236715</v>
      </c>
      <c r="H467" s="105">
        <f t="shared" si="14"/>
        <v>23658911730.580002</v>
      </c>
      <c r="I467" s="103">
        <v>0</v>
      </c>
      <c r="J467" s="109"/>
    </row>
    <row r="468" spans="1:11">
      <c r="A468" s="101" t="s">
        <v>32</v>
      </c>
      <c r="B468" s="88" t="s">
        <v>275</v>
      </c>
      <c r="C468" s="102">
        <v>2006</v>
      </c>
      <c r="D468" s="103">
        <v>5155599424</v>
      </c>
      <c r="E468" s="103">
        <v>5270569478</v>
      </c>
      <c r="F468" s="103">
        <v>14030574109</v>
      </c>
      <c r="G468" s="103">
        <v>1136037828</v>
      </c>
      <c r="H468" s="105">
        <f t="shared" si="14"/>
        <v>25592780839</v>
      </c>
      <c r="I468" s="103">
        <v>0</v>
      </c>
      <c r="J468" s="109"/>
    </row>
    <row r="469" spans="1:11">
      <c r="A469" s="101" t="s">
        <v>32</v>
      </c>
      <c r="B469" s="88" t="s">
        <v>275</v>
      </c>
      <c r="C469" s="102">
        <v>2007</v>
      </c>
      <c r="D469" s="103">
        <v>5254987425</v>
      </c>
      <c r="E469" s="103">
        <v>4904298341</v>
      </c>
      <c r="F469" s="103">
        <v>15154486923</v>
      </c>
      <c r="G469" s="103">
        <v>973891717</v>
      </c>
      <c r="H469" s="105">
        <f t="shared" si="14"/>
        <v>26287664406</v>
      </c>
      <c r="I469" s="103">
        <v>0</v>
      </c>
      <c r="J469" s="109"/>
    </row>
    <row r="470" spans="1:11">
      <c r="A470" s="101" t="s">
        <v>32</v>
      </c>
      <c r="B470" s="88" t="s">
        <v>275</v>
      </c>
      <c r="C470" s="102">
        <v>2008</v>
      </c>
      <c r="D470" s="103">
        <v>5313073725</v>
      </c>
      <c r="E470" s="103">
        <v>6343390548</v>
      </c>
      <c r="F470" s="103">
        <v>15801869753</v>
      </c>
      <c r="G470" s="103">
        <v>1219036294</v>
      </c>
      <c r="H470" s="105">
        <f t="shared" si="14"/>
        <v>28677370320</v>
      </c>
      <c r="I470" s="103">
        <v>0</v>
      </c>
      <c r="J470" s="109"/>
    </row>
    <row r="471" spans="1:11">
      <c r="A471" s="101" t="s">
        <v>32</v>
      </c>
      <c r="B471" s="88" t="s">
        <v>275</v>
      </c>
      <c r="C471" s="102">
        <v>2009</v>
      </c>
      <c r="D471" s="103">
        <v>5484099027</v>
      </c>
      <c r="E471" s="103">
        <v>6296720471</v>
      </c>
      <c r="F471" s="103">
        <v>16489255645</v>
      </c>
      <c r="G471" s="103">
        <v>1053662996</v>
      </c>
      <c r="H471" s="105">
        <f t="shared" si="14"/>
        <v>29323738139</v>
      </c>
      <c r="I471" s="103">
        <v>0</v>
      </c>
      <c r="J471" s="109"/>
    </row>
    <row r="472" spans="1:11">
      <c r="A472" s="101" t="s">
        <v>32</v>
      </c>
      <c r="B472" s="88" t="s">
        <v>275</v>
      </c>
      <c r="C472" s="102">
        <v>2010</v>
      </c>
      <c r="D472" s="103">
        <v>5726519796</v>
      </c>
      <c r="E472" s="103">
        <v>5652279187</v>
      </c>
      <c r="F472" s="103">
        <v>13645446481</v>
      </c>
      <c r="G472" s="103">
        <v>189789382</v>
      </c>
      <c r="H472" s="105">
        <f t="shared" si="14"/>
        <v>25214034846</v>
      </c>
      <c r="I472" s="103">
        <v>81202522</v>
      </c>
      <c r="J472" s="109" t="s">
        <v>675</v>
      </c>
    </row>
    <row r="473" spans="1:11">
      <c r="A473" s="101" t="s">
        <v>32</v>
      </c>
      <c r="B473" s="88" t="s">
        <v>275</v>
      </c>
      <c r="C473" s="102">
        <v>2011</v>
      </c>
      <c r="D473" s="103">
        <v>5747113843</v>
      </c>
      <c r="E473" s="103">
        <v>5672457385</v>
      </c>
      <c r="F473" s="103">
        <v>14094886109</v>
      </c>
      <c r="G473" s="103">
        <v>243715097</v>
      </c>
      <c r="H473" s="105">
        <f t="shared" si="14"/>
        <v>25758172434</v>
      </c>
      <c r="I473" s="103">
        <v>67640516</v>
      </c>
      <c r="J473" s="109" t="s">
        <v>675</v>
      </c>
    </row>
    <row r="474" spans="1:11">
      <c r="A474" s="101" t="s">
        <v>32</v>
      </c>
      <c r="B474" s="88" t="s">
        <v>275</v>
      </c>
      <c r="C474" s="102">
        <v>2012</v>
      </c>
      <c r="D474" s="103">
        <v>6042854505</v>
      </c>
      <c r="E474" s="103">
        <v>5979950953</v>
      </c>
      <c r="F474" s="103">
        <v>13455976512</v>
      </c>
      <c r="G474" s="103">
        <v>412561558</v>
      </c>
      <c r="H474" s="105">
        <f t="shared" si="14"/>
        <v>25891343528</v>
      </c>
      <c r="I474" s="103">
        <v>77834858</v>
      </c>
      <c r="J474" s="109" t="s">
        <v>675</v>
      </c>
    </row>
    <row r="475" spans="1:11">
      <c r="A475" s="101" t="s">
        <v>32</v>
      </c>
      <c r="B475" s="88" t="s">
        <v>275</v>
      </c>
      <c r="C475" s="102">
        <v>2013</v>
      </c>
      <c r="D475" s="103">
        <v>6146345573</v>
      </c>
      <c r="E475" s="103">
        <v>6488662049</v>
      </c>
      <c r="F475" s="103">
        <v>13583217538</v>
      </c>
      <c r="G475" s="103">
        <v>766353206</v>
      </c>
      <c r="H475" s="105">
        <f t="shared" si="14"/>
        <v>26984578366</v>
      </c>
      <c r="I475" s="103">
        <v>165833264</v>
      </c>
      <c r="J475" s="109" t="s">
        <v>675</v>
      </c>
    </row>
    <row r="476" spans="1:11">
      <c r="A476" s="101" t="s">
        <v>32</v>
      </c>
      <c r="B476" s="88" t="s">
        <v>275</v>
      </c>
      <c r="C476" s="97">
        <v>2014</v>
      </c>
      <c r="D476" s="103">
        <v>6121970505</v>
      </c>
      <c r="E476" s="103">
        <v>7158809775</v>
      </c>
      <c r="F476" s="103">
        <v>14914013358</v>
      </c>
      <c r="G476" s="103">
        <v>240962989</v>
      </c>
      <c r="H476" s="105">
        <f t="shared" si="14"/>
        <v>28435756627</v>
      </c>
      <c r="I476" s="103">
        <v>551934016</v>
      </c>
      <c r="J476" s="109" t="s">
        <v>675</v>
      </c>
    </row>
    <row r="477" spans="1:11">
      <c r="A477" s="101" t="s">
        <v>32</v>
      </c>
      <c r="B477" s="88" t="s">
        <v>275</v>
      </c>
      <c r="C477" s="97">
        <v>2015</v>
      </c>
      <c r="D477" s="103">
        <v>6300705529</v>
      </c>
      <c r="E477" s="103">
        <v>7029461236</v>
      </c>
      <c r="F477" s="103">
        <v>14785978415</v>
      </c>
      <c r="G477" s="103">
        <v>270633067</v>
      </c>
      <c r="H477" s="105">
        <f t="shared" si="14"/>
        <v>28386778247</v>
      </c>
      <c r="I477" s="103">
        <v>469922055</v>
      </c>
      <c r="J477" s="109" t="s">
        <v>675</v>
      </c>
    </row>
    <row r="478" spans="1:11">
      <c r="A478" s="101" t="s">
        <v>32</v>
      </c>
      <c r="B478" s="88" t="s">
        <v>275</v>
      </c>
      <c r="C478" s="97">
        <v>2016</v>
      </c>
      <c r="D478" s="103">
        <v>6431812139</v>
      </c>
      <c r="E478" s="103">
        <v>7737328993</v>
      </c>
      <c r="F478" s="103">
        <v>14286189148</v>
      </c>
      <c r="G478" s="103">
        <v>316310318</v>
      </c>
      <c r="H478" s="105">
        <f t="shared" si="14"/>
        <v>28771640598</v>
      </c>
      <c r="I478" s="103">
        <v>173789767</v>
      </c>
      <c r="J478" s="109" t="s">
        <v>675</v>
      </c>
    </row>
    <row r="479" spans="1:11">
      <c r="A479" s="101" t="s">
        <v>32</v>
      </c>
      <c r="B479" s="88" t="s">
        <v>275</v>
      </c>
      <c r="C479" s="97">
        <v>2017</v>
      </c>
      <c r="D479" s="103">
        <v>6478394243</v>
      </c>
      <c r="E479" s="103">
        <v>8352842426</v>
      </c>
      <c r="F479" s="103">
        <v>14798539216</v>
      </c>
      <c r="G479" s="103">
        <v>286967090</v>
      </c>
      <c r="H479" s="105">
        <f t="shared" si="14"/>
        <v>29916742975</v>
      </c>
      <c r="I479" s="103">
        <v>127439778</v>
      </c>
      <c r="J479" s="109" t="s">
        <v>675</v>
      </c>
    </row>
    <row r="480" spans="1:11">
      <c r="A480" s="101" t="s">
        <v>32</v>
      </c>
      <c r="B480" s="88" t="s">
        <v>275</v>
      </c>
      <c r="C480" s="97">
        <v>2018</v>
      </c>
      <c r="D480" s="103">
        <v>6674932605</v>
      </c>
      <c r="E480" s="103">
        <v>8446028028</v>
      </c>
      <c r="F480" s="103">
        <v>15732594491.889999</v>
      </c>
      <c r="G480" s="103">
        <v>331696688</v>
      </c>
      <c r="H480" s="105">
        <f t="shared" si="14"/>
        <v>31185251812.889999</v>
      </c>
      <c r="I480" s="103">
        <v>257584218</v>
      </c>
      <c r="J480" s="109" t="s">
        <v>676</v>
      </c>
      <c r="K480" s="52" t="s">
        <v>677</v>
      </c>
    </row>
    <row r="481" spans="1:10">
      <c r="A481" s="101" t="s">
        <v>32</v>
      </c>
      <c r="B481" s="88" t="s">
        <v>275</v>
      </c>
      <c r="C481" s="97">
        <v>2019</v>
      </c>
      <c r="D481" s="103">
        <v>7033626274</v>
      </c>
      <c r="E481" s="103">
        <v>9808947552</v>
      </c>
      <c r="F481" s="103">
        <v>20138274273.9622</v>
      </c>
      <c r="G481" s="103">
        <v>273227473</v>
      </c>
      <c r="H481" s="105">
        <f t="shared" si="14"/>
        <v>37254075572.962204</v>
      </c>
      <c r="I481" s="103">
        <v>556308692</v>
      </c>
      <c r="J481" s="109" t="s">
        <v>678</v>
      </c>
    </row>
    <row r="482" spans="1:10">
      <c r="A482" s="101" t="s">
        <v>32</v>
      </c>
      <c r="B482" s="88" t="s">
        <v>275</v>
      </c>
      <c r="C482" s="97">
        <v>2020</v>
      </c>
      <c r="D482" s="103">
        <v>6691934756</v>
      </c>
      <c r="E482" s="103">
        <v>9654901232</v>
      </c>
      <c r="F482" s="103">
        <v>20004193919</v>
      </c>
      <c r="G482" s="103">
        <v>511971958</v>
      </c>
      <c r="H482" s="105">
        <f t="shared" si="14"/>
        <v>36863001865</v>
      </c>
      <c r="I482" s="103">
        <v>342787409</v>
      </c>
      <c r="J482" s="109" t="s">
        <v>678</v>
      </c>
    </row>
    <row r="483" spans="1:10">
      <c r="A483" s="101"/>
      <c r="B483" s="107"/>
      <c r="D483" s="104"/>
      <c r="E483" s="104"/>
      <c r="F483" s="104"/>
      <c r="G483" s="104"/>
      <c r="H483" s="103"/>
      <c r="I483" s="103"/>
      <c r="J483" s="109"/>
    </row>
    <row r="484" spans="1:10">
      <c r="A484" s="101" t="s">
        <v>34</v>
      </c>
      <c r="B484" s="88" t="s">
        <v>300</v>
      </c>
      <c r="C484" s="102">
        <v>1988</v>
      </c>
      <c r="D484" s="104">
        <v>1231294327</v>
      </c>
      <c r="E484" s="104">
        <v>999914339</v>
      </c>
      <c r="F484" s="104">
        <v>2348784694</v>
      </c>
      <c r="G484" s="104">
        <v>447992113</v>
      </c>
      <c r="H484" s="105">
        <f>SUM(D484:G484)</f>
        <v>5027985473</v>
      </c>
      <c r="I484" s="103">
        <v>0</v>
      </c>
      <c r="J484" s="109"/>
    </row>
    <row r="485" spans="1:10">
      <c r="A485" s="101" t="s">
        <v>34</v>
      </c>
      <c r="B485" s="88" t="s">
        <v>300</v>
      </c>
      <c r="C485" s="102">
        <v>1989</v>
      </c>
      <c r="D485" s="104">
        <v>1181374662</v>
      </c>
      <c r="E485" s="104">
        <v>1111333190</v>
      </c>
      <c r="F485" s="104">
        <v>2168983793</v>
      </c>
      <c r="G485" s="104">
        <v>497481224</v>
      </c>
      <c r="H485" s="105">
        <f t="shared" ref="H485:H516" si="15">SUM(D485:G485)</f>
        <v>4959172869</v>
      </c>
      <c r="I485" s="103">
        <v>0</v>
      </c>
      <c r="J485" s="109"/>
    </row>
    <row r="486" spans="1:10">
      <c r="A486" s="101" t="s">
        <v>34</v>
      </c>
      <c r="B486" s="88" t="s">
        <v>300</v>
      </c>
      <c r="C486" s="102">
        <v>1990</v>
      </c>
      <c r="D486" s="104">
        <v>1396295793</v>
      </c>
      <c r="E486" s="104">
        <v>1042759123.04</v>
      </c>
      <c r="F486" s="104">
        <v>2311773993</v>
      </c>
      <c r="G486" s="104">
        <v>428237312</v>
      </c>
      <c r="H486" s="105">
        <f t="shared" si="15"/>
        <v>5179066221.04</v>
      </c>
      <c r="I486" s="103">
        <v>0</v>
      </c>
      <c r="J486" s="109"/>
    </row>
    <row r="487" spans="1:10">
      <c r="A487" s="101" t="s">
        <v>34</v>
      </c>
      <c r="B487" s="88" t="s">
        <v>300</v>
      </c>
      <c r="C487" s="102">
        <v>1991</v>
      </c>
      <c r="D487" s="104">
        <v>1388097147</v>
      </c>
      <c r="E487" s="104">
        <v>986945655</v>
      </c>
      <c r="F487" s="104">
        <v>2331465830</v>
      </c>
      <c r="G487" s="104">
        <v>585284957</v>
      </c>
      <c r="H487" s="105">
        <f t="shared" si="15"/>
        <v>5291793589</v>
      </c>
      <c r="I487" s="103">
        <v>0</v>
      </c>
      <c r="J487" s="109"/>
    </row>
    <row r="488" spans="1:10">
      <c r="A488" s="101" t="s">
        <v>34</v>
      </c>
      <c r="B488" s="88" t="s">
        <v>300</v>
      </c>
      <c r="C488" s="102">
        <v>1992</v>
      </c>
      <c r="D488" s="104">
        <v>1433697023</v>
      </c>
      <c r="E488" s="104">
        <v>1198789437.2</v>
      </c>
      <c r="F488" s="104">
        <v>2468301295</v>
      </c>
      <c r="G488" s="104">
        <v>612775366</v>
      </c>
      <c r="H488" s="105">
        <f t="shared" si="15"/>
        <v>5713563121.1999998</v>
      </c>
      <c r="I488" s="103">
        <v>0</v>
      </c>
      <c r="J488" s="109"/>
    </row>
    <row r="489" spans="1:10">
      <c r="A489" s="101" t="s">
        <v>34</v>
      </c>
      <c r="B489" s="88" t="s">
        <v>300</v>
      </c>
      <c r="C489" s="102">
        <v>1993</v>
      </c>
      <c r="D489" s="104">
        <v>1715050080</v>
      </c>
      <c r="E489" s="104">
        <v>1116563807</v>
      </c>
      <c r="F489" s="104">
        <v>2510014270</v>
      </c>
      <c r="G489" s="104">
        <v>461657848</v>
      </c>
      <c r="H489" s="105">
        <f t="shared" si="15"/>
        <v>5803286005</v>
      </c>
      <c r="I489" s="103">
        <v>0</v>
      </c>
      <c r="J489" s="109"/>
    </row>
    <row r="490" spans="1:10">
      <c r="A490" s="101" t="s">
        <v>34</v>
      </c>
      <c r="B490" s="88" t="s">
        <v>300</v>
      </c>
      <c r="C490" s="102">
        <v>1994</v>
      </c>
      <c r="D490" s="104">
        <v>1715383678</v>
      </c>
      <c r="E490" s="104">
        <v>1311306571</v>
      </c>
      <c r="F490" s="104">
        <v>2495742336</v>
      </c>
      <c r="G490" s="104">
        <v>389491884</v>
      </c>
      <c r="H490" s="105">
        <f t="shared" si="15"/>
        <v>5911924469</v>
      </c>
      <c r="I490" s="103">
        <v>0</v>
      </c>
      <c r="J490" s="109"/>
    </row>
    <row r="491" spans="1:10">
      <c r="A491" s="101" t="s">
        <v>34</v>
      </c>
      <c r="B491" s="88" t="s">
        <v>300</v>
      </c>
      <c r="C491" s="102">
        <v>1995</v>
      </c>
      <c r="D491" s="104">
        <v>1813993181</v>
      </c>
      <c r="E491" s="104">
        <v>1512798957</v>
      </c>
      <c r="F491" s="104">
        <v>2542117119</v>
      </c>
      <c r="G491" s="104">
        <v>193611050</v>
      </c>
      <c r="H491" s="105">
        <f t="shared" si="15"/>
        <v>6062520307</v>
      </c>
      <c r="I491" s="103">
        <v>0</v>
      </c>
      <c r="J491" s="109"/>
    </row>
    <row r="492" spans="1:10">
      <c r="A492" s="101" t="s">
        <v>34</v>
      </c>
      <c r="B492" s="88" t="s">
        <v>300</v>
      </c>
      <c r="C492" s="102">
        <v>1996</v>
      </c>
      <c r="D492" s="104">
        <v>1773426561</v>
      </c>
      <c r="E492" s="104">
        <v>1251211124</v>
      </c>
      <c r="F492" s="104">
        <v>2635099953</v>
      </c>
      <c r="G492" s="104">
        <v>123421523</v>
      </c>
      <c r="H492" s="105">
        <f t="shared" si="15"/>
        <v>5783159161</v>
      </c>
      <c r="I492" s="103">
        <v>0</v>
      </c>
      <c r="J492" s="109"/>
    </row>
    <row r="493" spans="1:10">
      <c r="A493" s="101" t="s">
        <v>34</v>
      </c>
      <c r="B493" s="88" t="s">
        <v>300</v>
      </c>
      <c r="C493" s="102">
        <v>1997</v>
      </c>
      <c r="D493" s="104">
        <v>1830350893</v>
      </c>
      <c r="E493" s="104">
        <v>1317469268</v>
      </c>
      <c r="F493" s="104">
        <v>2832331407</v>
      </c>
      <c r="G493" s="104">
        <v>131511457</v>
      </c>
      <c r="H493" s="105">
        <f t="shared" si="15"/>
        <v>6111663025</v>
      </c>
      <c r="I493" s="103">
        <v>0</v>
      </c>
      <c r="J493" s="109"/>
    </row>
    <row r="494" spans="1:10">
      <c r="A494" s="101" t="s">
        <v>34</v>
      </c>
      <c r="B494" s="88" t="s">
        <v>300</v>
      </c>
      <c r="C494" s="102">
        <v>1998</v>
      </c>
      <c r="D494" s="104">
        <v>1757241340</v>
      </c>
      <c r="E494" s="104">
        <v>1220705894</v>
      </c>
      <c r="F494" s="104">
        <v>2935832776</v>
      </c>
      <c r="G494" s="104">
        <v>120043488</v>
      </c>
      <c r="H494" s="105">
        <f t="shared" si="15"/>
        <v>6033823498</v>
      </c>
      <c r="I494" s="103">
        <v>0</v>
      </c>
      <c r="J494" s="109"/>
    </row>
    <row r="495" spans="1:10">
      <c r="A495" s="101" t="s">
        <v>34</v>
      </c>
      <c r="B495" s="88" t="s">
        <v>300</v>
      </c>
      <c r="C495" s="102">
        <v>1999</v>
      </c>
      <c r="D495" s="104">
        <v>1778572036</v>
      </c>
      <c r="E495" s="104">
        <v>1590465827</v>
      </c>
      <c r="F495" s="104">
        <v>3126225781</v>
      </c>
      <c r="G495" s="104">
        <v>215832984</v>
      </c>
      <c r="H495" s="105">
        <f t="shared" si="15"/>
        <v>6711096628</v>
      </c>
      <c r="I495" s="103">
        <v>0</v>
      </c>
      <c r="J495" s="109"/>
    </row>
    <row r="496" spans="1:10">
      <c r="A496" s="101" t="s">
        <v>34</v>
      </c>
      <c r="B496" s="88" t="s">
        <v>300</v>
      </c>
      <c r="C496" s="102">
        <v>2000</v>
      </c>
      <c r="D496" s="104">
        <v>2016183088</v>
      </c>
      <c r="E496" s="104">
        <v>1661089201</v>
      </c>
      <c r="F496" s="104">
        <v>3320183808</v>
      </c>
      <c r="G496" s="104">
        <v>280425402</v>
      </c>
      <c r="H496" s="105">
        <f t="shared" si="15"/>
        <v>7277881499</v>
      </c>
      <c r="I496" s="103">
        <v>0</v>
      </c>
      <c r="J496" s="109"/>
    </row>
    <row r="497" spans="1:10">
      <c r="A497" s="101" t="s">
        <v>34</v>
      </c>
      <c r="B497" s="88" t="s">
        <v>300</v>
      </c>
      <c r="C497" s="102">
        <v>2001</v>
      </c>
      <c r="D497" s="104">
        <v>1754757434</v>
      </c>
      <c r="E497" s="104">
        <v>2404069919</v>
      </c>
      <c r="F497" s="104">
        <v>3594907640</v>
      </c>
      <c r="G497" s="104">
        <v>173930451</v>
      </c>
      <c r="H497" s="105">
        <f t="shared" si="15"/>
        <v>7927665444</v>
      </c>
      <c r="I497" s="103">
        <v>0</v>
      </c>
      <c r="J497" s="109"/>
    </row>
    <row r="498" spans="1:10">
      <c r="A498" s="101" t="s">
        <v>34</v>
      </c>
      <c r="B498" s="88" t="s">
        <v>300</v>
      </c>
      <c r="C498" s="102">
        <v>2002</v>
      </c>
      <c r="D498" s="104">
        <v>1801940643</v>
      </c>
      <c r="E498" s="104">
        <v>3287734605</v>
      </c>
      <c r="F498" s="104">
        <v>3681040208</v>
      </c>
      <c r="G498" s="104">
        <v>193303773</v>
      </c>
      <c r="H498" s="105">
        <f t="shared" si="15"/>
        <v>8964019229</v>
      </c>
      <c r="I498" s="103">
        <v>0</v>
      </c>
      <c r="J498" s="109"/>
    </row>
    <row r="499" spans="1:10">
      <c r="A499" s="101" t="s">
        <v>34</v>
      </c>
      <c r="B499" s="88" t="s">
        <v>300</v>
      </c>
      <c r="C499" s="102">
        <v>2003</v>
      </c>
      <c r="D499" s="106">
        <v>1883728661</v>
      </c>
      <c r="E499" s="106">
        <v>2814033507</v>
      </c>
      <c r="F499" s="106">
        <v>3870295263</v>
      </c>
      <c r="G499" s="106">
        <v>239331595</v>
      </c>
      <c r="H499" s="105">
        <f t="shared" si="15"/>
        <v>8807389026</v>
      </c>
      <c r="I499" s="103">
        <v>0</v>
      </c>
      <c r="J499" s="109"/>
    </row>
    <row r="500" spans="1:10">
      <c r="A500" s="101" t="s">
        <v>34</v>
      </c>
      <c r="B500" s="88" t="s">
        <v>300</v>
      </c>
      <c r="C500" s="102">
        <v>2004</v>
      </c>
      <c r="D500" s="106">
        <v>1963177960</v>
      </c>
      <c r="E500" s="106">
        <v>2500584579</v>
      </c>
      <c r="F500" s="106">
        <v>4249515656</v>
      </c>
      <c r="G500" s="106">
        <v>239575706</v>
      </c>
      <c r="H500" s="105">
        <f t="shared" si="15"/>
        <v>8952853901</v>
      </c>
      <c r="I500" s="103">
        <v>0</v>
      </c>
      <c r="J500" s="109"/>
    </row>
    <row r="501" spans="1:10" ht="13.5" customHeight="1">
      <c r="A501" s="101" t="s">
        <v>34</v>
      </c>
      <c r="B501" s="88" t="s">
        <v>300</v>
      </c>
      <c r="C501" s="102">
        <v>2005</v>
      </c>
      <c r="D501" s="106">
        <v>1920148953</v>
      </c>
      <c r="E501" s="106">
        <v>2337141661</v>
      </c>
      <c r="F501" s="106">
        <v>4553397486.8400002</v>
      </c>
      <c r="G501" s="106">
        <v>199230303</v>
      </c>
      <c r="H501" s="105">
        <f t="shared" si="15"/>
        <v>9009918403.8400002</v>
      </c>
      <c r="I501" s="103">
        <v>0</v>
      </c>
      <c r="J501" s="109"/>
    </row>
    <row r="502" spans="1:10">
      <c r="A502" s="101" t="s">
        <v>34</v>
      </c>
      <c r="B502" s="88" t="s">
        <v>300</v>
      </c>
      <c r="C502" s="102">
        <v>2006</v>
      </c>
      <c r="D502" s="103">
        <v>2009212261</v>
      </c>
      <c r="E502" s="103">
        <v>2633277686</v>
      </c>
      <c r="F502" s="103">
        <v>4947029637</v>
      </c>
      <c r="G502" s="103">
        <v>131890852</v>
      </c>
      <c r="H502" s="105">
        <f t="shared" si="15"/>
        <v>9721410436</v>
      </c>
      <c r="I502" s="103">
        <v>27606670</v>
      </c>
      <c r="J502" s="109" t="s">
        <v>675</v>
      </c>
    </row>
    <row r="503" spans="1:10">
      <c r="A503" s="101" t="s">
        <v>34</v>
      </c>
      <c r="B503" s="88" t="s">
        <v>300</v>
      </c>
      <c r="C503" s="102">
        <v>2007</v>
      </c>
      <c r="D503" s="103">
        <v>2104611100</v>
      </c>
      <c r="E503" s="103">
        <v>2598017957</v>
      </c>
      <c r="F503" s="103">
        <v>5660181152</v>
      </c>
      <c r="G503" s="103">
        <v>559888433</v>
      </c>
      <c r="H503" s="105">
        <f t="shared" si="15"/>
        <v>10922698642</v>
      </c>
      <c r="I503" s="103">
        <v>27877189</v>
      </c>
      <c r="J503" s="109" t="s">
        <v>675</v>
      </c>
    </row>
    <row r="504" spans="1:10">
      <c r="A504" s="101" t="s">
        <v>34</v>
      </c>
      <c r="B504" s="88" t="s">
        <v>300</v>
      </c>
      <c r="C504" s="102">
        <v>2008</v>
      </c>
      <c r="D504" s="103">
        <v>2125588259</v>
      </c>
      <c r="E504" s="103">
        <v>3502348602</v>
      </c>
      <c r="F504" s="103">
        <v>6102928689</v>
      </c>
      <c r="G504" s="103">
        <v>113770397</v>
      </c>
      <c r="H504" s="105">
        <f t="shared" si="15"/>
        <v>11844635947</v>
      </c>
      <c r="I504" s="103">
        <v>27940784</v>
      </c>
      <c r="J504" s="109" t="s">
        <v>675</v>
      </c>
    </row>
    <row r="505" spans="1:10">
      <c r="A505" s="101" t="s">
        <v>34</v>
      </c>
      <c r="B505" s="88" t="s">
        <v>300</v>
      </c>
      <c r="C505" s="102">
        <v>2009</v>
      </c>
      <c r="D505" s="103">
        <v>2220021000</v>
      </c>
      <c r="E505" s="103">
        <v>3311124802</v>
      </c>
      <c r="F505" s="103">
        <v>5921107022</v>
      </c>
      <c r="G505" s="103">
        <v>136748969</v>
      </c>
      <c r="H505" s="105">
        <f t="shared" si="15"/>
        <v>11589001793</v>
      </c>
      <c r="I505" s="103">
        <v>27872973</v>
      </c>
      <c r="J505" s="109" t="s">
        <v>675</v>
      </c>
    </row>
    <row r="506" spans="1:10">
      <c r="A506" s="101" t="s">
        <v>34</v>
      </c>
      <c r="B506" s="88" t="s">
        <v>300</v>
      </c>
      <c r="C506" s="102">
        <v>2010</v>
      </c>
      <c r="D506" s="103">
        <v>2228429164</v>
      </c>
      <c r="E506" s="103">
        <v>2774889668</v>
      </c>
      <c r="F506" s="103">
        <v>6314520679</v>
      </c>
      <c r="G506" s="103">
        <v>281467985</v>
      </c>
      <c r="H506" s="105">
        <f t="shared" si="15"/>
        <v>11599307496</v>
      </c>
      <c r="I506" s="103">
        <v>18054994</v>
      </c>
      <c r="J506" s="109" t="s">
        <v>675</v>
      </c>
    </row>
    <row r="507" spans="1:10">
      <c r="A507" s="101" t="s">
        <v>34</v>
      </c>
      <c r="B507" s="88" t="s">
        <v>300</v>
      </c>
      <c r="C507" s="102">
        <v>2011</v>
      </c>
      <c r="D507" s="103">
        <v>2318050876</v>
      </c>
      <c r="E507" s="103">
        <v>2635774653</v>
      </c>
      <c r="F507" s="103">
        <v>5865937241.1700001</v>
      </c>
      <c r="G507" s="103">
        <v>271274044</v>
      </c>
      <c r="H507" s="105">
        <f t="shared" si="15"/>
        <v>11091036814.17</v>
      </c>
      <c r="I507" s="103">
        <v>14497421</v>
      </c>
      <c r="J507" s="109" t="s">
        <v>675</v>
      </c>
    </row>
    <row r="508" spans="1:10">
      <c r="A508" s="101" t="s">
        <v>34</v>
      </c>
      <c r="B508" s="88" t="s">
        <v>300</v>
      </c>
      <c r="C508" s="102">
        <v>2012</v>
      </c>
      <c r="D508" s="103">
        <v>2505999041</v>
      </c>
      <c r="E508" s="103">
        <v>4474179389</v>
      </c>
      <c r="F508" s="103">
        <v>6613392521</v>
      </c>
      <c r="G508" s="103">
        <v>189875052</v>
      </c>
      <c r="H508" s="105">
        <f t="shared" si="15"/>
        <v>13783446003</v>
      </c>
      <c r="I508" s="103">
        <v>18693357</v>
      </c>
      <c r="J508" s="109" t="s">
        <v>675</v>
      </c>
    </row>
    <row r="509" spans="1:10">
      <c r="A509" s="101" t="s">
        <v>34</v>
      </c>
      <c r="B509" s="88" t="s">
        <v>300</v>
      </c>
      <c r="C509" s="102">
        <v>2013</v>
      </c>
      <c r="D509" s="103">
        <v>2499393071</v>
      </c>
      <c r="E509" s="103">
        <v>2909753719</v>
      </c>
      <c r="F509" s="103">
        <v>5408125631</v>
      </c>
      <c r="G509" s="103">
        <v>320051927</v>
      </c>
      <c r="H509" s="105">
        <f t="shared" si="15"/>
        <v>11137324348</v>
      </c>
      <c r="I509" s="103">
        <v>20842043</v>
      </c>
      <c r="J509" s="109" t="s">
        <v>675</v>
      </c>
    </row>
    <row r="510" spans="1:10">
      <c r="A510" s="101" t="s">
        <v>34</v>
      </c>
      <c r="B510" s="88" t="s">
        <v>300</v>
      </c>
      <c r="C510" s="102">
        <v>2014</v>
      </c>
      <c r="D510" s="103">
        <v>2500426137</v>
      </c>
      <c r="E510" s="103">
        <v>3541964592</v>
      </c>
      <c r="F510" s="103">
        <v>5701182787.1900005</v>
      </c>
      <c r="G510" s="103">
        <v>153448749</v>
      </c>
      <c r="H510" s="105">
        <f t="shared" si="15"/>
        <v>11897022265.190001</v>
      </c>
      <c r="I510" s="103">
        <v>261994642</v>
      </c>
      <c r="J510" s="109" t="s">
        <v>675</v>
      </c>
    </row>
    <row r="511" spans="1:10">
      <c r="A511" s="101" t="s">
        <v>34</v>
      </c>
      <c r="B511" s="88" t="s">
        <v>300</v>
      </c>
      <c r="C511" s="102">
        <v>2015</v>
      </c>
      <c r="D511" s="103">
        <v>2547783314</v>
      </c>
      <c r="E511" s="103">
        <v>3716044788</v>
      </c>
      <c r="F511" s="103">
        <v>6264855729</v>
      </c>
      <c r="G511" s="103">
        <v>144901765</v>
      </c>
      <c r="H511" s="105">
        <f t="shared" si="15"/>
        <v>12673585596</v>
      </c>
      <c r="I511" s="103">
        <v>133788188</v>
      </c>
      <c r="J511" s="109" t="s">
        <v>675</v>
      </c>
    </row>
    <row r="512" spans="1:10">
      <c r="A512" s="101" t="s">
        <v>34</v>
      </c>
      <c r="B512" s="88" t="s">
        <v>300</v>
      </c>
      <c r="C512" s="102">
        <v>2016</v>
      </c>
      <c r="D512" s="103">
        <v>2683673552</v>
      </c>
      <c r="E512" s="103">
        <v>4510682398</v>
      </c>
      <c r="F512" s="103">
        <v>5152184943</v>
      </c>
      <c r="G512" s="103">
        <v>129572989</v>
      </c>
      <c r="H512" s="105">
        <f t="shared" si="15"/>
        <v>12476113882</v>
      </c>
      <c r="I512" s="103">
        <v>59964263</v>
      </c>
      <c r="J512" s="109" t="s">
        <v>675</v>
      </c>
    </row>
    <row r="513" spans="1:11">
      <c r="A513" s="101" t="s">
        <v>34</v>
      </c>
      <c r="B513" s="88" t="s">
        <v>300</v>
      </c>
      <c r="C513" s="102">
        <v>2017</v>
      </c>
      <c r="D513" s="103">
        <v>2691486684</v>
      </c>
      <c r="E513" s="103">
        <v>3891581066</v>
      </c>
      <c r="F513" s="103">
        <v>5013304004.5400009</v>
      </c>
      <c r="G513" s="103">
        <v>111063498</v>
      </c>
      <c r="H513" s="105">
        <f t="shared" si="15"/>
        <v>11707435252.540001</v>
      </c>
      <c r="I513" s="103">
        <v>65339657</v>
      </c>
      <c r="J513" s="109" t="s">
        <v>675</v>
      </c>
    </row>
    <row r="514" spans="1:11">
      <c r="A514" s="101" t="s">
        <v>34</v>
      </c>
      <c r="B514" s="88" t="s">
        <v>300</v>
      </c>
      <c r="C514" s="102">
        <v>2018</v>
      </c>
      <c r="D514" s="103">
        <v>2745526963</v>
      </c>
      <c r="E514" s="103">
        <v>4567271193</v>
      </c>
      <c r="F514" s="103">
        <v>6118564143.5</v>
      </c>
      <c r="G514" s="103">
        <v>104335432</v>
      </c>
      <c r="H514" s="105">
        <f t="shared" si="15"/>
        <v>13535697731.5</v>
      </c>
      <c r="I514" s="103">
        <v>218904999</v>
      </c>
      <c r="J514" s="109" t="s">
        <v>676</v>
      </c>
      <c r="K514" s="52" t="s">
        <v>677</v>
      </c>
    </row>
    <row r="515" spans="1:11">
      <c r="A515" s="101" t="s">
        <v>34</v>
      </c>
      <c r="B515" s="88" t="s">
        <v>300</v>
      </c>
      <c r="C515" s="102">
        <v>2019</v>
      </c>
      <c r="D515" s="103">
        <v>2836784072</v>
      </c>
      <c r="E515" s="103">
        <v>4789050513</v>
      </c>
      <c r="F515" s="103">
        <v>6138444880.8642006</v>
      </c>
      <c r="G515" s="103">
        <v>107777054</v>
      </c>
      <c r="H515" s="105">
        <f t="shared" si="15"/>
        <v>13872056519.864201</v>
      </c>
      <c r="I515" s="103">
        <v>76142996</v>
      </c>
      <c r="J515" s="109" t="s">
        <v>688</v>
      </c>
    </row>
    <row r="516" spans="1:11">
      <c r="A516" s="101" t="s">
        <v>34</v>
      </c>
      <c r="B516" s="88" t="s">
        <v>300</v>
      </c>
      <c r="C516" s="102">
        <v>2020</v>
      </c>
      <c r="D516" s="103">
        <v>2878257555</v>
      </c>
      <c r="E516" s="103">
        <v>4705169376</v>
      </c>
      <c r="F516" s="103">
        <v>6097875646</v>
      </c>
      <c r="G516" s="103">
        <v>194647341</v>
      </c>
      <c r="H516" s="105">
        <f t="shared" si="15"/>
        <v>13875949918</v>
      </c>
      <c r="I516" s="103">
        <v>95528635</v>
      </c>
      <c r="J516" s="109" t="s">
        <v>688</v>
      </c>
    </row>
    <row r="517" spans="1:11">
      <c r="A517" s="101"/>
      <c r="B517" s="107"/>
      <c r="D517" s="104"/>
      <c r="E517" s="104"/>
      <c r="F517" s="104"/>
      <c r="G517" s="104"/>
      <c r="H517" s="103"/>
      <c r="I517" s="103"/>
      <c r="J517" s="109"/>
    </row>
    <row r="518" spans="1:11">
      <c r="A518" s="101" t="s">
        <v>36</v>
      </c>
      <c r="B518" s="88" t="s">
        <v>243</v>
      </c>
      <c r="C518" s="102">
        <v>1988</v>
      </c>
      <c r="D518" s="104">
        <v>785518841</v>
      </c>
      <c r="E518" s="104">
        <v>666373201</v>
      </c>
      <c r="F518" s="104">
        <v>1257600157</v>
      </c>
      <c r="G518" s="104">
        <v>251661721</v>
      </c>
      <c r="H518" s="105">
        <f>SUM(D518:G518)</f>
        <v>2961153920</v>
      </c>
      <c r="I518" s="103">
        <v>0</v>
      </c>
      <c r="J518" s="109"/>
    </row>
    <row r="519" spans="1:11">
      <c r="A519" s="101" t="s">
        <v>36</v>
      </c>
      <c r="B519" s="88" t="s">
        <v>243</v>
      </c>
      <c r="C519" s="102">
        <v>1989</v>
      </c>
      <c r="D519" s="104">
        <v>737400938</v>
      </c>
      <c r="E519" s="104">
        <v>713162245</v>
      </c>
      <c r="F519" s="104">
        <v>1385739261</v>
      </c>
      <c r="G519" s="104">
        <v>224539753</v>
      </c>
      <c r="H519" s="105">
        <f t="shared" ref="H519:H550" si="16">SUM(D519:G519)</f>
        <v>3060842197</v>
      </c>
      <c r="I519" s="103">
        <v>0</v>
      </c>
      <c r="J519" s="109"/>
    </row>
    <row r="520" spans="1:11">
      <c r="A520" s="101" t="s">
        <v>36</v>
      </c>
      <c r="B520" s="88" t="s">
        <v>243</v>
      </c>
      <c r="C520" s="102">
        <v>1990</v>
      </c>
      <c r="D520" s="104">
        <v>756412872</v>
      </c>
      <c r="E520" s="104">
        <v>883066273.08000004</v>
      </c>
      <c r="F520" s="104">
        <v>1437593560</v>
      </c>
      <c r="G520" s="104">
        <v>174140010</v>
      </c>
      <c r="H520" s="105">
        <f t="shared" si="16"/>
        <v>3251212715.0799999</v>
      </c>
      <c r="I520" s="103">
        <v>0</v>
      </c>
      <c r="J520" s="109"/>
    </row>
    <row r="521" spans="1:11">
      <c r="A521" s="101" t="s">
        <v>36</v>
      </c>
      <c r="B521" s="88" t="s">
        <v>243</v>
      </c>
      <c r="C521" s="102">
        <v>1991</v>
      </c>
      <c r="D521" s="104">
        <v>842900036</v>
      </c>
      <c r="E521" s="104">
        <v>886725305</v>
      </c>
      <c r="F521" s="104">
        <v>1391111493</v>
      </c>
      <c r="G521" s="104">
        <v>227822108</v>
      </c>
      <c r="H521" s="105">
        <f t="shared" si="16"/>
        <v>3348558942</v>
      </c>
      <c r="I521" s="103">
        <v>0</v>
      </c>
      <c r="J521" s="109"/>
    </row>
    <row r="522" spans="1:11">
      <c r="A522" s="101" t="s">
        <v>36</v>
      </c>
      <c r="B522" s="88" t="s">
        <v>243</v>
      </c>
      <c r="C522" s="102">
        <v>1992</v>
      </c>
      <c r="D522" s="104">
        <v>842908152</v>
      </c>
      <c r="E522" s="104">
        <v>925692132.84000003</v>
      </c>
      <c r="F522" s="104">
        <v>1409401079</v>
      </c>
      <c r="G522" s="104">
        <v>128788808</v>
      </c>
      <c r="H522" s="105">
        <f t="shared" si="16"/>
        <v>3306790171.8400002</v>
      </c>
      <c r="I522" s="103">
        <v>0</v>
      </c>
      <c r="J522" s="109"/>
    </row>
    <row r="523" spans="1:11">
      <c r="A523" s="101" t="s">
        <v>36</v>
      </c>
      <c r="B523" s="88" t="s">
        <v>243</v>
      </c>
      <c r="C523" s="102">
        <v>1993</v>
      </c>
      <c r="D523" s="104">
        <v>882251556</v>
      </c>
      <c r="E523" s="104">
        <v>904997269</v>
      </c>
      <c r="F523" s="104">
        <v>1626509806</v>
      </c>
      <c r="G523" s="104">
        <v>182073258</v>
      </c>
      <c r="H523" s="105">
        <f t="shared" si="16"/>
        <v>3595831889</v>
      </c>
      <c r="I523" s="103">
        <v>0</v>
      </c>
      <c r="J523" s="109"/>
    </row>
    <row r="524" spans="1:11">
      <c r="A524" s="101" t="s">
        <v>36</v>
      </c>
      <c r="B524" s="88" t="s">
        <v>243</v>
      </c>
      <c r="C524" s="102">
        <v>1994</v>
      </c>
      <c r="D524" s="104">
        <v>942321717</v>
      </c>
      <c r="E524" s="104">
        <v>1008736756</v>
      </c>
      <c r="F524" s="104">
        <v>1637708558</v>
      </c>
      <c r="G524" s="104">
        <v>113476398</v>
      </c>
      <c r="H524" s="105">
        <f t="shared" si="16"/>
        <v>3702243429</v>
      </c>
      <c r="I524" s="103">
        <v>0</v>
      </c>
      <c r="J524" s="109"/>
    </row>
    <row r="525" spans="1:11">
      <c r="A525" s="101" t="s">
        <v>36</v>
      </c>
      <c r="B525" s="88" t="s">
        <v>243</v>
      </c>
      <c r="C525" s="102">
        <v>1995</v>
      </c>
      <c r="D525" s="104">
        <v>997746336</v>
      </c>
      <c r="E525" s="104">
        <v>1016521518</v>
      </c>
      <c r="F525" s="104">
        <v>1737573975</v>
      </c>
      <c r="G525" s="104">
        <v>134059041</v>
      </c>
      <c r="H525" s="105">
        <f t="shared" si="16"/>
        <v>3885900870</v>
      </c>
      <c r="I525" s="103">
        <v>0</v>
      </c>
      <c r="J525" s="109"/>
    </row>
    <row r="526" spans="1:11">
      <c r="A526" s="101" t="s">
        <v>36</v>
      </c>
      <c r="B526" s="88" t="s">
        <v>243</v>
      </c>
      <c r="C526" s="102">
        <v>1996</v>
      </c>
      <c r="D526" s="104">
        <v>955936583</v>
      </c>
      <c r="E526" s="104">
        <v>784021094</v>
      </c>
      <c r="F526" s="104">
        <v>1838043543</v>
      </c>
      <c r="G526" s="104">
        <v>109511547</v>
      </c>
      <c r="H526" s="105">
        <f t="shared" si="16"/>
        <v>3687512767</v>
      </c>
      <c r="I526" s="103">
        <v>0</v>
      </c>
      <c r="J526" s="109"/>
    </row>
    <row r="527" spans="1:11">
      <c r="A527" s="101" t="s">
        <v>36</v>
      </c>
      <c r="B527" s="88" t="s">
        <v>243</v>
      </c>
      <c r="C527" s="102">
        <v>1997</v>
      </c>
      <c r="D527" s="104">
        <v>985559407</v>
      </c>
      <c r="E527" s="104">
        <v>894117143</v>
      </c>
      <c r="F527" s="104">
        <v>1849655839</v>
      </c>
      <c r="G527" s="104">
        <v>169015453</v>
      </c>
      <c r="H527" s="105">
        <f t="shared" si="16"/>
        <v>3898347842</v>
      </c>
      <c r="I527" s="103">
        <v>0</v>
      </c>
      <c r="J527" s="109"/>
    </row>
    <row r="528" spans="1:11">
      <c r="A528" s="101" t="s">
        <v>36</v>
      </c>
      <c r="B528" s="88" t="s">
        <v>243</v>
      </c>
      <c r="C528" s="102">
        <v>1998</v>
      </c>
      <c r="D528" s="104">
        <v>1065757864</v>
      </c>
      <c r="E528" s="104">
        <v>849594940</v>
      </c>
      <c r="F528" s="104">
        <v>1952738002</v>
      </c>
      <c r="G528" s="104">
        <v>135269047</v>
      </c>
      <c r="H528" s="105">
        <f t="shared" si="16"/>
        <v>4003359853</v>
      </c>
      <c r="I528" s="103">
        <v>0</v>
      </c>
      <c r="J528" s="109"/>
    </row>
    <row r="529" spans="1:10">
      <c r="A529" s="101" t="s">
        <v>36</v>
      </c>
      <c r="B529" s="88" t="s">
        <v>243</v>
      </c>
      <c r="C529" s="102">
        <v>1999</v>
      </c>
      <c r="D529" s="104">
        <v>953323879</v>
      </c>
      <c r="E529" s="104">
        <v>1171798999</v>
      </c>
      <c r="F529" s="104">
        <v>2082100004</v>
      </c>
      <c r="G529" s="104">
        <v>447435166</v>
      </c>
      <c r="H529" s="105">
        <f t="shared" si="16"/>
        <v>4654658048</v>
      </c>
      <c r="I529" s="103">
        <v>0</v>
      </c>
      <c r="J529" s="109"/>
    </row>
    <row r="530" spans="1:10">
      <c r="A530" s="101" t="s">
        <v>36</v>
      </c>
      <c r="B530" s="88" t="s">
        <v>243</v>
      </c>
      <c r="C530" s="102">
        <v>2000</v>
      </c>
      <c r="D530" s="104">
        <v>977485907</v>
      </c>
      <c r="E530" s="104">
        <v>1130559841</v>
      </c>
      <c r="F530" s="104">
        <v>2170175367</v>
      </c>
      <c r="G530" s="104">
        <v>305994751</v>
      </c>
      <c r="H530" s="105">
        <f t="shared" si="16"/>
        <v>4584215866</v>
      </c>
      <c r="I530" s="103">
        <v>0</v>
      </c>
      <c r="J530" s="109"/>
    </row>
    <row r="531" spans="1:10">
      <c r="A531" s="101" t="s">
        <v>36</v>
      </c>
      <c r="B531" s="88" t="s">
        <v>243</v>
      </c>
      <c r="C531" s="102">
        <v>2001</v>
      </c>
      <c r="D531" s="104">
        <v>1016548735</v>
      </c>
      <c r="E531" s="104">
        <v>1520979606</v>
      </c>
      <c r="F531" s="104">
        <v>2348107723</v>
      </c>
      <c r="G531" s="104">
        <v>209415591</v>
      </c>
      <c r="H531" s="105">
        <f t="shared" si="16"/>
        <v>5095051655</v>
      </c>
      <c r="I531" s="103">
        <v>0</v>
      </c>
      <c r="J531" s="109"/>
    </row>
    <row r="532" spans="1:10">
      <c r="A532" s="101" t="s">
        <v>36</v>
      </c>
      <c r="B532" s="88" t="s">
        <v>243</v>
      </c>
      <c r="C532" s="102">
        <v>2002</v>
      </c>
      <c r="D532" s="104">
        <v>1039296621</v>
      </c>
      <c r="E532" s="104">
        <v>1717794926</v>
      </c>
      <c r="F532" s="104">
        <v>2475482347</v>
      </c>
      <c r="G532" s="104">
        <v>1769965718</v>
      </c>
      <c r="H532" s="105">
        <f t="shared" si="16"/>
        <v>7002539612</v>
      </c>
      <c r="I532" s="103">
        <v>0</v>
      </c>
      <c r="J532" s="109"/>
    </row>
    <row r="533" spans="1:10">
      <c r="A533" s="101" t="s">
        <v>36</v>
      </c>
      <c r="B533" s="88" t="s">
        <v>243</v>
      </c>
      <c r="C533" s="102">
        <v>2003</v>
      </c>
      <c r="D533" s="106">
        <v>1078626255</v>
      </c>
      <c r="E533" s="106">
        <v>1549106632</v>
      </c>
      <c r="F533" s="106">
        <v>2693140493</v>
      </c>
      <c r="G533" s="106">
        <v>207080334</v>
      </c>
      <c r="H533" s="105">
        <f t="shared" si="16"/>
        <v>5527953714</v>
      </c>
      <c r="I533" s="103">
        <v>0</v>
      </c>
      <c r="J533" s="109"/>
    </row>
    <row r="534" spans="1:10">
      <c r="A534" s="101" t="s">
        <v>36</v>
      </c>
      <c r="B534" s="88" t="s">
        <v>243</v>
      </c>
      <c r="C534" s="102">
        <v>2004</v>
      </c>
      <c r="D534" s="106">
        <v>1095758469</v>
      </c>
      <c r="E534" s="106">
        <v>1429113041</v>
      </c>
      <c r="F534" s="106">
        <v>2907255455</v>
      </c>
      <c r="G534" s="106">
        <v>176930195</v>
      </c>
      <c r="H534" s="105">
        <f t="shared" si="16"/>
        <v>5609057160</v>
      </c>
      <c r="I534" s="103">
        <v>0</v>
      </c>
      <c r="J534" s="109"/>
    </row>
    <row r="535" spans="1:10">
      <c r="A535" s="101" t="s">
        <v>36</v>
      </c>
      <c r="B535" s="88" t="s">
        <v>243</v>
      </c>
      <c r="C535" s="102">
        <v>2005</v>
      </c>
      <c r="D535" s="106">
        <v>1100356776</v>
      </c>
      <c r="E535" s="106">
        <v>1487301757</v>
      </c>
      <c r="F535" s="106">
        <v>3134257219.0799899</v>
      </c>
      <c r="G535" s="106">
        <v>205498350</v>
      </c>
      <c r="H535" s="105">
        <f t="shared" si="16"/>
        <v>5927414102.0799904</v>
      </c>
      <c r="I535" s="103">
        <v>0</v>
      </c>
      <c r="J535" s="109"/>
    </row>
    <row r="536" spans="1:10">
      <c r="A536" s="101" t="s">
        <v>36</v>
      </c>
      <c r="B536" s="88" t="s">
        <v>243</v>
      </c>
      <c r="C536" s="102">
        <v>2006</v>
      </c>
      <c r="D536" s="103">
        <v>1177468079</v>
      </c>
      <c r="E536" s="103">
        <v>1720711814</v>
      </c>
      <c r="F536" s="103">
        <v>3327686655</v>
      </c>
      <c r="G536" s="103">
        <v>1179413264</v>
      </c>
      <c r="H536" s="105">
        <f t="shared" si="16"/>
        <v>7405279812</v>
      </c>
      <c r="I536" s="103">
        <v>0</v>
      </c>
      <c r="J536" s="109"/>
    </row>
    <row r="537" spans="1:10">
      <c r="A537" s="101" t="s">
        <v>36</v>
      </c>
      <c r="B537" s="88" t="s">
        <v>243</v>
      </c>
      <c r="C537" s="102">
        <v>2007</v>
      </c>
      <c r="D537" s="103">
        <v>1253952349</v>
      </c>
      <c r="E537" s="103">
        <v>1476715221</v>
      </c>
      <c r="F537" s="103">
        <v>3601872431</v>
      </c>
      <c r="G537" s="103">
        <v>1130651963</v>
      </c>
      <c r="H537" s="105">
        <f t="shared" si="16"/>
        <v>7463191964</v>
      </c>
      <c r="I537" s="103">
        <v>0</v>
      </c>
      <c r="J537" s="109"/>
    </row>
    <row r="538" spans="1:10">
      <c r="A538" s="101" t="s">
        <v>36</v>
      </c>
      <c r="B538" s="88" t="s">
        <v>243</v>
      </c>
      <c r="C538" s="102">
        <v>2008</v>
      </c>
      <c r="D538" s="103">
        <v>1212557106</v>
      </c>
      <c r="E538" s="103">
        <v>2393115964</v>
      </c>
      <c r="F538" s="103">
        <v>3563704280</v>
      </c>
      <c r="G538" s="103">
        <v>2381888861</v>
      </c>
      <c r="H538" s="105">
        <f t="shared" si="16"/>
        <v>9551266211</v>
      </c>
      <c r="I538" s="103">
        <v>0</v>
      </c>
      <c r="J538" s="109"/>
    </row>
    <row r="539" spans="1:10">
      <c r="A539" s="101" t="s">
        <v>36</v>
      </c>
      <c r="B539" s="88" t="s">
        <v>243</v>
      </c>
      <c r="C539" s="102">
        <v>2009</v>
      </c>
      <c r="D539" s="103">
        <v>1334903102</v>
      </c>
      <c r="E539" s="103">
        <v>1922775917</v>
      </c>
      <c r="F539" s="103">
        <v>3545875294</v>
      </c>
      <c r="G539" s="103">
        <v>656787624</v>
      </c>
      <c r="H539" s="105">
        <f t="shared" si="16"/>
        <v>7460341937</v>
      </c>
      <c r="I539" s="103">
        <v>0</v>
      </c>
      <c r="J539" s="109"/>
    </row>
    <row r="540" spans="1:10">
      <c r="A540" s="101" t="s">
        <v>36</v>
      </c>
      <c r="B540" s="88" t="s">
        <v>243</v>
      </c>
      <c r="C540" s="102">
        <v>2010</v>
      </c>
      <c r="D540" s="103">
        <v>1429906032</v>
      </c>
      <c r="E540" s="103">
        <v>2108886723</v>
      </c>
      <c r="F540" s="103">
        <v>3584947156</v>
      </c>
      <c r="G540" s="103">
        <v>430938855</v>
      </c>
      <c r="H540" s="105">
        <f t="shared" si="16"/>
        <v>7554678766</v>
      </c>
      <c r="I540" s="103">
        <v>0</v>
      </c>
      <c r="J540" s="109"/>
    </row>
    <row r="541" spans="1:10">
      <c r="A541" s="101" t="s">
        <v>36</v>
      </c>
      <c r="B541" s="88" t="s">
        <v>243</v>
      </c>
      <c r="C541" s="102">
        <v>2011</v>
      </c>
      <c r="D541" s="103">
        <v>1582915114</v>
      </c>
      <c r="E541" s="103">
        <v>1877137731</v>
      </c>
      <c r="F541" s="103">
        <v>3627105984.5599999</v>
      </c>
      <c r="G541" s="103">
        <v>993172464</v>
      </c>
      <c r="H541" s="105">
        <f t="shared" si="16"/>
        <v>8080331293.5599995</v>
      </c>
      <c r="I541" s="103">
        <v>11389613</v>
      </c>
      <c r="J541" s="109" t="s">
        <v>675</v>
      </c>
    </row>
    <row r="542" spans="1:10">
      <c r="A542" s="101" t="s">
        <v>36</v>
      </c>
      <c r="B542" s="88" t="s">
        <v>243</v>
      </c>
      <c r="C542" s="102">
        <v>2012</v>
      </c>
      <c r="D542" s="103">
        <v>1669257836</v>
      </c>
      <c r="E542" s="103">
        <v>2512780642</v>
      </c>
      <c r="F542" s="103">
        <v>3581752180</v>
      </c>
      <c r="G542" s="103">
        <v>3474153065</v>
      </c>
      <c r="H542" s="105">
        <f t="shared" si="16"/>
        <v>11237943723</v>
      </c>
      <c r="I542" s="103">
        <v>12525559</v>
      </c>
      <c r="J542" s="109" t="s">
        <v>675</v>
      </c>
    </row>
    <row r="543" spans="1:10">
      <c r="A543" s="101" t="s">
        <v>36</v>
      </c>
      <c r="B543" s="88" t="s">
        <v>243</v>
      </c>
      <c r="C543" s="102">
        <v>2013</v>
      </c>
      <c r="D543" s="103">
        <v>1611899372</v>
      </c>
      <c r="E543" s="103">
        <v>2250939951</v>
      </c>
      <c r="F543" s="103">
        <v>3590293566</v>
      </c>
      <c r="G543" s="103">
        <v>1966376688</v>
      </c>
      <c r="H543" s="105">
        <f t="shared" si="16"/>
        <v>9419509577</v>
      </c>
      <c r="I543" s="103">
        <v>9601429</v>
      </c>
      <c r="J543" s="109" t="s">
        <v>675</v>
      </c>
    </row>
    <row r="544" spans="1:10">
      <c r="A544" s="101" t="s">
        <v>36</v>
      </c>
      <c r="B544" s="88" t="s">
        <v>243</v>
      </c>
      <c r="C544" s="102">
        <v>2014</v>
      </c>
      <c r="D544" s="103">
        <v>1601176315</v>
      </c>
      <c r="E544" s="103">
        <v>2246524232</v>
      </c>
      <c r="F544" s="103">
        <v>3280159250.6399999</v>
      </c>
      <c r="G544" s="103">
        <v>2266213798</v>
      </c>
      <c r="H544" s="105">
        <f t="shared" si="16"/>
        <v>9394073595.6399994</v>
      </c>
      <c r="I544" s="103">
        <v>73877458</v>
      </c>
      <c r="J544" s="109" t="s">
        <v>675</v>
      </c>
    </row>
    <row r="545" spans="1:11">
      <c r="A545" s="101" t="s">
        <v>36</v>
      </c>
      <c r="B545" s="88" t="s">
        <v>243</v>
      </c>
      <c r="C545" s="102">
        <v>2015</v>
      </c>
      <c r="D545" s="103">
        <v>1632403520</v>
      </c>
      <c r="E545" s="103">
        <v>2570165318</v>
      </c>
      <c r="F545" s="103">
        <v>3362859326</v>
      </c>
      <c r="G545" s="103">
        <v>2221043469</v>
      </c>
      <c r="H545" s="105">
        <f t="shared" si="16"/>
        <v>9786471633</v>
      </c>
      <c r="I545" s="103">
        <v>46784133</v>
      </c>
      <c r="J545" s="109" t="s">
        <v>675</v>
      </c>
    </row>
    <row r="546" spans="1:11">
      <c r="A546" s="101" t="s">
        <v>36</v>
      </c>
      <c r="B546" s="88" t="s">
        <v>243</v>
      </c>
      <c r="C546" s="102">
        <v>2016</v>
      </c>
      <c r="D546" s="103">
        <v>1694707062</v>
      </c>
      <c r="E546" s="103">
        <v>2673052441</v>
      </c>
      <c r="F546" s="103">
        <v>3496214759</v>
      </c>
      <c r="G546" s="103">
        <v>5479493641</v>
      </c>
      <c r="H546" s="105">
        <f t="shared" si="16"/>
        <v>13343467903</v>
      </c>
      <c r="I546" s="103">
        <v>20723716</v>
      </c>
      <c r="J546" s="109" t="s">
        <v>675</v>
      </c>
    </row>
    <row r="547" spans="1:11">
      <c r="A547" s="101" t="s">
        <v>36</v>
      </c>
      <c r="B547" s="88" t="s">
        <v>243</v>
      </c>
      <c r="C547" s="102">
        <v>2017</v>
      </c>
      <c r="D547" s="103">
        <v>1730961246</v>
      </c>
      <c r="E547" s="103">
        <v>2780429639</v>
      </c>
      <c r="F547" s="103">
        <v>3643736121.1199999</v>
      </c>
      <c r="G547" s="103">
        <v>5382533929</v>
      </c>
      <c r="H547" s="105">
        <f t="shared" si="16"/>
        <v>13537660935.119999</v>
      </c>
      <c r="I547" s="103">
        <v>70200503</v>
      </c>
      <c r="J547" s="109" t="s">
        <v>675</v>
      </c>
    </row>
    <row r="548" spans="1:11">
      <c r="A548" s="101" t="s">
        <v>36</v>
      </c>
      <c r="B548" s="88" t="s">
        <v>243</v>
      </c>
      <c r="C548" s="102">
        <v>2018</v>
      </c>
      <c r="D548" s="103">
        <v>1728813960</v>
      </c>
      <c r="E548" s="103">
        <v>3139732901</v>
      </c>
      <c r="F548" s="103">
        <v>4062514291.5599999</v>
      </c>
      <c r="G548" s="103">
        <v>1282390634</v>
      </c>
      <c r="H548" s="105">
        <f t="shared" si="16"/>
        <v>10213451786.559999</v>
      </c>
      <c r="I548" s="103">
        <v>39816700</v>
      </c>
      <c r="J548" s="109" t="s">
        <v>675</v>
      </c>
    </row>
    <row r="549" spans="1:11">
      <c r="A549" s="101" t="s">
        <v>36</v>
      </c>
      <c r="B549" s="88" t="s">
        <v>243</v>
      </c>
      <c r="C549" s="102">
        <v>2019</v>
      </c>
      <c r="D549" s="103">
        <v>1835908237</v>
      </c>
      <c r="E549" s="103">
        <v>4775342054</v>
      </c>
      <c r="F549" s="103">
        <v>4765334466.1027002</v>
      </c>
      <c r="G549" s="104">
        <v>-29503887</v>
      </c>
      <c r="H549" s="105">
        <f t="shared" si="16"/>
        <v>11347080870.102699</v>
      </c>
      <c r="I549" s="103">
        <v>58489661</v>
      </c>
      <c r="J549" s="111" t="s">
        <v>681</v>
      </c>
      <c r="K549" s="52" t="s">
        <v>677</v>
      </c>
    </row>
    <row r="550" spans="1:11">
      <c r="A550" s="101" t="s">
        <v>36</v>
      </c>
      <c r="B550" s="88" t="s">
        <v>243</v>
      </c>
      <c r="C550" s="102">
        <v>2020</v>
      </c>
      <c r="D550" s="103">
        <v>1856294656</v>
      </c>
      <c r="E550" s="103">
        <v>5295209182</v>
      </c>
      <c r="F550" s="103">
        <v>4757256826</v>
      </c>
      <c r="G550" s="103">
        <v>869798541</v>
      </c>
      <c r="H550" s="105">
        <f t="shared" si="16"/>
        <v>12778559205</v>
      </c>
      <c r="I550" s="103">
        <v>66385579</v>
      </c>
      <c r="J550" s="111" t="s">
        <v>678</v>
      </c>
    </row>
    <row r="551" spans="1:11">
      <c r="A551" s="101"/>
      <c r="B551" s="107"/>
      <c r="D551" s="104"/>
      <c r="E551" s="104"/>
      <c r="F551" s="104"/>
      <c r="G551" s="104"/>
      <c r="H551" s="105"/>
      <c r="I551" s="103"/>
      <c r="J551" s="109"/>
    </row>
    <row r="552" spans="1:11">
      <c r="A552" s="101" t="s">
        <v>38</v>
      </c>
      <c r="B552" s="88" t="s">
        <v>368</v>
      </c>
      <c r="C552" s="102">
        <v>1988</v>
      </c>
      <c r="D552" s="104">
        <v>639565767</v>
      </c>
      <c r="E552" s="104">
        <v>401514879</v>
      </c>
      <c r="F552" s="104">
        <v>974720100</v>
      </c>
      <c r="G552" s="104">
        <v>0</v>
      </c>
      <c r="H552" s="105">
        <f>SUM(D552:G552)</f>
        <v>2015800746</v>
      </c>
      <c r="I552" s="103">
        <v>0</v>
      </c>
      <c r="J552" s="109"/>
    </row>
    <row r="553" spans="1:11">
      <c r="A553" s="101" t="s">
        <v>38</v>
      </c>
      <c r="B553" s="88" t="s">
        <v>368</v>
      </c>
      <c r="C553" s="102">
        <v>1989</v>
      </c>
      <c r="D553" s="104">
        <v>608814887</v>
      </c>
      <c r="E553" s="104">
        <v>430035831</v>
      </c>
      <c r="F553" s="104">
        <v>1076232589</v>
      </c>
      <c r="G553" s="104">
        <v>0</v>
      </c>
      <c r="H553" s="105">
        <f t="shared" ref="H553:H584" si="17">SUM(D553:G553)</f>
        <v>2115083307</v>
      </c>
      <c r="I553" s="103">
        <v>0</v>
      </c>
      <c r="J553" s="109"/>
    </row>
    <row r="554" spans="1:11">
      <c r="A554" s="101" t="s">
        <v>38</v>
      </c>
      <c r="B554" s="88" t="s">
        <v>368</v>
      </c>
      <c r="C554" s="102">
        <v>1990</v>
      </c>
      <c r="D554" s="104">
        <v>656398552</v>
      </c>
      <c r="E554" s="104">
        <v>499031760.88</v>
      </c>
      <c r="F554" s="104">
        <v>1216654689</v>
      </c>
      <c r="G554" s="104">
        <v>0</v>
      </c>
      <c r="H554" s="105">
        <f t="shared" si="17"/>
        <v>2372085001.8800001</v>
      </c>
      <c r="I554" s="103">
        <v>0</v>
      </c>
      <c r="J554" s="109"/>
    </row>
    <row r="555" spans="1:11">
      <c r="A555" s="101" t="s">
        <v>38</v>
      </c>
      <c r="B555" s="88" t="s">
        <v>368</v>
      </c>
      <c r="C555" s="102">
        <v>1991</v>
      </c>
      <c r="D555" s="104">
        <v>681053616</v>
      </c>
      <c r="E555" s="104">
        <v>455310657</v>
      </c>
      <c r="F555" s="104">
        <v>1268847560</v>
      </c>
      <c r="G555" s="104">
        <v>0</v>
      </c>
      <c r="H555" s="105">
        <f t="shared" si="17"/>
        <v>2405211833</v>
      </c>
      <c r="I555" s="103">
        <v>0</v>
      </c>
      <c r="J555" s="109"/>
    </row>
    <row r="556" spans="1:11">
      <c r="A556" s="101" t="s">
        <v>38</v>
      </c>
      <c r="B556" s="88" t="s">
        <v>368</v>
      </c>
      <c r="C556" s="102">
        <v>1992</v>
      </c>
      <c r="D556" s="104">
        <v>763861799</v>
      </c>
      <c r="E556" s="104">
        <v>582216067.07999992</v>
      </c>
      <c r="F556" s="104">
        <v>1333789810</v>
      </c>
      <c r="G556" s="104">
        <v>0</v>
      </c>
      <c r="H556" s="105">
        <f t="shared" si="17"/>
        <v>2679867676.0799999</v>
      </c>
      <c r="I556" s="103">
        <v>0</v>
      </c>
      <c r="J556" s="109"/>
    </row>
    <row r="557" spans="1:11">
      <c r="A557" s="101" t="s">
        <v>38</v>
      </c>
      <c r="B557" s="88" t="s">
        <v>368</v>
      </c>
      <c r="C557" s="102">
        <v>1993</v>
      </c>
      <c r="D557" s="104">
        <v>786765266</v>
      </c>
      <c r="E557" s="104">
        <v>515434776</v>
      </c>
      <c r="F557" s="104">
        <v>1404106568</v>
      </c>
      <c r="G557" s="104">
        <v>0</v>
      </c>
      <c r="H557" s="105">
        <f t="shared" si="17"/>
        <v>2706306610</v>
      </c>
      <c r="I557" s="103">
        <v>0</v>
      </c>
      <c r="J557" s="109"/>
    </row>
    <row r="558" spans="1:11">
      <c r="A558" s="101" t="s">
        <v>38</v>
      </c>
      <c r="B558" s="88" t="s">
        <v>368</v>
      </c>
      <c r="C558" s="102">
        <v>1994</v>
      </c>
      <c r="D558" s="104">
        <v>861400497</v>
      </c>
      <c r="E558" s="104">
        <v>552545906</v>
      </c>
      <c r="F558" s="104">
        <v>1444474497</v>
      </c>
      <c r="G558" s="104">
        <v>0</v>
      </c>
      <c r="H558" s="105">
        <f t="shared" si="17"/>
        <v>2858420900</v>
      </c>
      <c r="I558" s="103">
        <v>0</v>
      </c>
      <c r="J558" s="109"/>
    </row>
    <row r="559" spans="1:11">
      <c r="A559" s="101" t="s">
        <v>38</v>
      </c>
      <c r="B559" s="88" t="s">
        <v>368</v>
      </c>
      <c r="C559" s="102">
        <v>1995</v>
      </c>
      <c r="D559" s="104">
        <v>843021220</v>
      </c>
      <c r="E559" s="104">
        <v>569854074</v>
      </c>
      <c r="F559" s="104">
        <v>1444104643</v>
      </c>
      <c r="G559" s="104">
        <v>0</v>
      </c>
      <c r="H559" s="105">
        <f t="shared" si="17"/>
        <v>2856979937</v>
      </c>
      <c r="I559" s="103">
        <v>0</v>
      </c>
      <c r="J559" s="109"/>
    </row>
    <row r="560" spans="1:11">
      <c r="A560" s="101" t="s">
        <v>38</v>
      </c>
      <c r="B560" s="88" t="s">
        <v>368</v>
      </c>
      <c r="C560" s="102">
        <v>1996</v>
      </c>
      <c r="D560" s="104">
        <v>853764235</v>
      </c>
      <c r="E560" s="104">
        <v>462524491</v>
      </c>
      <c r="F560" s="104">
        <v>1418049665</v>
      </c>
      <c r="G560" s="104">
        <v>0</v>
      </c>
      <c r="H560" s="105">
        <f t="shared" si="17"/>
        <v>2734338391</v>
      </c>
      <c r="I560" s="103">
        <v>0</v>
      </c>
      <c r="J560" s="109"/>
    </row>
    <row r="561" spans="1:10">
      <c r="A561" s="101" t="s">
        <v>38</v>
      </c>
      <c r="B561" s="88" t="s">
        <v>368</v>
      </c>
      <c r="C561" s="102">
        <v>1997</v>
      </c>
      <c r="D561" s="104">
        <v>795285017</v>
      </c>
      <c r="E561" s="104">
        <v>540931940</v>
      </c>
      <c r="F561" s="104">
        <v>1429894102</v>
      </c>
      <c r="G561" s="104">
        <v>0</v>
      </c>
      <c r="H561" s="105">
        <f t="shared" si="17"/>
        <v>2766111059</v>
      </c>
      <c r="I561" s="103">
        <v>0</v>
      </c>
      <c r="J561" s="109"/>
    </row>
    <row r="562" spans="1:10">
      <c r="A562" s="101" t="s">
        <v>38</v>
      </c>
      <c r="B562" s="88" t="s">
        <v>368</v>
      </c>
      <c r="C562" s="102">
        <v>1998</v>
      </c>
      <c r="D562" s="104">
        <v>819132462</v>
      </c>
      <c r="E562" s="104">
        <v>473659037</v>
      </c>
      <c r="F562" s="104">
        <v>1539514398</v>
      </c>
      <c r="G562" s="104">
        <v>0</v>
      </c>
      <c r="H562" s="105">
        <f t="shared" si="17"/>
        <v>2832305897</v>
      </c>
      <c r="I562" s="103">
        <v>0</v>
      </c>
      <c r="J562" s="109"/>
    </row>
    <row r="563" spans="1:10">
      <c r="A563" s="101" t="s">
        <v>38</v>
      </c>
      <c r="B563" s="88" t="s">
        <v>368</v>
      </c>
      <c r="C563" s="102">
        <v>1999</v>
      </c>
      <c r="D563" s="104">
        <v>795058466</v>
      </c>
      <c r="E563" s="104">
        <v>1349430275</v>
      </c>
      <c r="F563" s="104">
        <v>1629391488</v>
      </c>
      <c r="G563" s="104">
        <v>0</v>
      </c>
      <c r="H563" s="105">
        <f t="shared" si="17"/>
        <v>3773880229</v>
      </c>
      <c r="I563" s="103">
        <v>0</v>
      </c>
      <c r="J563" s="109"/>
    </row>
    <row r="564" spans="1:10">
      <c r="A564" s="101" t="s">
        <v>38</v>
      </c>
      <c r="B564" s="88" t="s">
        <v>368</v>
      </c>
      <c r="C564" s="102">
        <v>2000</v>
      </c>
      <c r="D564" s="104">
        <v>812902299</v>
      </c>
      <c r="E564" s="104">
        <v>935686521</v>
      </c>
      <c r="F564" s="104">
        <v>1705618511</v>
      </c>
      <c r="G564" s="104">
        <v>0</v>
      </c>
      <c r="H564" s="105">
        <f t="shared" si="17"/>
        <v>3454207331</v>
      </c>
      <c r="I564" s="103">
        <v>0</v>
      </c>
      <c r="J564" s="109"/>
    </row>
    <row r="565" spans="1:10">
      <c r="A565" s="101" t="s">
        <v>38</v>
      </c>
      <c r="B565" s="88" t="s">
        <v>368</v>
      </c>
      <c r="C565" s="102">
        <v>2001</v>
      </c>
      <c r="D565" s="104">
        <v>859584486</v>
      </c>
      <c r="E565" s="104">
        <v>948024058</v>
      </c>
      <c r="F565" s="104">
        <v>1896700056</v>
      </c>
      <c r="G565" s="104">
        <v>0</v>
      </c>
      <c r="H565" s="105">
        <f t="shared" si="17"/>
        <v>3704308600</v>
      </c>
      <c r="I565" s="103">
        <v>0</v>
      </c>
      <c r="J565" s="109"/>
    </row>
    <row r="566" spans="1:10">
      <c r="A566" s="101" t="s">
        <v>38</v>
      </c>
      <c r="B566" s="88" t="s">
        <v>368</v>
      </c>
      <c r="C566" s="102">
        <v>2002</v>
      </c>
      <c r="D566" s="104">
        <v>831889443</v>
      </c>
      <c r="E566" s="104">
        <v>1294896420</v>
      </c>
      <c r="F566" s="104">
        <v>2119794524</v>
      </c>
      <c r="G566" s="104">
        <v>0</v>
      </c>
      <c r="H566" s="105">
        <f t="shared" si="17"/>
        <v>4246580387</v>
      </c>
      <c r="I566" s="103">
        <v>0</v>
      </c>
      <c r="J566" s="109"/>
    </row>
    <row r="567" spans="1:10">
      <c r="A567" s="101" t="s">
        <v>38</v>
      </c>
      <c r="B567" s="88" t="s">
        <v>368</v>
      </c>
      <c r="C567" s="102">
        <v>2003</v>
      </c>
      <c r="D567" s="106">
        <v>932087251</v>
      </c>
      <c r="E567" s="106">
        <v>1119181316</v>
      </c>
      <c r="F567" s="106">
        <v>2328435351</v>
      </c>
      <c r="G567" s="104">
        <v>0</v>
      </c>
      <c r="H567" s="105">
        <f t="shared" si="17"/>
        <v>4379703918</v>
      </c>
      <c r="I567" s="103">
        <v>0</v>
      </c>
      <c r="J567" s="109"/>
    </row>
    <row r="568" spans="1:10">
      <c r="A568" s="101" t="s">
        <v>38</v>
      </c>
      <c r="B568" s="88" t="s">
        <v>368</v>
      </c>
      <c r="C568" s="102">
        <v>2004</v>
      </c>
      <c r="D568" s="106">
        <v>953944326</v>
      </c>
      <c r="E568" s="106">
        <v>1003319291</v>
      </c>
      <c r="F568" s="106">
        <v>2456484648</v>
      </c>
      <c r="G568" s="104">
        <v>0</v>
      </c>
      <c r="H568" s="105">
        <f t="shared" si="17"/>
        <v>4413748265</v>
      </c>
      <c r="I568" s="103">
        <v>0</v>
      </c>
      <c r="J568" s="109"/>
    </row>
    <row r="569" spans="1:10">
      <c r="A569" s="101" t="s">
        <v>38</v>
      </c>
      <c r="B569" s="88" t="s">
        <v>368</v>
      </c>
      <c r="C569" s="102">
        <v>2005</v>
      </c>
      <c r="D569" s="106">
        <v>976273182</v>
      </c>
      <c r="E569" s="106">
        <v>934981821</v>
      </c>
      <c r="F569" s="106">
        <v>2565149780.79</v>
      </c>
      <c r="G569" s="104">
        <v>0</v>
      </c>
      <c r="H569" s="105">
        <f t="shared" si="17"/>
        <v>4476404783.79</v>
      </c>
      <c r="I569" s="103">
        <v>0</v>
      </c>
      <c r="J569" s="109"/>
    </row>
    <row r="570" spans="1:10">
      <c r="A570" s="101" t="s">
        <v>38</v>
      </c>
      <c r="B570" s="88" t="s">
        <v>368</v>
      </c>
      <c r="C570" s="102">
        <v>2006</v>
      </c>
      <c r="D570" s="103">
        <v>1029692256</v>
      </c>
      <c r="E570" s="103">
        <v>933738653</v>
      </c>
      <c r="F570" s="103">
        <v>2841018009</v>
      </c>
      <c r="G570" s="104">
        <v>0</v>
      </c>
      <c r="H570" s="105">
        <f t="shared" si="17"/>
        <v>4804448918</v>
      </c>
      <c r="I570" s="103">
        <v>0</v>
      </c>
      <c r="J570" s="109"/>
    </row>
    <row r="571" spans="1:10">
      <c r="A571" s="101" t="s">
        <v>38</v>
      </c>
      <c r="B571" s="88" t="s">
        <v>368</v>
      </c>
      <c r="C571" s="102">
        <v>2007</v>
      </c>
      <c r="D571" s="103">
        <v>1047567830</v>
      </c>
      <c r="E571" s="103">
        <v>1364592010</v>
      </c>
      <c r="F571" s="103">
        <v>2984075561</v>
      </c>
      <c r="G571" s="103">
        <v>0</v>
      </c>
      <c r="H571" s="105">
        <f t="shared" si="17"/>
        <v>5396235401</v>
      </c>
      <c r="I571" s="103">
        <v>0</v>
      </c>
      <c r="J571" s="109"/>
    </row>
    <row r="572" spans="1:10">
      <c r="A572" s="101" t="s">
        <v>38</v>
      </c>
      <c r="B572" s="88" t="s">
        <v>368</v>
      </c>
      <c r="C572" s="102">
        <v>2008</v>
      </c>
      <c r="D572" s="103">
        <v>1043494903</v>
      </c>
      <c r="E572" s="103">
        <v>1449898398</v>
      </c>
      <c r="F572" s="103">
        <v>3128095209</v>
      </c>
      <c r="G572" s="103">
        <v>0</v>
      </c>
      <c r="H572" s="105">
        <f t="shared" si="17"/>
        <v>5621488510</v>
      </c>
      <c r="I572" s="103">
        <v>0</v>
      </c>
      <c r="J572" s="109"/>
    </row>
    <row r="573" spans="1:10">
      <c r="A573" s="101" t="s">
        <v>38</v>
      </c>
      <c r="B573" s="88" t="s">
        <v>368</v>
      </c>
      <c r="C573" s="102">
        <v>2009</v>
      </c>
      <c r="D573" s="103">
        <v>1135565677</v>
      </c>
      <c r="E573" s="103">
        <v>1391617049</v>
      </c>
      <c r="F573" s="103">
        <v>3362138626</v>
      </c>
      <c r="G573" s="103">
        <v>0</v>
      </c>
      <c r="H573" s="105">
        <f t="shared" si="17"/>
        <v>5889321352</v>
      </c>
      <c r="I573" s="103">
        <v>0</v>
      </c>
      <c r="J573" s="109"/>
    </row>
    <row r="574" spans="1:10">
      <c r="A574" s="101" t="s">
        <v>38</v>
      </c>
      <c r="B574" s="88" t="s">
        <v>368</v>
      </c>
      <c r="C574" s="102">
        <v>2010</v>
      </c>
      <c r="D574" s="103">
        <v>1150998442</v>
      </c>
      <c r="E574" s="103">
        <v>1365534348</v>
      </c>
      <c r="F574" s="103">
        <v>3442502907</v>
      </c>
      <c r="G574" s="103">
        <v>0</v>
      </c>
      <c r="H574" s="105">
        <f t="shared" si="17"/>
        <v>5959035697</v>
      </c>
      <c r="I574" s="103">
        <v>0</v>
      </c>
      <c r="J574" s="109"/>
    </row>
    <row r="575" spans="1:10">
      <c r="A575" s="101" t="s">
        <v>38</v>
      </c>
      <c r="B575" s="88" t="s">
        <v>368</v>
      </c>
      <c r="C575" s="102">
        <v>2011</v>
      </c>
      <c r="D575" s="103">
        <v>1228722059</v>
      </c>
      <c r="E575" s="103">
        <v>1360960701</v>
      </c>
      <c r="F575" s="103">
        <v>3403686174.5500002</v>
      </c>
      <c r="G575" s="103">
        <v>0</v>
      </c>
      <c r="H575" s="105">
        <f t="shared" si="17"/>
        <v>5993368934.5500002</v>
      </c>
      <c r="I575" s="103">
        <v>0</v>
      </c>
      <c r="J575" s="109"/>
    </row>
    <row r="576" spans="1:10">
      <c r="A576" s="101" t="s">
        <v>38</v>
      </c>
      <c r="B576" s="88" t="s">
        <v>368</v>
      </c>
      <c r="C576" s="102">
        <v>2012</v>
      </c>
      <c r="D576" s="103">
        <v>1259867856</v>
      </c>
      <c r="E576" s="103">
        <v>1446360585</v>
      </c>
      <c r="F576" s="103">
        <v>3426986109</v>
      </c>
      <c r="G576" s="103">
        <v>0</v>
      </c>
      <c r="H576" s="105">
        <f t="shared" si="17"/>
        <v>6133214550</v>
      </c>
      <c r="I576" s="103">
        <v>0</v>
      </c>
      <c r="J576" s="109"/>
    </row>
    <row r="577" spans="1:10">
      <c r="A577" s="101" t="s">
        <v>38</v>
      </c>
      <c r="B577" s="88" t="s">
        <v>368</v>
      </c>
      <c r="C577" s="102">
        <v>2013</v>
      </c>
      <c r="D577" s="103">
        <v>1248090426</v>
      </c>
      <c r="E577" s="103">
        <v>1388478638</v>
      </c>
      <c r="F577" s="103">
        <v>3325564629</v>
      </c>
      <c r="G577" s="103">
        <v>0</v>
      </c>
      <c r="H577" s="105">
        <f t="shared" si="17"/>
        <v>5962133693</v>
      </c>
      <c r="I577" s="103">
        <v>0</v>
      </c>
      <c r="J577" s="109"/>
    </row>
    <row r="578" spans="1:10">
      <c r="A578" s="101" t="s">
        <v>38</v>
      </c>
      <c r="B578" s="88" t="s">
        <v>368</v>
      </c>
      <c r="C578" s="102">
        <v>2014</v>
      </c>
      <c r="D578" s="103">
        <v>1277538319</v>
      </c>
      <c r="E578" s="103">
        <v>1423705412</v>
      </c>
      <c r="F578" s="103">
        <v>3164031832.5900002</v>
      </c>
      <c r="G578" s="103">
        <v>0</v>
      </c>
      <c r="H578" s="105">
        <f t="shared" si="17"/>
        <v>5865275563.5900002</v>
      </c>
      <c r="I578" s="103">
        <v>0</v>
      </c>
      <c r="J578" s="109"/>
    </row>
    <row r="579" spans="1:10">
      <c r="A579" s="101" t="s">
        <v>38</v>
      </c>
      <c r="B579" s="88" t="s">
        <v>368</v>
      </c>
      <c r="C579" s="102">
        <v>2015</v>
      </c>
      <c r="D579" s="103">
        <v>1384570264</v>
      </c>
      <c r="E579" s="103">
        <v>1867309307</v>
      </c>
      <c r="F579" s="103">
        <v>3258832099</v>
      </c>
      <c r="G579" s="103">
        <v>0</v>
      </c>
      <c r="H579" s="105">
        <f t="shared" si="17"/>
        <v>6510711670</v>
      </c>
      <c r="I579" s="103">
        <v>0</v>
      </c>
      <c r="J579" s="109"/>
    </row>
    <row r="580" spans="1:10">
      <c r="A580" s="101" t="s">
        <v>38</v>
      </c>
      <c r="B580" s="88" t="s">
        <v>368</v>
      </c>
      <c r="C580" s="102">
        <v>2016</v>
      </c>
      <c r="D580" s="103">
        <v>1357444995</v>
      </c>
      <c r="E580" s="103">
        <v>1619161001</v>
      </c>
      <c r="F580" s="103">
        <v>3117655198</v>
      </c>
      <c r="G580" s="103">
        <v>0</v>
      </c>
      <c r="H580" s="105">
        <f t="shared" si="17"/>
        <v>6094261194</v>
      </c>
      <c r="I580" s="103">
        <v>0</v>
      </c>
      <c r="J580" s="109"/>
    </row>
    <row r="581" spans="1:10">
      <c r="A581" s="101" t="s">
        <v>38</v>
      </c>
      <c r="B581" s="88" t="s">
        <v>368</v>
      </c>
      <c r="C581" s="102">
        <v>2017</v>
      </c>
      <c r="D581" s="103">
        <v>1341662334</v>
      </c>
      <c r="E581" s="103">
        <v>1639192301</v>
      </c>
      <c r="F581" s="103">
        <v>3151255024.46</v>
      </c>
      <c r="G581" s="103">
        <v>0</v>
      </c>
      <c r="H581" s="105">
        <f t="shared" si="17"/>
        <v>6132109659.46</v>
      </c>
      <c r="I581" s="103">
        <v>0</v>
      </c>
      <c r="J581" s="109"/>
    </row>
    <row r="582" spans="1:10">
      <c r="A582" s="101" t="s">
        <v>38</v>
      </c>
      <c r="B582" s="88" t="s">
        <v>368</v>
      </c>
      <c r="C582" s="102">
        <v>2018</v>
      </c>
      <c r="D582" s="103">
        <v>1339302234</v>
      </c>
      <c r="E582" s="103">
        <v>1816607134</v>
      </c>
      <c r="F582" s="103">
        <v>3720087694.1300001</v>
      </c>
      <c r="G582" s="103">
        <v>0</v>
      </c>
      <c r="H582" s="105">
        <f t="shared" si="17"/>
        <v>6875997062.1300001</v>
      </c>
      <c r="I582" s="103">
        <v>0</v>
      </c>
      <c r="J582" s="109"/>
    </row>
    <row r="583" spans="1:10">
      <c r="A583" s="101" t="s">
        <v>38</v>
      </c>
      <c r="B583" s="88" t="s">
        <v>368</v>
      </c>
      <c r="C583" s="102">
        <v>2019</v>
      </c>
      <c r="D583" s="103">
        <v>1370072952</v>
      </c>
      <c r="E583" s="103">
        <v>2029851023</v>
      </c>
      <c r="F583" s="103">
        <v>3798956168.4075999</v>
      </c>
      <c r="G583" s="103">
        <v>0</v>
      </c>
      <c r="H583" s="105">
        <f t="shared" si="17"/>
        <v>7198880143.4076004</v>
      </c>
      <c r="I583" s="103">
        <v>0</v>
      </c>
      <c r="J583" s="109"/>
    </row>
    <row r="584" spans="1:10">
      <c r="A584" s="101" t="s">
        <v>38</v>
      </c>
      <c r="B584" s="88" t="s">
        <v>368</v>
      </c>
      <c r="C584" s="102">
        <v>2020</v>
      </c>
      <c r="D584" s="103">
        <v>1427338700</v>
      </c>
      <c r="E584" s="103">
        <v>1839292043</v>
      </c>
      <c r="F584" s="103">
        <v>3832936997</v>
      </c>
      <c r="G584" s="103">
        <v>0</v>
      </c>
      <c r="H584" s="105">
        <f t="shared" si="17"/>
        <v>7099567740</v>
      </c>
      <c r="I584" s="103">
        <v>0</v>
      </c>
      <c r="J584" s="109"/>
    </row>
    <row r="585" spans="1:10">
      <c r="A585" s="101"/>
      <c r="B585" s="107"/>
      <c r="D585" s="104"/>
      <c r="E585" s="104"/>
      <c r="F585" s="104"/>
      <c r="G585" s="104"/>
      <c r="H585" s="103"/>
      <c r="I585" s="103"/>
      <c r="J585" s="109"/>
    </row>
    <row r="586" spans="1:10">
      <c r="A586" s="101" t="s">
        <v>40</v>
      </c>
      <c r="B586" s="88" t="s">
        <v>473</v>
      </c>
      <c r="C586" s="102">
        <v>1988</v>
      </c>
      <c r="D586" s="104">
        <v>652323525</v>
      </c>
      <c r="E586" s="104">
        <v>462752555</v>
      </c>
      <c r="F586" s="104">
        <v>1001179311</v>
      </c>
      <c r="G586" s="104">
        <v>0</v>
      </c>
      <c r="H586" s="105">
        <f>SUM(D586:G586)</f>
        <v>2116255391</v>
      </c>
      <c r="I586" s="103">
        <v>0</v>
      </c>
      <c r="J586" s="109"/>
    </row>
    <row r="587" spans="1:10">
      <c r="A587" s="101" t="s">
        <v>40</v>
      </c>
      <c r="B587" s="88" t="s">
        <v>473</v>
      </c>
      <c r="C587" s="102">
        <v>1989</v>
      </c>
      <c r="D587" s="104">
        <v>681252108</v>
      </c>
      <c r="E587" s="104">
        <v>402109921</v>
      </c>
      <c r="F587" s="104">
        <v>976169464</v>
      </c>
      <c r="G587" s="104">
        <v>0</v>
      </c>
      <c r="H587" s="105">
        <f t="shared" ref="H587:H618" si="18">SUM(D587:G587)</f>
        <v>2059531493</v>
      </c>
      <c r="I587" s="103">
        <v>0</v>
      </c>
      <c r="J587" s="109"/>
    </row>
    <row r="588" spans="1:10">
      <c r="A588" s="101" t="s">
        <v>40</v>
      </c>
      <c r="B588" s="88" t="s">
        <v>473</v>
      </c>
      <c r="C588" s="102">
        <v>1990</v>
      </c>
      <c r="D588" s="104">
        <v>702834652</v>
      </c>
      <c r="E588" s="104">
        <v>562093109.12</v>
      </c>
      <c r="F588" s="104">
        <v>1028577699</v>
      </c>
      <c r="G588" s="104">
        <v>0</v>
      </c>
      <c r="H588" s="105">
        <f t="shared" si="18"/>
        <v>2293505460.1199999</v>
      </c>
      <c r="I588" s="103">
        <v>0</v>
      </c>
      <c r="J588" s="109"/>
    </row>
    <row r="589" spans="1:10">
      <c r="A589" s="101" t="s">
        <v>40</v>
      </c>
      <c r="B589" s="88" t="s">
        <v>473</v>
      </c>
      <c r="C589" s="102">
        <v>1991</v>
      </c>
      <c r="D589" s="104">
        <v>804298095</v>
      </c>
      <c r="E589" s="104">
        <v>407490577</v>
      </c>
      <c r="F589" s="104">
        <v>1040899763</v>
      </c>
      <c r="G589" s="104">
        <v>0</v>
      </c>
      <c r="H589" s="105">
        <f t="shared" si="18"/>
        <v>2252688435</v>
      </c>
      <c r="I589" s="103">
        <v>0</v>
      </c>
      <c r="J589" s="109"/>
    </row>
    <row r="590" spans="1:10">
      <c r="A590" s="101" t="s">
        <v>40</v>
      </c>
      <c r="B590" s="88" t="s">
        <v>473</v>
      </c>
      <c r="C590" s="102">
        <v>1992</v>
      </c>
      <c r="D590" s="104">
        <v>863449882</v>
      </c>
      <c r="E590" s="104">
        <v>477039571.24000001</v>
      </c>
      <c r="F590" s="104">
        <v>1046400494</v>
      </c>
      <c r="G590" s="104">
        <v>0</v>
      </c>
      <c r="H590" s="105">
        <f t="shared" si="18"/>
        <v>2386889947.2399998</v>
      </c>
      <c r="I590" s="103">
        <v>0</v>
      </c>
      <c r="J590" s="109"/>
    </row>
    <row r="591" spans="1:10">
      <c r="A591" s="101" t="s">
        <v>40</v>
      </c>
      <c r="B591" s="88" t="s">
        <v>473</v>
      </c>
      <c r="C591" s="102">
        <v>1993</v>
      </c>
      <c r="D591" s="104">
        <v>981759182</v>
      </c>
      <c r="E591" s="104">
        <v>420968556</v>
      </c>
      <c r="F591" s="104">
        <v>731975034</v>
      </c>
      <c r="G591" s="104">
        <v>0</v>
      </c>
      <c r="H591" s="105">
        <f t="shared" si="18"/>
        <v>2134702772</v>
      </c>
      <c r="I591" s="103">
        <v>0</v>
      </c>
      <c r="J591" s="109"/>
    </row>
    <row r="592" spans="1:10">
      <c r="A592" s="101" t="s">
        <v>40</v>
      </c>
      <c r="B592" s="88" t="s">
        <v>473</v>
      </c>
      <c r="C592" s="102">
        <v>1994</v>
      </c>
      <c r="D592" s="104">
        <v>1041084278</v>
      </c>
      <c r="E592" s="104">
        <v>435895513</v>
      </c>
      <c r="F592" s="104">
        <v>754992840</v>
      </c>
      <c r="G592" s="104">
        <v>0</v>
      </c>
      <c r="H592" s="105">
        <f t="shared" si="18"/>
        <v>2231972631</v>
      </c>
      <c r="I592" s="103">
        <v>0</v>
      </c>
      <c r="J592" s="109"/>
    </row>
    <row r="593" spans="1:10">
      <c r="A593" s="101" t="s">
        <v>40</v>
      </c>
      <c r="B593" s="88" t="s">
        <v>473</v>
      </c>
      <c r="C593" s="102">
        <v>1995</v>
      </c>
      <c r="D593" s="104">
        <v>1118838559</v>
      </c>
      <c r="E593" s="104">
        <v>505290615</v>
      </c>
      <c r="F593" s="104">
        <v>775041380</v>
      </c>
      <c r="G593" s="104">
        <v>0</v>
      </c>
      <c r="H593" s="105">
        <f t="shared" si="18"/>
        <v>2399170554</v>
      </c>
      <c r="I593" s="103">
        <v>0</v>
      </c>
      <c r="J593" s="109"/>
    </row>
    <row r="594" spans="1:10">
      <c r="A594" s="101" t="s">
        <v>40</v>
      </c>
      <c r="B594" s="88" t="s">
        <v>473</v>
      </c>
      <c r="C594" s="102">
        <v>1996</v>
      </c>
      <c r="D594" s="104">
        <v>1048384540</v>
      </c>
      <c r="E594" s="104">
        <v>510101586</v>
      </c>
      <c r="F594" s="104">
        <v>731273244</v>
      </c>
      <c r="G594" s="104">
        <v>0</v>
      </c>
      <c r="H594" s="105">
        <f t="shared" si="18"/>
        <v>2289759370</v>
      </c>
      <c r="I594" s="103">
        <v>0</v>
      </c>
      <c r="J594" s="109"/>
    </row>
    <row r="595" spans="1:10">
      <c r="A595" s="101" t="s">
        <v>40</v>
      </c>
      <c r="B595" s="88" t="s">
        <v>473</v>
      </c>
      <c r="C595" s="102">
        <v>1997</v>
      </c>
      <c r="D595" s="104">
        <v>1036170128</v>
      </c>
      <c r="E595" s="104">
        <v>614634514</v>
      </c>
      <c r="F595" s="104">
        <v>698776603</v>
      </c>
      <c r="G595" s="104">
        <v>0</v>
      </c>
      <c r="H595" s="105">
        <f t="shared" si="18"/>
        <v>2349581245</v>
      </c>
      <c r="I595" s="103">
        <v>0</v>
      </c>
      <c r="J595" s="109"/>
    </row>
    <row r="596" spans="1:10">
      <c r="A596" s="101" t="s">
        <v>40</v>
      </c>
      <c r="B596" s="88" t="s">
        <v>473</v>
      </c>
      <c r="C596" s="102">
        <v>1998</v>
      </c>
      <c r="D596" s="104">
        <v>1016179966</v>
      </c>
      <c r="E596" s="104">
        <v>498080187</v>
      </c>
      <c r="F596" s="104">
        <v>837252702</v>
      </c>
      <c r="G596" s="104">
        <v>0</v>
      </c>
      <c r="H596" s="105">
        <f t="shared" si="18"/>
        <v>2351512855</v>
      </c>
      <c r="I596" s="103">
        <v>0</v>
      </c>
      <c r="J596" s="109"/>
    </row>
    <row r="597" spans="1:10">
      <c r="A597" s="101" t="s">
        <v>40</v>
      </c>
      <c r="B597" s="88" t="s">
        <v>473</v>
      </c>
      <c r="C597" s="102">
        <v>1999</v>
      </c>
      <c r="D597" s="104">
        <v>987288799</v>
      </c>
      <c r="E597" s="104">
        <v>709438478</v>
      </c>
      <c r="F597" s="104">
        <v>812187543</v>
      </c>
      <c r="G597" s="104">
        <v>0</v>
      </c>
      <c r="H597" s="105">
        <f t="shared" si="18"/>
        <v>2508914820</v>
      </c>
      <c r="I597" s="103">
        <v>0</v>
      </c>
      <c r="J597" s="109"/>
    </row>
    <row r="598" spans="1:10">
      <c r="A598" s="101" t="s">
        <v>40</v>
      </c>
      <c r="B598" s="88" t="s">
        <v>473</v>
      </c>
      <c r="C598" s="102">
        <v>2000</v>
      </c>
      <c r="D598" s="104">
        <v>1006135905</v>
      </c>
      <c r="E598" s="104">
        <v>670789512</v>
      </c>
      <c r="F598" s="104">
        <v>952658524</v>
      </c>
      <c r="G598" s="104">
        <v>0</v>
      </c>
      <c r="H598" s="105">
        <f t="shared" si="18"/>
        <v>2629583941</v>
      </c>
      <c r="I598" s="103">
        <v>0</v>
      </c>
      <c r="J598" s="109"/>
    </row>
    <row r="599" spans="1:10">
      <c r="A599" s="101" t="s">
        <v>40</v>
      </c>
      <c r="B599" s="88" t="s">
        <v>473</v>
      </c>
      <c r="C599" s="102">
        <v>2001</v>
      </c>
      <c r="D599" s="104">
        <v>1034106318</v>
      </c>
      <c r="E599" s="104">
        <v>1286370885</v>
      </c>
      <c r="F599" s="104">
        <v>999827130</v>
      </c>
      <c r="G599" s="104">
        <v>0</v>
      </c>
      <c r="H599" s="105">
        <f t="shared" si="18"/>
        <v>3320304333</v>
      </c>
      <c r="I599" s="103">
        <v>0</v>
      </c>
      <c r="J599" s="109"/>
    </row>
    <row r="600" spans="1:10">
      <c r="A600" s="101" t="s">
        <v>40</v>
      </c>
      <c r="B600" s="88" t="s">
        <v>473</v>
      </c>
      <c r="C600" s="102">
        <v>2002</v>
      </c>
      <c r="D600" s="104">
        <v>1073349608</v>
      </c>
      <c r="E600" s="104">
        <v>1410082719</v>
      </c>
      <c r="F600" s="104">
        <v>898097907</v>
      </c>
      <c r="G600" s="104">
        <v>0</v>
      </c>
      <c r="H600" s="105">
        <f t="shared" si="18"/>
        <v>3381530234</v>
      </c>
      <c r="I600" s="103">
        <v>0</v>
      </c>
      <c r="J600" s="109"/>
    </row>
    <row r="601" spans="1:10">
      <c r="A601" s="101" t="s">
        <v>40</v>
      </c>
      <c r="B601" s="88" t="s">
        <v>473</v>
      </c>
      <c r="C601" s="102">
        <v>2003</v>
      </c>
      <c r="D601" s="106">
        <v>1141455141</v>
      </c>
      <c r="E601" s="106">
        <v>1328408034</v>
      </c>
      <c r="F601" s="106">
        <v>936642768</v>
      </c>
      <c r="G601" s="104">
        <v>0</v>
      </c>
      <c r="H601" s="105">
        <f t="shared" si="18"/>
        <v>3406505943</v>
      </c>
      <c r="I601" s="103">
        <v>0</v>
      </c>
      <c r="J601" s="109"/>
    </row>
    <row r="602" spans="1:10">
      <c r="A602" s="101" t="s">
        <v>40</v>
      </c>
      <c r="B602" s="88" t="s">
        <v>473</v>
      </c>
      <c r="C602" s="102">
        <v>2004</v>
      </c>
      <c r="D602" s="106">
        <v>1107634880</v>
      </c>
      <c r="E602" s="106">
        <v>1170347703</v>
      </c>
      <c r="F602" s="106">
        <v>968547951</v>
      </c>
      <c r="G602" s="104">
        <v>0</v>
      </c>
      <c r="H602" s="105">
        <f t="shared" si="18"/>
        <v>3246530534</v>
      </c>
      <c r="I602" s="103">
        <v>0</v>
      </c>
      <c r="J602" s="109"/>
    </row>
    <row r="603" spans="1:10">
      <c r="A603" s="101" t="s">
        <v>40</v>
      </c>
      <c r="B603" s="88" t="s">
        <v>473</v>
      </c>
      <c r="C603" s="102">
        <v>2005</v>
      </c>
      <c r="D603" s="106">
        <v>1110285158</v>
      </c>
      <c r="E603" s="106">
        <v>1099669233</v>
      </c>
      <c r="F603" s="106">
        <v>1283024515.95</v>
      </c>
      <c r="G603" s="104">
        <v>0</v>
      </c>
      <c r="H603" s="105">
        <f t="shared" si="18"/>
        <v>3492978906.9499998</v>
      </c>
      <c r="I603" s="103">
        <v>0</v>
      </c>
      <c r="J603" s="109"/>
    </row>
    <row r="604" spans="1:10">
      <c r="A604" s="101" t="s">
        <v>40</v>
      </c>
      <c r="B604" s="88" t="s">
        <v>473</v>
      </c>
      <c r="C604" s="102">
        <v>2006</v>
      </c>
      <c r="D604" s="103">
        <v>1163221523</v>
      </c>
      <c r="E604" s="103">
        <v>1247202232</v>
      </c>
      <c r="F604" s="103">
        <v>1286015510</v>
      </c>
      <c r="G604" s="103">
        <v>0</v>
      </c>
      <c r="H604" s="105">
        <f t="shared" si="18"/>
        <v>3696439265</v>
      </c>
      <c r="I604" s="103">
        <v>0</v>
      </c>
      <c r="J604" s="109"/>
    </row>
    <row r="605" spans="1:10">
      <c r="A605" s="101" t="s">
        <v>40</v>
      </c>
      <c r="B605" s="88" t="s">
        <v>473</v>
      </c>
      <c r="C605" s="102">
        <v>2007</v>
      </c>
      <c r="D605" s="103">
        <v>1243919628</v>
      </c>
      <c r="E605" s="103">
        <v>1232775015</v>
      </c>
      <c r="F605" s="103">
        <v>1544414075</v>
      </c>
      <c r="G605" s="103">
        <v>0</v>
      </c>
      <c r="H605" s="105">
        <f t="shared" si="18"/>
        <v>4021108718</v>
      </c>
      <c r="I605" s="103">
        <v>0</v>
      </c>
      <c r="J605" s="109"/>
    </row>
    <row r="606" spans="1:10">
      <c r="A606" s="101" t="s">
        <v>40</v>
      </c>
      <c r="B606" s="88" t="s">
        <v>473</v>
      </c>
      <c r="C606" s="102">
        <v>2008</v>
      </c>
      <c r="D606" s="103">
        <v>1257367964</v>
      </c>
      <c r="E606" s="103">
        <v>1833788112</v>
      </c>
      <c r="F606" s="103">
        <v>1553840626</v>
      </c>
      <c r="G606" s="103">
        <v>0</v>
      </c>
      <c r="H606" s="105">
        <f t="shared" si="18"/>
        <v>4644996702</v>
      </c>
      <c r="I606" s="103">
        <v>0</v>
      </c>
      <c r="J606" s="109"/>
    </row>
    <row r="607" spans="1:10">
      <c r="A607" s="101" t="s">
        <v>40</v>
      </c>
      <c r="B607" s="88" t="s">
        <v>473</v>
      </c>
      <c r="C607" s="102">
        <v>2009</v>
      </c>
      <c r="D607" s="103">
        <v>1345992502</v>
      </c>
      <c r="E607" s="103">
        <v>1706872729</v>
      </c>
      <c r="F607" s="103">
        <v>1462517156</v>
      </c>
      <c r="G607" s="103">
        <v>0</v>
      </c>
      <c r="H607" s="105">
        <f t="shared" si="18"/>
        <v>4515382387</v>
      </c>
      <c r="I607" s="103">
        <v>0</v>
      </c>
      <c r="J607" s="109"/>
    </row>
    <row r="608" spans="1:10">
      <c r="A608" s="101" t="s">
        <v>40</v>
      </c>
      <c r="B608" s="88" t="s">
        <v>473</v>
      </c>
      <c r="C608" s="102">
        <v>2010</v>
      </c>
      <c r="D608" s="103">
        <v>1394249614</v>
      </c>
      <c r="E608" s="103">
        <v>1399366794</v>
      </c>
      <c r="F608" s="106">
        <v>1669040768</v>
      </c>
      <c r="G608" s="103">
        <v>0</v>
      </c>
      <c r="H608" s="105">
        <f t="shared" si="18"/>
        <v>4462657176</v>
      </c>
      <c r="I608" s="103">
        <v>0</v>
      </c>
      <c r="J608" s="109"/>
    </row>
    <row r="609" spans="1:11">
      <c r="A609" s="101" t="s">
        <v>40</v>
      </c>
      <c r="B609" s="88" t="s">
        <v>473</v>
      </c>
      <c r="C609" s="102">
        <v>2011</v>
      </c>
      <c r="D609" s="103">
        <v>1424784306</v>
      </c>
      <c r="E609" s="103">
        <v>1456098579</v>
      </c>
      <c r="F609" s="106">
        <v>1544028048.6199999</v>
      </c>
      <c r="G609" s="103">
        <v>-4</v>
      </c>
      <c r="H609" s="105">
        <f t="shared" si="18"/>
        <v>4424910929.6199999</v>
      </c>
      <c r="I609" s="103">
        <v>0</v>
      </c>
      <c r="J609" s="109"/>
    </row>
    <row r="610" spans="1:11">
      <c r="A610" s="101" t="s">
        <v>40</v>
      </c>
      <c r="B610" s="88" t="s">
        <v>473</v>
      </c>
      <c r="C610" s="102">
        <v>2012</v>
      </c>
      <c r="D610" s="103">
        <v>1486455080</v>
      </c>
      <c r="E610" s="103">
        <v>1464591691</v>
      </c>
      <c r="F610" s="106">
        <v>1452641858</v>
      </c>
      <c r="G610" s="103">
        <v>0</v>
      </c>
      <c r="H610" s="105">
        <f t="shared" si="18"/>
        <v>4403688629</v>
      </c>
      <c r="I610" s="103">
        <v>0</v>
      </c>
      <c r="J610" s="109"/>
    </row>
    <row r="611" spans="1:11">
      <c r="A611" s="101" t="s">
        <v>40</v>
      </c>
      <c r="B611" s="88" t="s">
        <v>473</v>
      </c>
      <c r="C611" s="102">
        <v>2013</v>
      </c>
      <c r="D611" s="103">
        <v>1502151387</v>
      </c>
      <c r="E611" s="103">
        <v>1632274368</v>
      </c>
      <c r="F611" s="106">
        <v>1374009097</v>
      </c>
      <c r="G611" s="103">
        <v>0</v>
      </c>
      <c r="H611" s="105">
        <f t="shared" si="18"/>
        <v>4508434852</v>
      </c>
      <c r="I611" s="103">
        <v>0</v>
      </c>
      <c r="J611" s="109"/>
    </row>
    <row r="612" spans="1:11">
      <c r="A612" s="101" t="s">
        <v>40</v>
      </c>
      <c r="B612" s="88" t="s">
        <v>473</v>
      </c>
      <c r="C612" s="102">
        <v>2014</v>
      </c>
      <c r="D612" s="103">
        <v>1497797543</v>
      </c>
      <c r="E612" s="103">
        <v>1599690775</v>
      </c>
      <c r="F612" s="106">
        <v>1534732963.3000002</v>
      </c>
      <c r="G612" s="103">
        <v>0</v>
      </c>
      <c r="H612" s="105">
        <f t="shared" si="18"/>
        <v>4632221281.3000002</v>
      </c>
      <c r="I612" s="103">
        <v>0</v>
      </c>
      <c r="J612" s="109"/>
    </row>
    <row r="613" spans="1:11">
      <c r="A613" s="101" t="s">
        <v>40</v>
      </c>
      <c r="B613" s="88" t="s">
        <v>473</v>
      </c>
      <c r="C613" s="102">
        <v>2015</v>
      </c>
      <c r="D613" s="103">
        <v>1500646216</v>
      </c>
      <c r="E613" s="103">
        <v>1803179607</v>
      </c>
      <c r="F613" s="106">
        <v>1327295134</v>
      </c>
      <c r="G613" s="103">
        <v>0</v>
      </c>
      <c r="H613" s="105">
        <f t="shared" si="18"/>
        <v>4631120957</v>
      </c>
      <c r="I613" s="103">
        <v>0</v>
      </c>
      <c r="J613" s="109"/>
    </row>
    <row r="614" spans="1:11">
      <c r="A614" s="101" t="s">
        <v>40</v>
      </c>
      <c r="B614" s="88" t="s">
        <v>473</v>
      </c>
      <c r="C614" s="102">
        <v>2016</v>
      </c>
      <c r="D614" s="103">
        <v>1568121815</v>
      </c>
      <c r="E614" s="103">
        <v>2007957335</v>
      </c>
      <c r="F614" s="103">
        <v>1371595275</v>
      </c>
      <c r="G614" s="103">
        <v>0</v>
      </c>
      <c r="H614" s="105">
        <f t="shared" si="18"/>
        <v>4947674425</v>
      </c>
      <c r="I614" s="103">
        <v>0</v>
      </c>
      <c r="J614" s="109"/>
    </row>
    <row r="615" spans="1:11">
      <c r="A615" s="101" t="s">
        <v>40</v>
      </c>
      <c r="B615" s="88" t="s">
        <v>473</v>
      </c>
      <c r="C615" s="102">
        <v>2017</v>
      </c>
      <c r="D615" s="103">
        <v>1588059038</v>
      </c>
      <c r="E615" s="103">
        <v>2286474706</v>
      </c>
      <c r="F615" s="103">
        <v>1406756599.0900002</v>
      </c>
      <c r="G615" s="103">
        <v>0</v>
      </c>
      <c r="H615" s="105">
        <f t="shared" si="18"/>
        <v>5281290343.0900002</v>
      </c>
      <c r="I615" s="103">
        <v>0</v>
      </c>
      <c r="J615" s="109"/>
    </row>
    <row r="616" spans="1:11">
      <c r="A616" s="101" t="s">
        <v>40</v>
      </c>
      <c r="B616" s="88" t="s">
        <v>473</v>
      </c>
      <c r="C616" s="102">
        <v>2018</v>
      </c>
      <c r="D616" s="103">
        <v>1621556566</v>
      </c>
      <c r="E616" s="103">
        <v>2211928701</v>
      </c>
      <c r="F616" s="103">
        <v>1424515424.01</v>
      </c>
      <c r="G616" s="103">
        <v>0</v>
      </c>
      <c r="H616" s="105">
        <f t="shared" si="18"/>
        <v>5258000691.0100002</v>
      </c>
      <c r="I616" s="103">
        <v>0</v>
      </c>
      <c r="J616" s="109"/>
    </row>
    <row r="617" spans="1:11">
      <c r="A617" s="101" t="s">
        <v>40</v>
      </c>
      <c r="B617" s="88" t="s">
        <v>473</v>
      </c>
      <c r="C617" s="102">
        <v>2019</v>
      </c>
      <c r="D617" s="103">
        <v>1672262323</v>
      </c>
      <c r="E617" s="103">
        <v>2390812185</v>
      </c>
      <c r="F617" s="103">
        <v>4318348757.3038998</v>
      </c>
      <c r="G617" s="103">
        <v>0</v>
      </c>
      <c r="H617" s="105">
        <f t="shared" si="18"/>
        <v>8381423265.3038998</v>
      </c>
      <c r="I617" s="103">
        <v>0</v>
      </c>
      <c r="J617" s="109" t="s">
        <v>689</v>
      </c>
      <c r="K617" s="52" t="s">
        <v>677</v>
      </c>
    </row>
    <row r="618" spans="1:11">
      <c r="A618" s="101" t="s">
        <v>40</v>
      </c>
      <c r="B618" s="88" t="s">
        <v>473</v>
      </c>
      <c r="C618" s="102">
        <v>2020</v>
      </c>
      <c r="D618" s="103">
        <v>1664027433</v>
      </c>
      <c r="E618" s="103">
        <v>2502154084</v>
      </c>
      <c r="F618" s="103">
        <v>4301091095</v>
      </c>
      <c r="G618" s="103">
        <v>0</v>
      </c>
      <c r="H618" s="105">
        <f t="shared" si="18"/>
        <v>8467272612</v>
      </c>
      <c r="I618" s="103">
        <v>0</v>
      </c>
      <c r="J618" s="109" t="s">
        <v>680</v>
      </c>
    </row>
    <row r="619" spans="1:11">
      <c r="A619" s="101"/>
      <c r="B619" s="107"/>
      <c r="D619" s="104"/>
      <c r="E619" s="104"/>
      <c r="F619" s="104"/>
      <c r="G619" s="104"/>
      <c r="H619" s="103"/>
      <c r="I619" s="103"/>
      <c r="J619" s="109"/>
    </row>
    <row r="620" spans="1:11">
      <c r="A620" s="101" t="s">
        <v>42</v>
      </c>
      <c r="B620" s="88" t="s">
        <v>494</v>
      </c>
      <c r="C620" s="102">
        <v>1988</v>
      </c>
      <c r="D620" s="104">
        <v>1061394381</v>
      </c>
      <c r="E620" s="104">
        <v>574031109</v>
      </c>
      <c r="F620" s="104">
        <v>877000957</v>
      </c>
      <c r="G620" s="104">
        <v>0</v>
      </c>
      <c r="H620" s="105">
        <f>SUM(D620:G620)</f>
        <v>2512426447</v>
      </c>
      <c r="I620" s="103">
        <v>23113640</v>
      </c>
      <c r="J620" s="109" t="s">
        <v>690</v>
      </c>
    </row>
    <row r="621" spans="1:11">
      <c r="A621" s="101" t="s">
        <v>42</v>
      </c>
      <c r="B621" s="88" t="s">
        <v>494</v>
      </c>
      <c r="C621" s="102">
        <v>1989</v>
      </c>
      <c r="D621" s="104">
        <v>996849752</v>
      </c>
      <c r="E621" s="104">
        <v>588924864</v>
      </c>
      <c r="F621" s="104">
        <v>928692389</v>
      </c>
      <c r="G621" s="104">
        <v>0</v>
      </c>
      <c r="H621" s="105">
        <f t="shared" ref="H621:H652" si="19">SUM(D621:G621)</f>
        <v>2514467005</v>
      </c>
      <c r="I621" s="103">
        <v>23892225</v>
      </c>
      <c r="J621" s="109" t="s">
        <v>690</v>
      </c>
    </row>
    <row r="622" spans="1:11">
      <c r="A622" s="101" t="s">
        <v>42</v>
      </c>
      <c r="B622" s="88" t="s">
        <v>494</v>
      </c>
      <c r="C622" s="102">
        <v>1990</v>
      </c>
      <c r="D622" s="104">
        <v>1018057956</v>
      </c>
      <c r="E622" s="104">
        <v>603881729.79999995</v>
      </c>
      <c r="F622" s="104">
        <v>1036157963</v>
      </c>
      <c r="G622" s="104">
        <v>0</v>
      </c>
      <c r="H622" s="105">
        <f t="shared" si="19"/>
        <v>2658097648.8000002</v>
      </c>
      <c r="I622" s="103">
        <v>26985446</v>
      </c>
      <c r="J622" s="109" t="s">
        <v>690</v>
      </c>
    </row>
    <row r="623" spans="1:11">
      <c r="A623" s="101" t="s">
        <v>42</v>
      </c>
      <c r="B623" s="88" t="s">
        <v>494</v>
      </c>
      <c r="C623" s="102">
        <v>1991</v>
      </c>
      <c r="D623" s="104">
        <v>1121317153</v>
      </c>
      <c r="E623" s="104">
        <v>645602985</v>
      </c>
      <c r="F623" s="104">
        <v>1098008110</v>
      </c>
      <c r="G623" s="104">
        <v>0</v>
      </c>
      <c r="H623" s="105">
        <f t="shared" si="19"/>
        <v>2864928248</v>
      </c>
      <c r="I623" s="103">
        <v>33959803</v>
      </c>
      <c r="J623" s="109" t="s">
        <v>690</v>
      </c>
    </row>
    <row r="624" spans="1:11">
      <c r="A624" s="101" t="s">
        <v>42</v>
      </c>
      <c r="B624" s="88" t="s">
        <v>494</v>
      </c>
      <c r="C624" s="102">
        <v>1992</v>
      </c>
      <c r="D624" s="104">
        <v>1178793531</v>
      </c>
      <c r="E624" s="104">
        <v>633048563.60000002</v>
      </c>
      <c r="F624" s="104">
        <v>1138258377</v>
      </c>
      <c r="G624" s="104">
        <v>0</v>
      </c>
      <c r="H624" s="105">
        <f t="shared" si="19"/>
        <v>2950100471.5999999</v>
      </c>
      <c r="I624" s="103">
        <v>43120758</v>
      </c>
      <c r="J624" s="109" t="s">
        <v>690</v>
      </c>
    </row>
    <row r="625" spans="1:10">
      <c r="A625" s="101" t="s">
        <v>42</v>
      </c>
      <c r="B625" s="88" t="s">
        <v>494</v>
      </c>
      <c r="C625" s="102">
        <v>1993</v>
      </c>
      <c r="D625" s="104">
        <v>1248764898</v>
      </c>
      <c r="E625" s="104">
        <v>539042938</v>
      </c>
      <c r="F625" s="104">
        <v>1605901669</v>
      </c>
      <c r="G625" s="104">
        <v>0</v>
      </c>
      <c r="H625" s="105">
        <f t="shared" si="19"/>
        <v>3393709505</v>
      </c>
      <c r="I625" s="103">
        <v>41233215</v>
      </c>
      <c r="J625" s="109" t="s">
        <v>690</v>
      </c>
    </row>
    <row r="626" spans="1:10">
      <c r="A626" s="101" t="s">
        <v>42</v>
      </c>
      <c r="B626" s="88" t="s">
        <v>494</v>
      </c>
      <c r="C626" s="102">
        <v>1994</v>
      </c>
      <c r="D626" s="104">
        <v>1300073287</v>
      </c>
      <c r="E626" s="104">
        <v>723268656</v>
      </c>
      <c r="F626" s="104">
        <v>1463024597</v>
      </c>
      <c r="G626" s="104">
        <v>0</v>
      </c>
      <c r="H626" s="105">
        <f t="shared" si="19"/>
        <v>3486366540</v>
      </c>
      <c r="I626" s="103">
        <v>44926928</v>
      </c>
      <c r="J626" s="109" t="s">
        <v>690</v>
      </c>
    </row>
    <row r="627" spans="1:10">
      <c r="A627" s="101" t="s">
        <v>42</v>
      </c>
      <c r="B627" s="88" t="s">
        <v>494</v>
      </c>
      <c r="C627" s="102">
        <v>1995</v>
      </c>
      <c r="D627" s="104">
        <v>1379843512</v>
      </c>
      <c r="E627" s="104">
        <v>716707593</v>
      </c>
      <c r="F627" s="104">
        <v>1458342180</v>
      </c>
      <c r="G627" s="104">
        <v>0</v>
      </c>
      <c r="H627" s="105">
        <f t="shared" si="19"/>
        <v>3554893285</v>
      </c>
      <c r="I627" s="103">
        <v>55557500</v>
      </c>
      <c r="J627" s="109" t="s">
        <v>690</v>
      </c>
    </row>
    <row r="628" spans="1:10">
      <c r="A628" s="101" t="s">
        <v>42</v>
      </c>
      <c r="B628" s="88" t="s">
        <v>494</v>
      </c>
      <c r="C628" s="102">
        <v>1996</v>
      </c>
      <c r="D628" s="104">
        <v>1339112500</v>
      </c>
      <c r="E628" s="104">
        <v>642737918</v>
      </c>
      <c r="F628" s="104">
        <v>1448410476</v>
      </c>
      <c r="G628" s="104">
        <v>0</v>
      </c>
      <c r="H628" s="105">
        <f t="shared" si="19"/>
        <v>3430260894</v>
      </c>
      <c r="I628" s="103">
        <v>44304022</v>
      </c>
      <c r="J628" s="109" t="s">
        <v>690</v>
      </c>
    </row>
    <row r="629" spans="1:10">
      <c r="A629" s="101" t="s">
        <v>42</v>
      </c>
      <c r="B629" s="88" t="s">
        <v>494</v>
      </c>
      <c r="C629" s="102">
        <v>1997</v>
      </c>
      <c r="D629" s="104">
        <v>1300752300</v>
      </c>
      <c r="E629" s="104">
        <v>807107035</v>
      </c>
      <c r="F629" s="104">
        <v>1433423516</v>
      </c>
      <c r="G629" s="104">
        <v>0</v>
      </c>
      <c r="H629" s="105">
        <f t="shared" si="19"/>
        <v>3541282851</v>
      </c>
      <c r="I629" s="103">
        <v>56147744</v>
      </c>
      <c r="J629" s="109" t="s">
        <v>690</v>
      </c>
    </row>
    <row r="630" spans="1:10">
      <c r="A630" s="101" t="s">
        <v>42</v>
      </c>
      <c r="B630" s="88" t="s">
        <v>494</v>
      </c>
      <c r="C630" s="102">
        <v>1998</v>
      </c>
      <c r="D630" s="104">
        <v>1309920109</v>
      </c>
      <c r="E630" s="104">
        <v>694905543</v>
      </c>
      <c r="F630" s="104">
        <v>1478605295</v>
      </c>
      <c r="G630" s="104">
        <v>0</v>
      </c>
      <c r="H630" s="105">
        <f t="shared" si="19"/>
        <v>3483430947</v>
      </c>
      <c r="I630" s="103">
        <v>47810828</v>
      </c>
      <c r="J630" s="109" t="s">
        <v>690</v>
      </c>
    </row>
    <row r="631" spans="1:10">
      <c r="A631" s="101" t="s">
        <v>42</v>
      </c>
      <c r="B631" s="88" t="s">
        <v>494</v>
      </c>
      <c r="C631" s="102">
        <v>1999</v>
      </c>
      <c r="D631" s="104">
        <v>1337413680</v>
      </c>
      <c r="E631" s="104">
        <v>1000942545</v>
      </c>
      <c r="F631" s="104">
        <v>1503860088</v>
      </c>
      <c r="G631" s="104">
        <v>0</v>
      </c>
      <c r="H631" s="105">
        <f t="shared" si="19"/>
        <v>3842216313</v>
      </c>
      <c r="I631" s="103">
        <v>44644228</v>
      </c>
      <c r="J631" s="109" t="s">
        <v>690</v>
      </c>
    </row>
    <row r="632" spans="1:10">
      <c r="A632" s="101" t="s">
        <v>42</v>
      </c>
      <c r="B632" s="88" t="s">
        <v>494</v>
      </c>
      <c r="C632" s="102">
        <v>2000</v>
      </c>
      <c r="D632" s="104">
        <v>1325312652</v>
      </c>
      <c r="E632" s="104">
        <v>1111178644</v>
      </c>
      <c r="F632" s="104">
        <v>1588295172</v>
      </c>
      <c r="G632" s="104">
        <v>0</v>
      </c>
      <c r="H632" s="105">
        <f t="shared" si="19"/>
        <v>4024786468</v>
      </c>
      <c r="I632" s="103">
        <v>64531917</v>
      </c>
      <c r="J632" s="109" t="s">
        <v>690</v>
      </c>
    </row>
    <row r="633" spans="1:10">
      <c r="A633" s="101" t="s">
        <v>42</v>
      </c>
      <c r="B633" s="88" t="s">
        <v>494</v>
      </c>
      <c r="C633" s="102">
        <v>2001</v>
      </c>
      <c r="D633" s="104">
        <v>1416242656</v>
      </c>
      <c r="E633" s="104">
        <v>1539052777.52</v>
      </c>
      <c r="F633" s="104">
        <v>1735600327</v>
      </c>
      <c r="G633" s="104">
        <v>0</v>
      </c>
      <c r="H633" s="105">
        <f t="shared" si="19"/>
        <v>4690895760.5200005</v>
      </c>
      <c r="I633" s="103">
        <v>40291410</v>
      </c>
      <c r="J633" s="109" t="s">
        <v>690</v>
      </c>
    </row>
    <row r="634" spans="1:10">
      <c r="A634" s="101" t="s">
        <v>42</v>
      </c>
      <c r="B634" s="88" t="s">
        <v>494</v>
      </c>
      <c r="C634" s="102">
        <v>2002</v>
      </c>
      <c r="D634" s="104">
        <v>1456002060</v>
      </c>
      <c r="E634" s="104">
        <v>2062519014</v>
      </c>
      <c r="F634" s="104">
        <v>1917295335</v>
      </c>
      <c r="G634" s="104">
        <v>0</v>
      </c>
      <c r="H634" s="105">
        <f t="shared" si="19"/>
        <v>5435816409</v>
      </c>
      <c r="I634" s="103">
        <v>58279507</v>
      </c>
      <c r="J634" s="109" t="s">
        <v>690</v>
      </c>
    </row>
    <row r="635" spans="1:10">
      <c r="A635" s="101" t="s">
        <v>42</v>
      </c>
      <c r="B635" s="88" t="s">
        <v>494</v>
      </c>
      <c r="C635" s="102">
        <v>2003</v>
      </c>
      <c r="D635" s="106">
        <v>1524822170</v>
      </c>
      <c r="E635" s="106">
        <v>1800991553</v>
      </c>
      <c r="F635" s="106">
        <v>2153187282</v>
      </c>
      <c r="G635" s="104">
        <v>0</v>
      </c>
      <c r="H635" s="105">
        <f t="shared" si="19"/>
        <v>5479001005</v>
      </c>
      <c r="I635" s="103">
        <v>59892340</v>
      </c>
      <c r="J635" s="109" t="s">
        <v>690</v>
      </c>
    </row>
    <row r="636" spans="1:10">
      <c r="A636" s="101" t="s">
        <v>42</v>
      </c>
      <c r="B636" s="88" t="s">
        <v>494</v>
      </c>
      <c r="C636" s="102">
        <v>2004</v>
      </c>
      <c r="D636" s="106">
        <v>1578036517</v>
      </c>
      <c r="E636" s="106">
        <v>1592187156</v>
      </c>
      <c r="F636" s="106">
        <v>2325327647</v>
      </c>
      <c r="G636" s="104">
        <v>0</v>
      </c>
      <c r="H636" s="105">
        <f t="shared" si="19"/>
        <v>5495551320</v>
      </c>
      <c r="I636" s="103">
        <v>73114604</v>
      </c>
      <c r="J636" s="109" t="s">
        <v>690</v>
      </c>
    </row>
    <row r="637" spans="1:10">
      <c r="A637" s="101" t="s">
        <v>42</v>
      </c>
      <c r="B637" s="88" t="s">
        <v>494</v>
      </c>
      <c r="C637" s="102">
        <v>2005</v>
      </c>
      <c r="D637" s="106">
        <v>1527128731</v>
      </c>
      <c r="E637" s="106">
        <v>1518473870</v>
      </c>
      <c r="F637" s="106">
        <v>2498862100.9699998</v>
      </c>
      <c r="G637" s="104">
        <v>0</v>
      </c>
      <c r="H637" s="105">
        <f t="shared" si="19"/>
        <v>5544464701.9699993</v>
      </c>
      <c r="I637" s="103">
        <v>44776614</v>
      </c>
      <c r="J637" s="109" t="s">
        <v>690</v>
      </c>
    </row>
    <row r="638" spans="1:10">
      <c r="A638" s="101" t="s">
        <v>42</v>
      </c>
      <c r="B638" s="88" t="s">
        <v>494</v>
      </c>
      <c r="C638" s="102">
        <v>2006</v>
      </c>
      <c r="D638" s="103">
        <v>1651237114</v>
      </c>
      <c r="E638" s="103">
        <v>1979208982</v>
      </c>
      <c r="F638" s="103">
        <v>2791842343</v>
      </c>
      <c r="G638" s="103">
        <v>0</v>
      </c>
      <c r="H638" s="105">
        <f t="shared" si="19"/>
        <v>6422288439</v>
      </c>
      <c r="I638" s="103">
        <v>144996081</v>
      </c>
      <c r="J638" s="109" t="s">
        <v>690</v>
      </c>
    </row>
    <row r="639" spans="1:10">
      <c r="A639" s="101" t="s">
        <v>42</v>
      </c>
      <c r="B639" s="88" t="s">
        <v>494</v>
      </c>
      <c r="C639" s="102">
        <v>2007</v>
      </c>
      <c r="D639" s="103">
        <v>1689804172</v>
      </c>
      <c r="E639" s="103">
        <v>2113085697</v>
      </c>
      <c r="F639" s="103">
        <v>3284912188</v>
      </c>
      <c r="G639" s="103">
        <v>0</v>
      </c>
      <c r="H639" s="105">
        <f t="shared" si="19"/>
        <v>7087802057</v>
      </c>
      <c r="I639" s="103">
        <v>143070422</v>
      </c>
      <c r="J639" s="109" t="s">
        <v>690</v>
      </c>
    </row>
    <row r="640" spans="1:10">
      <c r="A640" s="101" t="s">
        <v>42</v>
      </c>
      <c r="B640" s="88" t="s">
        <v>494</v>
      </c>
      <c r="C640" s="102">
        <v>2008</v>
      </c>
      <c r="D640" s="103">
        <v>1756605827</v>
      </c>
      <c r="E640" s="103">
        <v>2821474355</v>
      </c>
      <c r="F640" s="103">
        <v>3387327704</v>
      </c>
      <c r="G640" s="103">
        <v>0</v>
      </c>
      <c r="H640" s="105">
        <f t="shared" si="19"/>
        <v>7965407886</v>
      </c>
      <c r="I640" s="103">
        <v>162579442</v>
      </c>
      <c r="J640" s="109" t="s">
        <v>690</v>
      </c>
    </row>
    <row r="641" spans="1:11">
      <c r="A641" s="101" t="s">
        <v>42</v>
      </c>
      <c r="B641" s="88" t="s">
        <v>494</v>
      </c>
      <c r="C641" s="102">
        <v>2009</v>
      </c>
      <c r="D641" s="103">
        <v>1884497023</v>
      </c>
      <c r="E641" s="103">
        <v>2433815966</v>
      </c>
      <c r="F641" s="103">
        <v>3465561550</v>
      </c>
      <c r="G641" s="103">
        <v>0</v>
      </c>
      <c r="H641" s="105">
        <f t="shared" si="19"/>
        <v>7783874539</v>
      </c>
      <c r="I641" s="103">
        <v>124690898</v>
      </c>
      <c r="J641" s="109" t="s">
        <v>690</v>
      </c>
    </row>
    <row r="642" spans="1:11">
      <c r="A642" s="101" t="s">
        <v>42</v>
      </c>
      <c r="B642" s="88" t="s">
        <v>494</v>
      </c>
      <c r="C642" s="102">
        <v>2010</v>
      </c>
      <c r="D642" s="103">
        <v>1985231181</v>
      </c>
      <c r="E642" s="103">
        <v>2079835353</v>
      </c>
      <c r="F642" s="103">
        <v>3624239225</v>
      </c>
      <c r="G642" s="103">
        <v>0</v>
      </c>
      <c r="H642" s="105">
        <f t="shared" si="19"/>
        <v>7689305759</v>
      </c>
      <c r="I642" s="103">
        <v>124900532</v>
      </c>
      <c r="J642" s="109" t="s">
        <v>690</v>
      </c>
    </row>
    <row r="643" spans="1:11">
      <c r="A643" s="101" t="s">
        <v>42</v>
      </c>
      <c r="B643" s="88" t="s">
        <v>494</v>
      </c>
      <c r="C643" s="102">
        <v>2011</v>
      </c>
      <c r="D643" s="103">
        <v>2024088654</v>
      </c>
      <c r="E643" s="103">
        <v>2198513841</v>
      </c>
      <c r="F643" s="103">
        <v>3560278143.25</v>
      </c>
      <c r="G643" s="103">
        <v>0</v>
      </c>
      <c r="H643" s="105">
        <f t="shared" si="19"/>
        <v>7782880638.25</v>
      </c>
      <c r="I643" s="103">
        <v>131535014</v>
      </c>
      <c r="J643" s="109" t="s">
        <v>690</v>
      </c>
    </row>
    <row r="644" spans="1:11">
      <c r="A644" s="101" t="s">
        <v>42</v>
      </c>
      <c r="B644" s="88" t="s">
        <v>494</v>
      </c>
      <c r="C644" s="102">
        <v>2012</v>
      </c>
      <c r="D644" s="103">
        <v>2078046849</v>
      </c>
      <c r="E644" s="103">
        <v>2253251827</v>
      </c>
      <c r="F644" s="103">
        <v>3705288312</v>
      </c>
      <c r="G644" s="103">
        <v>0</v>
      </c>
      <c r="H644" s="105">
        <f t="shared" si="19"/>
        <v>8036586988</v>
      </c>
      <c r="I644" s="103">
        <v>110850426</v>
      </c>
      <c r="J644" s="109" t="s">
        <v>690</v>
      </c>
    </row>
    <row r="645" spans="1:11">
      <c r="A645" s="101" t="s">
        <v>42</v>
      </c>
      <c r="B645" s="88" t="s">
        <v>494</v>
      </c>
      <c r="C645" s="102">
        <v>2013</v>
      </c>
      <c r="D645" s="103">
        <v>2140889799</v>
      </c>
      <c r="E645" s="103">
        <v>2420840710</v>
      </c>
      <c r="F645" s="103">
        <v>3676991155</v>
      </c>
      <c r="G645" s="103">
        <v>0</v>
      </c>
      <c r="H645" s="105">
        <f t="shared" si="19"/>
        <v>8238721664</v>
      </c>
      <c r="I645" s="103">
        <v>127786518</v>
      </c>
      <c r="J645" s="109" t="s">
        <v>690</v>
      </c>
    </row>
    <row r="646" spans="1:11">
      <c r="A646" s="101" t="s">
        <v>42</v>
      </c>
      <c r="B646" s="88" t="s">
        <v>494</v>
      </c>
      <c r="C646" s="102">
        <v>2014</v>
      </c>
      <c r="D646" s="103">
        <v>2201139105</v>
      </c>
      <c r="E646" s="103">
        <v>2421052904</v>
      </c>
      <c r="F646" s="103">
        <v>3964723029.79</v>
      </c>
      <c r="G646" s="103">
        <v>0</v>
      </c>
      <c r="H646" s="105">
        <f t="shared" si="19"/>
        <v>8586915038.79</v>
      </c>
      <c r="I646" s="103">
        <v>113183859</v>
      </c>
      <c r="J646" s="109" t="s">
        <v>690</v>
      </c>
    </row>
    <row r="647" spans="1:11">
      <c r="A647" s="101" t="s">
        <v>42</v>
      </c>
      <c r="B647" s="88" t="s">
        <v>494</v>
      </c>
      <c r="C647" s="102">
        <v>2015</v>
      </c>
      <c r="D647" s="103">
        <v>2210297851</v>
      </c>
      <c r="E647" s="103">
        <v>2592456650</v>
      </c>
      <c r="F647" s="103">
        <v>4180565657</v>
      </c>
      <c r="G647" s="103">
        <v>0</v>
      </c>
      <c r="H647" s="105">
        <f t="shared" si="19"/>
        <v>8983320158</v>
      </c>
      <c r="I647" s="103">
        <v>118677149</v>
      </c>
      <c r="J647" s="109" t="s">
        <v>690</v>
      </c>
    </row>
    <row r="648" spans="1:11">
      <c r="A648" s="101" t="s">
        <v>42</v>
      </c>
      <c r="B648" s="88" t="s">
        <v>494</v>
      </c>
      <c r="C648" s="102">
        <v>2016</v>
      </c>
      <c r="D648" s="103">
        <v>2358653809</v>
      </c>
      <c r="E648" s="103">
        <v>2638306060</v>
      </c>
      <c r="F648" s="103">
        <v>4011364777</v>
      </c>
      <c r="G648" s="103">
        <v>0</v>
      </c>
      <c r="H648" s="105">
        <f t="shared" si="19"/>
        <v>9008324646</v>
      </c>
      <c r="I648" s="103">
        <v>116837084</v>
      </c>
      <c r="J648" s="109" t="s">
        <v>690</v>
      </c>
    </row>
    <row r="649" spans="1:11">
      <c r="A649" s="101" t="s">
        <v>42</v>
      </c>
      <c r="B649" s="88" t="s">
        <v>494</v>
      </c>
      <c r="C649" s="102">
        <v>2017</v>
      </c>
      <c r="D649" s="103">
        <v>2331485656</v>
      </c>
      <c r="E649" s="103">
        <v>2537801001</v>
      </c>
      <c r="F649" s="103">
        <v>4078229241.29</v>
      </c>
      <c r="G649" s="103">
        <v>0</v>
      </c>
      <c r="H649" s="105">
        <f t="shared" si="19"/>
        <v>8947515898.2900009</v>
      </c>
      <c r="I649" s="103">
        <v>84476426</v>
      </c>
      <c r="J649" s="109" t="s">
        <v>690</v>
      </c>
    </row>
    <row r="650" spans="1:11">
      <c r="A650" s="101" t="s">
        <v>42</v>
      </c>
      <c r="B650" s="88" t="s">
        <v>494</v>
      </c>
      <c r="C650" s="102">
        <v>2018</v>
      </c>
      <c r="D650" s="103">
        <v>2437936531</v>
      </c>
      <c r="E650" s="103">
        <v>2981411261</v>
      </c>
      <c r="F650" s="103">
        <v>5648070031.4200001</v>
      </c>
      <c r="G650" s="103">
        <v>0</v>
      </c>
      <c r="H650" s="105">
        <f t="shared" si="19"/>
        <v>11067417823.42</v>
      </c>
      <c r="I650" s="103">
        <v>85461749</v>
      </c>
      <c r="J650" s="109" t="s">
        <v>691</v>
      </c>
      <c r="K650" s="52" t="s">
        <v>677</v>
      </c>
    </row>
    <row r="651" spans="1:11">
      <c r="A651" s="101" t="s">
        <v>42</v>
      </c>
      <c r="B651" s="88" t="s">
        <v>494</v>
      </c>
      <c r="C651" s="102">
        <v>2019</v>
      </c>
      <c r="D651" s="103">
        <v>2397488934</v>
      </c>
      <c r="E651" s="103">
        <v>2921637033</v>
      </c>
      <c r="F651" s="103">
        <v>5561988218.9569998</v>
      </c>
      <c r="G651" s="103">
        <v>0</v>
      </c>
      <c r="H651" s="105">
        <f t="shared" si="19"/>
        <v>10881114185.957001</v>
      </c>
      <c r="I651" s="103">
        <v>99189320</v>
      </c>
      <c r="J651" s="109" t="s">
        <v>692</v>
      </c>
    </row>
    <row r="652" spans="1:11">
      <c r="A652" s="101" t="s">
        <v>42</v>
      </c>
      <c r="B652" s="88" t="s">
        <v>494</v>
      </c>
      <c r="C652" s="102">
        <v>2020</v>
      </c>
      <c r="D652" s="103">
        <v>2372332122</v>
      </c>
      <c r="E652" s="103">
        <v>2890228781</v>
      </c>
      <c r="F652" s="103">
        <v>5712310722</v>
      </c>
      <c r="G652" s="103">
        <v>0</v>
      </c>
      <c r="H652" s="105">
        <f t="shared" si="19"/>
        <v>10974871625</v>
      </c>
      <c r="I652" s="103">
        <v>116453571</v>
      </c>
      <c r="J652" s="109" t="s">
        <v>692</v>
      </c>
    </row>
    <row r="653" spans="1:11">
      <c r="A653" s="101"/>
      <c r="B653" s="107"/>
      <c r="D653" s="104"/>
      <c r="E653" s="104"/>
      <c r="F653" s="104"/>
      <c r="G653" s="104"/>
      <c r="H653" s="103"/>
      <c r="I653" s="103"/>
      <c r="J653" s="109"/>
    </row>
    <row r="654" spans="1:11">
      <c r="A654" s="101" t="s">
        <v>44</v>
      </c>
      <c r="B654" s="88" t="s">
        <v>693</v>
      </c>
      <c r="C654" s="102">
        <v>1988</v>
      </c>
      <c r="D654" s="104">
        <v>205589438</v>
      </c>
      <c r="E654" s="104">
        <v>143683665</v>
      </c>
      <c r="F654" s="104">
        <v>258670567</v>
      </c>
      <c r="G654" s="104">
        <v>46145929</v>
      </c>
      <c r="H654" s="105">
        <f>SUM(D654:G654)</f>
        <v>654089599</v>
      </c>
      <c r="I654" s="103">
        <v>0</v>
      </c>
      <c r="J654" s="109"/>
    </row>
    <row r="655" spans="1:11">
      <c r="A655" s="101" t="s">
        <v>44</v>
      </c>
      <c r="B655" s="88" t="s">
        <v>693</v>
      </c>
      <c r="C655" s="102">
        <v>1989</v>
      </c>
      <c r="D655" s="104">
        <v>202478234</v>
      </c>
      <c r="E655" s="104">
        <v>166195355</v>
      </c>
      <c r="F655" s="104">
        <v>290326059</v>
      </c>
      <c r="G655" s="104">
        <v>70395054</v>
      </c>
      <c r="H655" s="105">
        <f t="shared" ref="H655:H686" si="20">SUM(D655:G655)</f>
        <v>729394702</v>
      </c>
      <c r="I655" s="103">
        <v>0</v>
      </c>
      <c r="J655" s="109"/>
    </row>
    <row r="656" spans="1:11">
      <c r="A656" s="101" t="s">
        <v>44</v>
      </c>
      <c r="B656" s="88" t="s">
        <v>693</v>
      </c>
      <c r="C656" s="102">
        <v>1990</v>
      </c>
      <c r="D656" s="104">
        <v>211356731</v>
      </c>
      <c r="E656" s="104">
        <v>222695205.59999999</v>
      </c>
      <c r="F656" s="104">
        <v>312504647</v>
      </c>
      <c r="G656" s="104">
        <v>43039290</v>
      </c>
      <c r="H656" s="105">
        <f t="shared" si="20"/>
        <v>789595873.60000002</v>
      </c>
      <c r="I656" s="103">
        <v>0</v>
      </c>
      <c r="J656" s="109"/>
    </row>
    <row r="657" spans="1:10">
      <c r="A657" s="101" t="s">
        <v>44</v>
      </c>
      <c r="B657" s="88" t="s">
        <v>693</v>
      </c>
      <c r="C657" s="102">
        <v>1991</v>
      </c>
      <c r="D657" s="104">
        <v>222499783</v>
      </c>
      <c r="E657" s="104">
        <v>168234474</v>
      </c>
      <c r="F657" s="104">
        <v>350523624</v>
      </c>
      <c r="G657" s="104">
        <v>69681202</v>
      </c>
      <c r="H657" s="105">
        <f t="shared" si="20"/>
        <v>810939083</v>
      </c>
      <c r="I657" s="103">
        <v>0</v>
      </c>
      <c r="J657" s="109"/>
    </row>
    <row r="658" spans="1:10">
      <c r="A658" s="101" t="s">
        <v>44</v>
      </c>
      <c r="B658" s="88" t="s">
        <v>693</v>
      </c>
      <c r="C658" s="102">
        <v>1992</v>
      </c>
      <c r="D658" s="104">
        <v>236125111</v>
      </c>
      <c r="E658" s="104">
        <v>204375145.52000001</v>
      </c>
      <c r="F658" s="104">
        <v>352638718</v>
      </c>
      <c r="G658" s="104">
        <v>40121545</v>
      </c>
      <c r="H658" s="105">
        <f t="shared" si="20"/>
        <v>833260519.51999998</v>
      </c>
      <c r="I658" s="103">
        <v>0</v>
      </c>
      <c r="J658" s="109"/>
    </row>
    <row r="659" spans="1:10">
      <c r="A659" s="101" t="s">
        <v>44</v>
      </c>
      <c r="B659" s="88" t="s">
        <v>693</v>
      </c>
      <c r="C659" s="102">
        <v>1993</v>
      </c>
      <c r="D659" s="104">
        <v>238318364</v>
      </c>
      <c r="E659" s="104">
        <v>172138858</v>
      </c>
      <c r="F659" s="104">
        <v>322976510</v>
      </c>
      <c r="G659" s="104">
        <v>55186025</v>
      </c>
      <c r="H659" s="105">
        <f t="shared" si="20"/>
        <v>788619757</v>
      </c>
      <c r="I659" s="103">
        <v>0</v>
      </c>
      <c r="J659" s="109"/>
    </row>
    <row r="660" spans="1:10">
      <c r="A660" s="101" t="s">
        <v>44</v>
      </c>
      <c r="B660" s="88" t="s">
        <v>693</v>
      </c>
      <c r="C660" s="102">
        <v>1994</v>
      </c>
      <c r="D660" s="104">
        <v>248769967</v>
      </c>
      <c r="E660" s="104">
        <v>244794929</v>
      </c>
      <c r="F660" s="104">
        <v>329123557</v>
      </c>
      <c r="G660" s="104">
        <v>67038506</v>
      </c>
      <c r="H660" s="105">
        <f t="shared" si="20"/>
        <v>889726959</v>
      </c>
      <c r="I660" s="103">
        <v>0</v>
      </c>
      <c r="J660" s="109"/>
    </row>
    <row r="661" spans="1:10">
      <c r="A661" s="101" t="s">
        <v>44</v>
      </c>
      <c r="B661" s="88" t="s">
        <v>693</v>
      </c>
      <c r="C661" s="102">
        <v>1995</v>
      </c>
      <c r="D661" s="104">
        <v>270300977</v>
      </c>
      <c r="E661" s="104">
        <v>250045083</v>
      </c>
      <c r="F661" s="104">
        <v>348737618</v>
      </c>
      <c r="G661" s="104">
        <v>71961672</v>
      </c>
      <c r="H661" s="105">
        <f t="shared" si="20"/>
        <v>941045350</v>
      </c>
      <c r="I661" s="103">
        <v>0</v>
      </c>
      <c r="J661" s="109"/>
    </row>
    <row r="662" spans="1:10">
      <c r="A662" s="101" t="s">
        <v>44</v>
      </c>
      <c r="B662" s="88" t="s">
        <v>693</v>
      </c>
      <c r="C662" s="102">
        <v>1996</v>
      </c>
      <c r="D662" s="104">
        <v>266662231</v>
      </c>
      <c r="E662" s="104">
        <v>195967922</v>
      </c>
      <c r="F662" s="104">
        <v>353848307</v>
      </c>
      <c r="G662" s="104">
        <v>114182473</v>
      </c>
      <c r="H662" s="105">
        <f t="shared" si="20"/>
        <v>930660933</v>
      </c>
      <c r="I662" s="103">
        <v>0</v>
      </c>
      <c r="J662" s="109"/>
    </row>
    <row r="663" spans="1:10">
      <c r="A663" s="101" t="s">
        <v>44</v>
      </c>
      <c r="B663" s="88" t="s">
        <v>693</v>
      </c>
      <c r="C663" s="102">
        <v>1997</v>
      </c>
      <c r="D663" s="104">
        <v>284860385</v>
      </c>
      <c r="E663" s="104">
        <v>264033487</v>
      </c>
      <c r="F663" s="104">
        <v>333331361</v>
      </c>
      <c r="G663" s="104">
        <v>19887348</v>
      </c>
      <c r="H663" s="105">
        <f t="shared" si="20"/>
        <v>902112581</v>
      </c>
      <c r="I663" s="103">
        <v>0</v>
      </c>
      <c r="J663" s="109"/>
    </row>
    <row r="664" spans="1:10">
      <c r="A664" s="101" t="s">
        <v>44</v>
      </c>
      <c r="B664" s="88" t="s">
        <v>693</v>
      </c>
      <c r="C664" s="102">
        <v>1998</v>
      </c>
      <c r="D664" s="104">
        <v>266013103</v>
      </c>
      <c r="E664" s="104">
        <v>251185254</v>
      </c>
      <c r="F664" s="104">
        <v>319592654</v>
      </c>
      <c r="G664" s="104">
        <v>150662978</v>
      </c>
      <c r="H664" s="105">
        <f t="shared" si="20"/>
        <v>987453989</v>
      </c>
      <c r="I664" s="103">
        <v>0</v>
      </c>
      <c r="J664" s="109"/>
    </row>
    <row r="665" spans="1:10">
      <c r="A665" s="101" t="s">
        <v>44</v>
      </c>
      <c r="B665" s="88" t="s">
        <v>693</v>
      </c>
      <c r="C665" s="102">
        <v>1999</v>
      </c>
      <c r="D665" s="104">
        <v>348461472</v>
      </c>
      <c r="E665" s="104">
        <v>290690820</v>
      </c>
      <c r="F665" s="104">
        <v>328367163</v>
      </c>
      <c r="G665" s="104">
        <v>50073932</v>
      </c>
      <c r="H665" s="105">
        <f t="shared" si="20"/>
        <v>1017593387</v>
      </c>
      <c r="I665" s="103">
        <v>0</v>
      </c>
      <c r="J665" s="109"/>
    </row>
    <row r="666" spans="1:10">
      <c r="A666" s="101" t="s">
        <v>44</v>
      </c>
      <c r="B666" s="88" t="s">
        <v>693</v>
      </c>
      <c r="C666" s="102">
        <v>2000</v>
      </c>
      <c r="D666" s="104">
        <v>297620356</v>
      </c>
      <c r="E666" s="104">
        <v>356673168</v>
      </c>
      <c r="F666" s="104">
        <v>315050368</v>
      </c>
      <c r="G666" s="104">
        <v>25000729</v>
      </c>
      <c r="H666" s="105">
        <f t="shared" si="20"/>
        <v>994344621</v>
      </c>
      <c r="I666" s="103">
        <v>0</v>
      </c>
      <c r="J666" s="109"/>
    </row>
    <row r="667" spans="1:10">
      <c r="A667" s="101" t="s">
        <v>44</v>
      </c>
      <c r="B667" s="88" t="s">
        <v>693</v>
      </c>
      <c r="C667" s="102">
        <v>2001</v>
      </c>
      <c r="D667" s="104">
        <v>282813848</v>
      </c>
      <c r="E667" s="104">
        <v>405279312</v>
      </c>
      <c r="F667" s="104">
        <v>323524951</v>
      </c>
      <c r="G667" s="104">
        <v>37673601</v>
      </c>
      <c r="H667" s="105">
        <f t="shared" si="20"/>
        <v>1049291712</v>
      </c>
      <c r="I667" s="103">
        <v>0</v>
      </c>
      <c r="J667" s="109"/>
    </row>
    <row r="668" spans="1:10">
      <c r="A668" s="101" t="s">
        <v>44</v>
      </c>
      <c r="B668" s="88" t="s">
        <v>693</v>
      </c>
      <c r="C668" s="102">
        <v>2002</v>
      </c>
      <c r="D668" s="104">
        <v>334023655</v>
      </c>
      <c r="E668" s="104">
        <v>640376252</v>
      </c>
      <c r="F668" s="104">
        <v>364934677</v>
      </c>
      <c r="G668" s="104">
        <v>32454741</v>
      </c>
      <c r="H668" s="105">
        <f t="shared" si="20"/>
        <v>1371789325</v>
      </c>
      <c r="I668" s="103">
        <v>0</v>
      </c>
      <c r="J668" s="109"/>
    </row>
    <row r="669" spans="1:10">
      <c r="A669" s="101" t="s">
        <v>44</v>
      </c>
      <c r="B669" s="88" t="s">
        <v>693</v>
      </c>
      <c r="C669" s="102">
        <v>2003</v>
      </c>
      <c r="D669" s="106">
        <v>320072923</v>
      </c>
      <c r="E669" s="106">
        <v>522887967</v>
      </c>
      <c r="F669" s="106">
        <v>371570538</v>
      </c>
      <c r="G669" s="106">
        <v>50152412</v>
      </c>
      <c r="H669" s="105">
        <f t="shared" si="20"/>
        <v>1264683840</v>
      </c>
      <c r="I669" s="103">
        <v>0</v>
      </c>
      <c r="J669" s="109"/>
    </row>
    <row r="670" spans="1:10">
      <c r="A670" s="101" t="s">
        <v>44</v>
      </c>
      <c r="B670" s="88" t="s">
        <v>693</v>
      </c>
      <c r="C670" s="102">
        <v>2004</v>
      </c>
      <c r="D670" s="106">
        <v>311301627</v>
      </c>
      <c r="E670" s="106">
        <v>439715909</v>
      </c>
      <c r="F670" s="106">
        <v>399355879</v>
      </c>
      <c r="G670" s="106">
        <v>55627947</v>
      </c>
      <c r="H670" s="105">
        <f t="shared" si="20"/>
        <v>1206001362</v>
      </c>
      <c r="I670" s="103">
        <v>0</v>
      </c>
      <c r="J670" s="109"/>
    </row>
    <row r="671" spans="1:10">
      <c r="A671" s="101" t="s">
        <v>44</v>
      </c>
      <c r="B671" s="88" t="s">
        <v>693</v>
      </c>
      <c r="C671" s="102">
        <v>2005</v>
      </c>
      <c r="D671" s="106">
        <v>348452634</v>
      </c>
      <c r="E671" s="106">
        <v>375814326</v>
      </c>
      <c r="F671" s="106">
        <v>495094180.76999903</v>
      </c>
      <c r="G671" s="106">
        <v>0</v>
      </c>
      <c r="H671" s="105">
        <f t="shared" si="20"/>
        <v>1219361140.769999</v>
      </c>
      <c r="I671" s="103">
        <v>0</v>
      </c>
      <c r="J671" s="109"/>
    </row>
    <row r="672" spans="1:10">
      <c r="A672" s="101" t="s">
        <v>44</v>
      </c>
      <c r="B672" s="88" t="s">
        <v>693</v>
      </c>
      <c r="C672" s="102">
        <v>2006</v>
      </c>
      <c r="D672" s="103">
        <v>335928198</v>
      </c>
      <c r="E672" s="103">
        <v>382858325</v>
      </c>
      <c r="F672" s="103">
        <v>614238997</v>
      </c>
      <c r="G672" s="103">
        <v>0</v>
      </c>
      <c r="H672" s="105">
        <f t="shared" si="20"/>
        <v>1333025520</v>
      </c>
      <c r="I672" s="103">
        <v>0</v>
      </c>
      <c r="J672" s="109"/>
    </row>
    <row r="673" spans="1:11">
      <c r="A673" s="101" t="s">
        <v>44</v>
      </c>
      <c r="B673" s="88" t="s">
        <v>693</v>
      </c>
      <c r="C673" s="102">
        <v>2007</v>
      </c>
      <c r="D673" s="103">
        <v>370265342</v>
      </c>
      <c r="E673" s="103">
        <v>453329640</v>
      </c>
      <c r="F673" s="103">
        <v>759775549</v>
      </c>
      <c r="G673" s="103">
        <v>0</v>
      </c>
      <c r="H673" s="105">
        <f t="shared" si="20"/>
        <v>1583370531</v>
      </c>
      <c r="I673" s="103">
        <v>0</v>
      </c>
      <c r="J673" s="109"/>
    </row>
    <row r="674" spans="1:11">
      <c r="A674" s="101" t="s">
        <v>44</v>
      </c>
      <c r="B674" s="88" t="s">
        <v>693</v>
      </c>
      <c r="C674" s="102">
        <v>2008</v>
      </c>
      <c r="D674" s="103">
        <v>378249617</v>
      </c>
      <c r="E674" s="103">
        <v>748592595</v>
      </c>
      <c r="F674" s="103">
        <v>934417918</v>
      </c>
      <c r="G674" s="103">
        <v>0</v>
      </c>
      <c r="H674" s="105">
        <f t="shared" si="20"/>
        <v>2061260130</v>
      </c>
      <c r="I674" s="103">
        <v>0</v>
      </c>
      <c r="J674" s="109"/>
    </row>
    <row r="675" spans="1:11">
      <c r="A675" s="101" t="s">
        <v>44</v>
      </c>
      <c r="B675" s="88" t="s">
        <v>693</v>
      </c>
      <c r="C675" s="102">
        <v>2009</v>
      </c>
      <c r="D675" s="103">
        <v>376299271</v>
      </c>
      <c r="E675" s="103">
        <v>635147204</v>
      </c>
      <c r="F675" s="103">
        <v>1461212242</v>
      </c>
      <c r="G675" s="103">
        <v>0</v>
      </c>
      <c r="H675" s="105">
        <f t="shared" si="20"/>
        <v>2472658717</v>
      </c>
      <c r="I675" s="103">
        <v>2016321</v>
      </c>
      <c r="J675" s="109" t="s">
        <v>675</v>
      </c>
    </row>
    <row r="676" spans="1:11">
      <c r="A676" s="101" t="s">
        <v>44</v>
      </c>
      <c r="B676" s="88" t="s">
        <v>693</v>
      </c>
      <c r="C676" s="102">
        <v>2010</v>
      </c>
      <c r="D676" s="103">
        <v>408408080</v>
      </c>
      <c r="E676" s="103">
        <v>560169643</v>
      </c>
      <c r="F676" s="103">
        <v>1622108827</v>
      </c>
      <c r="G676" s="103">
        <v>0</v>
      </c>
      <c r="H676" s="105">
        <f t="shared" si="20"/>
        <v>2590686550</v>
      </c>
      <c r="I676" s="103">
        <v>2238767</v>
      </c>
      <c r="J676" s="109" t="s">
        <v>675</v>
      </c>
    </row>
    <row r="677" spans="1:11">
      <c r="A677" s="101" t="s">
        <v>44</v>
      </c>
      <c r="B677" s="88" t="s">
        <v>693</v>
      </c>
      <c r="C677" s="102">
        <v>2011</v>
      </c>
      <c r="D677" s="103">
        <v>429568480</v>
      </c>
      <c r="E677" s="103">
        <v>540286662</v>
      </c>
      <c r="F677" s="103">
        <v>1721187580.51</v>
      </c>
      <c r="G677" s="103">
        <v>0</v>
      </c>
      <c r="H677" s="105">
        <f t="shared" si="20"/>
        <v>2691042722.5100002</v>
      </c>
      <c r="I677" s="103">
        <v>186665</v>
      </c>
      <c r="J677" s="109" t="s">
        <v>675</v>
      </c>
    </row>
    <row r="678" spans="1:11">
      <c r="A678" s="101" t="s">
        <v>44</v>
      </c>
      <c r="B678" s="88" t="s">
        <v>693</v>
      </c>
      <c r="C678" s="102">
        <v>2012</v>
      </c>
      <c r="D678" s="103">
        <v>428345193</v>
      </c>
      <c r="E678" s="103">
        <v>693163890</v>
      </c>
      <c r="F678" s="103">
        <v>2028998396</v>
      </c>
      <c r="G678" s="103">
        <v>0</v>
      </c>
      <c r="H678" s="105">
        <f t="shared" si="20"/>
        <v>3150507479</v>
      </c>
      <c r="I678" s="103">
        <v>464155</v>
      </c>
      <c r="J678" s="109" t="s">
        <v>675</v>
      </c>
    </row>
    <row r="679" spans="1:11">
      <c r="A679" s="101" t="s">
        <v>44</v>
      </c>
      <c r="B679" s="88" t="s">
        <v>693</v>
      </c>
      <c r="C679" s="102">
        <v>2013</v>
      </c>
      <c r="D679" s="103">
        <v>430399020</v>
      </c>
      <c r="E679" s="103">
        <v>617619418</v>
      </c>
      <c r="F679" s="103">
        <v>2012988030</v>
      </c>
      <c r="G679" s="103">
        <v>0</v>
      </c>
      <c r="H679" s="105">
        <f t="shared" si="20"/>
        <v>3061006468</v>
      </c>
      <c r="I679" s="103">
        <v>361903</v>
      </c>
      <c r="J679" s="109" t="s">
        <v>675</v>
      </c>
    </row>
    <row r="680" spans="1:11">
      <c r="A680" s="101" t="s">
        <v>44</v>
      </c>
      <c r="B680" s="88" t="s">
        <v>693</v>
      </c>
      <c r="C680" s="102">
        <v>2014</v>
      </c>
      <c r="D680" s="103">
        <v>444523134</v>
      </c>
      <c r="E680" s="103">
        <v>691538364</v>
      </c>
      <c r="F680" s="103">
        <v>1501994698.0699999</v>
      </c>
      <c r="G680" s="103">
        <v>0</v>
      </c>
      <c r="H680" s="105">
        <f t="shared" si="20"/>
        <v>2638056196.0699997</v>
      </c>
      <c r="I680" s="103">
        <v>524418</v>
      </c>
      <c r="J680" s="109" t="s">
        <v>675</v>
      </c>
    </row>
    <row r="681" spans="1:11">
      <c r="A681" s="101" t="s">
        <v>44</v>
      </c>
      <c r="B681" s="88" t="s">
        <v>693</v>
      </c>
      <c r="C681" s="102">
        <v>2015</v>
      </c>
      <c r="D681" s="103">
        <v>478624619</v>
      </c>
      <c r="E681" s="103">
        <v>792866083</v>
      </c>
      <c r="F681" s="103">
        <v>1467631221</v>
      </c>
      <c r="G681" s="103">
        <v>0</v>
      </c>
      <c r="H681" s="105">
        <f t="shared" si="20"/>
        <v>2739121923</v>
      </c>
      <c r="I681" s="103">
        <v>550952</v>
      </c>
      <c r="J681" s="109" t="s">
        <v>675</v>
      </c>
    </row>
    <row r="682" spans="1:11">
      <c r="A682" s="101" t="s">
        <v>44</v>
      </c>
      <c r="B682" s="88" t="s">
        <v>693</v>
      </c>
      <c r="C682" s="102">
        <v>2016</v>
      </c>
      <c r="D682" s="103">
        <v>455348331</v>
      </c>
      <c r="E682" s="103">
        <v>792110527</v>
      </c>
      <c r="F682" s="103">
        <v>1572688885</v>
      </c>
      <c r="G682" s="103">
        <v>0</v>
      </c>
      <c r="H682" s="105">
        <f t="shared" si="20"/>
        <v>2820147743</v>
      </c>
      <c r="I682" s="103">
        <v>10757658</v>
      </c>
      <c r="J682" s="109" t="s">
        <v>675</v>
      </c>
    </row>
    <row r="683" spans="1:11">
      <c r="A683" s="101" t="s">
        <v>44</v>
      </c>
      <c r="B683" s="88" t="s">
        <v>693</v>
      </c>
      <c r="C683" s="102">
        <v>2017</v>
      </c>
      <c r="D683" s="103">
        <v>445279009</v>
      </c>
      <c r="E683" s="103">
        <v>892960126</v>
      </c>
      <c r="F683" s="103">
        <v>1595448016</v>
      </c>
      <c r="G683" s="103">
        <v>0</v>
      </c>
      <c r="H683" s="105">
        <f t="shared" si="20"/>
        <v>2933687151</v>
      </c>
      <c r="I683" s="103">
        <v>6757809</v>
      </c>
      <c r="J683" s="109" t="s">
        <v>675</v>
      </c>
    </row>
    <row r="684" spans="1:11">
      <c r="A684" s="101" t="s">
        <v>44</v>
      </c>
      <c r="B684" s="88" t="s">
        <v>693</v>
      </c>
      <c r="C684" s="102">
        <v>2018</v>
      </c>
      <c r="D684" s="103">
        <v>460406887</v>
      </c>
      <c r="E684" s="103">
        <v>1050266144</v>
      </c>
      <c r="F684" s="103">
        <v>1962857827.77</v>
      </c>
      <c r="G684" s="103">
        <v>0</v>
      </c>
      <c r="H684" s="105">
        <f t="shared" si="20"/>
        <v>3473530858.77</v>
      </c>
      <c r="I684" s="103">
        <v>5741742</v>
      </c>
      <c r="J684" s="109" t="s">
        <v>676</v>
      </c>
      <c r="K684" s="52" t="s">
        <v>677</v>
      </c>
    </row>
    <row r="685" spans="1:11">
      <c r="A685" s="101" t="s">
        <v>44</v>
      </c>
      <c r="B685" s="88" t="s">
        <v>693</v>
      </c>
      <c r="C685" s="102">
        <v>2019</v>
      </c>
      <c r="D685" s="103">
        <v>465683963</v>
      </c>
      <c r="E685" s="103">
        <v>1045022527</v>
      </c>
      <c r="F685" s="103">
        <v>2097043194.0999999</v>
      </c>
      <c r="G685" s="103">
        <v>0</v>
      </c>
      <c r="H685" s="105">
        <f t="shared" si="20"/>
        <v>3607749684.0999999</v>
      </c>
      <c r="I685" s="103">
        <v>11875788</v>
      </c>
      <c r="J685" s="109" t="s">
        <v>678</v>
      </c>
    </row>
    <row r="686" spans="1:11">
      <c r="A686" s="101" t="s">
        <v>44</v>
      </c>
      <c r="B686" s="88" t="s">
        <v>693</v>
      </c>
      <c r="C686" s="102">
        <v>2020</v>
      </c>
      <c r="D686" s="103">
        <v>459120238</v>
      </c>
      <c r="E686" s="103">
        <v>903002039</v>
      </c>
      <c r="F686" s="103">
        <v>2066777968</v>
      </c>
      <c r="G686" s="103">
        <v>0</v>
      </c>
      <c r="H686" s="105">
        <f t="shared" si="20"/>
        <v>3428900245</v>
      </c>
      <c r="I686" s="103">
        <v>9720100</v>
      </c>
      <c r="J686" s="109" t="s">
        <v>678</v>
      </c>
    </row>
    <row r="687" spans="1:11">
      <c r="A687" s="101"/>
      <c r="B687" s="107"/>
      <c r="D687" s="104"/>
      <c r="E687" s="104"/>
      <c r="F687" s="104"/>
      <c r="G687" s="104"/>
      <c r="H687" s="103"/>
      <c r="I687" s="103"/>
      <c r="J687" s="109"/>
    </row>
    <row r="688" spans="1:11">
      <c r="A688" s="101" t="s">
        <v>45</v>
      </c>
      <c r="B688" s="88" t="s">
        <v>694</v>
      </c>
      <c r="C688" s="102">
        <v>1988</v>
      </c>
      <c r="D688" s="104">
        <v>1100513137</v>
      </c>
      <c r="E688" s="104">
        <v>733179846</v>
      </c>
      <c r="F688" s="104">
        <v>1872016098</v>
      </c>
      <c r="G688" s="104">
        <v>0</v>
      </c>
      <c r="H688" s="105">
        <f>SUM(D688:G688)</f>
        <v>3705709081</v>
      </c>
      <c r="I688" s="103">
        <v>0</v>
      </c>
      <c r="J688" s="109"/>
    </row>
    <row r="689" spans="1:10">
      <c r="A689" s="101" t="s">
        <v>45</v>
      </c>
      <c r="B689" s="88" t="s">
        <v>694</v>
      </c>
      <c r="C689" s="102">
        <v>1989</v>
      </c>
      <c r="D689" s="104">
        <v>1145229975</v>
      </c>
      <c r="E689" s="104">
        <v>921665068</v>
      </c>
      <c r="F689" s="104">
        <v>1988481174</v>
      </c>
      <c r="G689" s="104">
        <v>0</v>
      </c>
      <c r="H689" s="105">
        <f t="shared" ref="H689:H720" si="21">SUM(D689:G689)</f>
        <v>4055376217</v>
      </c>
      <c r="I689" s="103">
        <v>0</v>
      </c>
      <c r="J689" s="109"/>
    </row>
    <row r="690" spans="1:10">
      <c r="A690" s="101" t="s">
        <v>45</v>
      </c>
      <c r="B690" s="88" t="s">
        <v>694</v>
      </c>
      <c r="C690" s="102">
        <v>1990</v>
      </c>
      <c r="D690" s="104">
        <v>1191463774</v>
      </c>
      <c r="E690" s="104">
        <v>1117302797.52</v>
      </c>
      <c r="F690" s="104">
        <v>2144409308</v>
      </c>
      <c r="G690" s="104">
        <v>0</v>
      </c>
      <c r="H690" s="105">
        <f t="shared" si="21"/>
        <v>4453175879.5200005</v>
      </c>
      <c r="I690" s="103">
        <v>0</v>
      </c>
      <c r="J690" s="109"/>
    </row>
    <row r="691" spans="1:10">
      <c r="A691" s="101" t="s">
        <v>45</v>
      </c>
      <c r="B691" s="88" t="s">
        <v>694</v>
      </c>
      <c r="C691" s="102">
        <v>1991</v>
      </c>
      <c r="D691" s="104">
        <v>1263365695</v>
      </c>
      <c r="E691" s="104">
        <v>1005736364</v>
      </c>
      <c r="F691" s="104">
        <v>1745723567</v>
      </c>
      <c r="G691" s="104">
        <v>0</v>
      </c>
      <c r="H691" s="105">
        <f t="shared" si="21"/>
        <v>4014825626</v>
      </c>
      <c r="I691" s="103">
        <v>0</v>
      </c>
      <c r="J691" s="109"/>
    </row>
    <row r="692" spans="1:10">
      <c r="A692" s="101" t="s">
        <v>45</v>
      </c>
      <c r="B692" s="88" t="s">
        <v>694</v>
      </c>
      <c r="C692" s="102">
        <v>1992</v>
      </c>
      <c r="D692" s="104">
        <v>1358123602</v>
      </c>
      <c r="E692" s="104">
        <v>1369609901.6400001</v>
      </c>
      <c r="F692" s="104">
        <v>1635054709</v>
      </c>
      <c r="G692" s="104">
        <v>0</v>
      </c>
      <c r="H692" s="105">
        <f t="shared" si="21"/>
        <v>4362788212.6400003</v>
      </c>
      <c r="I692" s="103">
        <v>0</v>
      </c>
      <c r="J692" s="109"/>
    </row>
    <row r="693" spans="1:10">
      <c r="A693" s="101" t="s">
        <v>45</v>
      </c>
      <c r="B693" s="88" t="s">
        <v>694</v>
      </c>
      <c r="C693" s="102">
        <v>1993</v>
      </c>
      <c r="D693" s="104">
        <v>1358348908</v>
      </c>
      <c r="E693" s="104">
        <v>1012867979</v>
      </c>
      <c r="F693" s="104">
        <v>1659545557</v>
      </c>
      <c r="G693" s="104">
        <v>0</v>
      </c>
      <c r="H693" s="105">
        <f t="shared" si="21"/>
        <v>4030762444</v>
      </c>
      <c r="I693" s="103">
        <v>0</v>
      </c>
      <c r="J693" s="109"/>
    </row>
    <row r="694" spans="1:10">
      <c r="A694" s="101" t="s">
        <v>45</v>
      </c>
      <c r="B694" s="88" t="s">
        <v>694</v>
      </c>
      <c r="C694" s="102">
        <v>1994</v>
      </c>
      <c r="D694" s="104">
        <v>1405794797</v>
      </c>
      <c r="E694" s="104">
        <v>1228124274</v>
      </c>
      <c r="F694" s="104">
        <v>1638518200</v>
      </c>
      <c r="G694" s="104">
        <v>0</v>
      </c>
      <c r="H694" s="105">
        <f t="shared" si="21"/>
        <v>4272437271</v>
      </c>
      <c r="I694" s="103">
        <v>0</v>
      </c>
      <c r="J694" s="109"/>
    </row>
    <row r="695" spans="1:10">
      <c r="A695" s="101" t="s">
        <v>45</v>
      </c>
      <c r="B695" s="88" t="s">
        <v>694</v>
      </c>
      <c r="C695" s="102">
        <v>1995</v>
      </c>
      <c r="D695" s="104">
        <v>1517772500</v>
      </c>
      <c r="E695" s="104">
        <v>1209099674</v>
      </c>
      <c r="F695" s="104">
        <v>1645912453</v>
      </c>
      <c r="G695" s="104">
        <v>0</v>
      </c>
      <c r="H695" s="105">
        <f t="shared" si="21"/>
        <v>4372784627</v>
      </c>
      <c r="I695" s="103">
        <v>0</v>
      </c>
      <c r="J695" s="109"/>
    </row>
    <row r="696" spans="1:10">
      <c r="A696" s="101" t="s">
        <v>45</v>
      </c>
      <c r="B696" s="88" t="s">
        <v>694</v>
      </c>
      <c r="C696" s="102">
        <v>1996</v>
      </c>
      <c r="D696" s="104">
        <v>1632127857</v>
      </c>
      <c r="E696" s="104">
        <v>1080298182</v>
      </c>
      <c r="F696" s="104">
        <v>1637026483</v>
      </c>
      <c r="G696" s="104">
        <v>0</v>
      </c>
      <c r="H696" s="105">
        <f t="shared" si="21"/>
        <v>4349452522</v>
      </c>
      <c r="I696" s="103">
        <v>0</v>
      </c>
      <c r="J696" s="109"/>
    </row>
    <row r="697" spans="1:10">
      <c r="A697" s="101" t="s">
        <v>45</v>
      </c>
      <c r="B697" s="88" t="s">
        <v>694</v>
      </c>
      <c r="C697" s="102">
        <v>1997</v>
      </c>
      <c r="D697" s="104">
        <v>1588575292</v>
      </c>
      <c r="E697" s="104">
        <v>1024473490</v>
      </c>
      <c r="F697" s="104">
        <v>1734491700</v>
      </c>
      <c r="G697" s="104">
        <v>0</v>
      </c>
      <c r="H697" s="105">
        <f t="shared" si="21"/>
        <v>4347540482</v>
      </c>
      <c r="I697" s="103">
        <v>0</v>
      </c>
      <c r="J697" s="109"/>
    </row>
    <row r="698" spans="1:10">
      <c r="A698" s="101" t="s">
        <v>45</v>
      </c>
      <c r="B698" s="88" t="s">
        <v>694</v>
      </c>
      <c r="C698" s="102">
        <v>1998</v>
      </c>
      <c r="D698" s="104">
        <v>1688281538</v>
      </c>
      <c r="E698" s="104">
        <v>1053738638</v>
      </c>
      <c r="F698" s="104">
        <v>1795521762</v>
      </c>
      <c r="G698" s="104">
        <v>0</v>
      </c>
      <c r="H698" s="105">
        <f t="shared" si="21"/>
        <v>4537541938</v>
      </c>
      <c r="I698" s="103">
        <v>0</v>
      </c>
      <c r="J698" s="109"/>
    </row>
    <row r="699" spans="1:10">
      <c r="A699" s="101" t="s">
        <v>45</v>
      </c>
      <c r="B699" s="88" t="s">
        <v>694</v>
      </c>
      <c r="C699" s="102">
        <v>1999</v>
      </c>
      <c r="D699" s="104">
        <v>1552397622</v>
      </c>
      <c r="E699" s="104">
        <v>1349985708</v>
      </c>
      <c r="F699" s="104">
        <v>1935957228</v>
      </c>
      <c r="G699" s="104">
        <v>0</v>
      </c>
      <c r="H699" s="105">
        <f t="shared" si="21"/>
        <v>4838340558</v>
      </c>
      <c r="I699" s="103">
        <v>0</v>
      </c>
      <c r="J699" s="109"/>
    </row>
    <row r="700" spans="1:10">
      <c r="A700" s="101" t="s">
        <v>45</v>
      </c>
      <c r="B700" s="88" t="s">
        <v>694</v>
      </c>
      <c r="C700" s="102">
        <v>2000</v>
      </c>
      <c r="D700" s="104">
        <v>1718273738</v>
      </c>
      <c r="E700" s="104">
        <v>1438550088</v>
      </c>
      <c r="F700" s="104">
        <v>2130025155</v>
      </c>
      <c r="G700" s="104">
        <v>0</v>
      </c>
      <c r="H700" s="105">
        <f t="shared" si="21"/>
        <v>5286848981</v>
      </c>
      <c r="I700" s="103">
        <v>0</v>
      </c>
      <c r="J700" s="109"/>
    </row>
    <row r="701" spans="1:10">
      <c r="A701" s="101" t="s">
        <v>45</v>
      </c>
      <c r="B701" s="88" t="s">
        <v>694</v>
      </c>
      <c r="C701" s="102">
        <v>2001</v>
      </c>
      <c r="D701" s="104">
        <v>1703241352</v>
      </c>
      <c r="E701" s="104">
        <v>2078864778.2</v>
      </c>
      <c r="F701" s="104">
        <v>2254660723</v>
      </c>
      <c r="G701" s="104">
        <v>0</v>
      </c>
      <c r="H701" s="105">
        <f t="shared" si="21"/>
        <v>6036766853.1999998</v>
      </c>
      <c r="I701" s="103">
        <v>0</v>
      </c>
      <c r="J701" s="109"/>
    </row>
    <row r="702" spans="1:10">
      <c r="A702" s="101" t="s">
        <v>45</v>
      </c>
      <c r="B702" s="88" t="s">
        <v>694</v>
      </c>
      <c r="C702" s="102">
        <v>2002</v>
      </c>
      <c r="D702" s="104">
        <v>1744145980</v>
      </c>
      <c r="E702" s="104">
        <v>2629263391</v>
      </c>
      <c r="F702" s="104">
        <v>2378845571</v>
      </c>
      <c r="G702" s="104">
        <v>0</v>
      </c>
      <c r="H702" s="105">
        <f t="shared" si="21"/>
        <v>6752254942</v>
      </c>
      <c r="I702" s="103">
        <v>0</v>
      </c>
      <c r="J702" s="109"/>
    </row>
    <row r="703" spans="1:10">
      <c r="A703" s="101" t="s">
        <v>45</v>
      </c>
      <c r="B703" s="88" t="s">
        <v>694</v>
      </c>
      <c r="C703" s="102">
        <v>2003</v>
      </c>
      <c r="D703" s="106">
        <v>1870965444</v>
      </c>
      <c r="E703" s="106">
        <v>3097895350</v>
      </c>
      <c r="F703" s="106">
        <v>2439223032</v>
      </c>
      <c r="G703" s="104">
        <v>0</v>
      </c>
      <c r="H703" s="105">
        <f t="shared" si="21"/>
        <v>7408083826</v>
      </c>
      <c r="I703" s="103">
        <v>0</v>
      </c>
      <c r="J703" s="109"/>
    </row>
    <row r="704" spans="1:10">
      <c r="A704" s="101" t="s">
        <v>45</v>
      </c>
      <c r="B704" s="88" t="s">
        <v>694</v>
      </c>
      <c r="C704" s="102">
        <v>2004</v>
      </c>
      <c r="D704" s="106">
        <v>1954175819</v>
      </c>
      <c r="E704" s="106">
        <v>2228188227</v>
      </c>
      <c r="F704" s="106">
        <v>2492018708</v>
      </c>
      <c r="G704" s="104">
        <v>0</v>
      </c>
      <c r="H704" s="105">
        <f t="shared" si="21"/>
        <v>6674382754</v>
      </c>
      <c r="I704" s="103">
        <v>0</v>
      </c>
      <c r="J704" s="109"/>
    </row>
    <row r="705" spans="1:11">
      <c r="A705" s="101" t="s">
        <v>45</v>
      </c>
      <c r="B705" s="88" t="s">
        <v>694</v>
      </c>
      <c r="C705" s="102">
        <v>2005</v>
      </c>
      <c r="D705" s="106">
        <v>1965492865</v>
      </c>
      <c r="E705" s="106">
        <v>2274841052</v>
      </c>
      <c r="F705" s="106">
        <v>2688549703.5900002</v>
      </c>
      <c r="G705" s="104">
        <v>0</v>
      </c>
      <c r="H705" s="105">
        <f t="shared" si="21"/>
        <v>6928883620.5900002</v>
      </c>
      <c r="I705" s="103">
        <v>0</v>
      </c>
      <c r="J705" s="109"/>
    </row>
    <row r="706" spans="1:11">
      <c r="A706" s="101" t="s">
        <v>45</v>
      </c>
      <c r="B706" s="88" t="s">
        <v>694</v>
      </c>
      <c r="C706" s="102">
        <v>2006</v>
      </c>
      <c r="D706" s="103">
        <v>2143588207</v>
      </c>
      <c r="E706" s="103">
        <v>2123976820</v>
      </c>
      <c r="F706" s="103">
        <v>3202480666</v>
      </c>
      <c r="G706" s="103">
        <v>0</v>
      </c>
      <c r="H706" s="105">
        <f t="shared" si="21"/>
        <v>7470045693</v>
      </c>
      <c r="I706" s="103">
        <v>0</v>
      </c>
      <c r="J706" s="109"/>
    </row>
    <row r="707" spans="1:11">
      <c r="A707" s="101" t="s">
        <v>45</v>
      </c>
      <c r="B707" s="88" t="s">
        <v>694</v>
      </c>
      <c r="C707" s="102">
        <v>2007</v>
      </c>
      <c r="D707" s="103">
        <v>2204212801</v>
      </c>
      <c r="E707" s="103">
        <v>2403527601</v>
      </c>
      <c r="F707" s="103">
        <v>3773154488</v>
      </c>
      <c r="G707" s="103">
        <v>0</v>
      </c>
      <c r="H707" s="105">
        <f t="shared" si="21"/>
        <v>8380894890</v>
      </c>
      <c r="I707" s="103">
        <v>0</v>
      </c>
      <c r="J707" s="109"/>
    </row>
    <row r="708" spans="1:11">
      <c r="A708" s="101" t="s">
        <v>45</v>
      </c>
      <c r="B708" s="88" t="s">
        <v>694</v>
      </c>
      <c r="C708" s="102">
        <v>2008</v>
      </c>
      <c r="D708" s="103">
        <v>2346014021</v>
      </c>
      <c r="E708" s="103">
        <v>3374285781</v>
      </c>
      <c r="F708" s="103">
        <v>3955739445</v>
      </c>
      <c r="G708" s="103">
        <v>0</v>
      </c>
      <c r="H708" s="105">
        <f t="shared" si="21"/>
        <v>9676039247</v>
      </c>
      <c r="I708" s="103">
        <v>0</v>
      </c>
      <c r="J708" s="109"/>
    </row>
    <row r="709" spans="1:11">
      <c r="A709" s="101" t="s">
        <v>45</v>
      </c>
      <c r="B709" s="88" t="s">
        <v>694</v>
      </c>
      <c r="C709" s="102">
        <v>2009</v>
      </c>
      <c r="D709" s="103">
        <v>2490791657</v>
      </c>
      <c r="E709" s="103">
        <v>3523331529</v>
      </c>
      <c r="F709" s="103">
        <v>4137086391</v>
      </c>
      <c r="G709" s="103">
        <v>0</v>
      </c>
      <c r="H709" s="105">
        <f t="shared" si="21"/>
        <v>10151209577</v>
      </c>
      <c r="I709" s="103">
        <v>0</v>
      </c>
      <c r="J709" s="109"/>
    </row>
    <row r="710" spans="1:11">
      <c r="A710" s="101" t="s">
        <v>45</v>
      </c>
      <c r="B710" s="88" t="s">
        <v>694</v>
      </c>
      <c r="C710" s="102">
        <v>2010</v>
      </c>
      <c r="D710" s="103">
        <v>2612384311</v>
      </c>
      <c r="E710" s="103">
        <v>3139196728</v>
      </c>
      <c r="F710" s="103">
        <v>4261358993</v>
      </c>
      <c r="G710" s="103">
        <v>0</v>
      </c>
      <c r="H710" s="105">
        <f t="shared" si="21"/>
        <v>10012940032</v>
      </c>
      <c r="I710" s="103">
        <v>0</v>
      </c>
      <c r="J710" s="109"/>
    </row>
    <row r="711" spans="1:11">
      <c r="A711" s="101" t="s">
        <v>45</v>
      </c>
      <c r="B711" s="88" t="s">
        <v>694</v>
      </c>
      <c r="C711" s="102">
        <v>2011</v>
      </c>
      <c r="D711" s="103">
        <v>2723229675</v>
      </c>
      <c r="E711" s="103">
        <v>2868331167</v>
      </c>
      <c r="F711" s="103">
        <v>4393026859.3699999</v>
      </c>
      <c r="G711" s="103">
        <v>0</v>
      </c>
      <c r="H711" s="105">
        <f t="shared" si="21"/>
        <v>9984587701.3699989</v>
      </c>
      <c r="I711" s="103">
        <v>0</v>
      </c>
      <c r="J711" s="109"/>
    </row>
    <row r="712" spans="1:11">
      <c r="A712" s="101" t="s">
        <v>45</v>
      </c>
      <c r="B712" s="88" t="s">
        <v>694</v>
      </c>
      <c r="C712" s="102">
        <v>2012</v>
      </c>
      <c r="D712" s="103">
        <v>2816230110</v>
      </c>
      <c r="E712" s="103">
        <v>3388564402</v>
      </c>
      <c r="F712" s="103">
        <v>4050785188</v>
      </c>
      <c r="G712" s="103">
        <v>0</v>
      </c>
      <c r="H712" s="105">
        <f t="shared" si="21"/>
        <v>10255579700</v>
      </c>
      <c r="I712" s="103">
        <v>0</v>
      </c>
      <c r="J712" s="109"/>
    </row>
    <row r="713" spans="1:11">
      <c r="A713" s="101" t="s">
        <v>45</v>
      </c>
      <c r="B713" s="88" t="s">
        <v>694</v>
      </c>
      <c r="C713" s="102">
        <v>2013</v>
      </c>
      <c r="D713" s="103">
        <v>2870612075</v>
      </c>
      <c r="E713" s="103">
        <v>3238434822</v>
      </c>
      <c r="F713" s="103">
        <v>4031316015</v>
      </c>
      <c r="G713" s="103">
        <v>0</v>
      </c>
      <c r="H713" s="105">
        <f t="shared" si="21"/>
        <v>10140362912</v>
      </c>
      <c r="I713" s="103">
        <v>0</v>
      </c>
      <c r="J713" s="109"/>
    </row>
    <row r="714" spans="1:11">
      <c r="A714" s="101" t="s">
        <v>45</v>
      </c>
      <c r="B714" s="88" t="s">
        <v>694</v>
      </c>
      <c r="C714" s="102">
        <v>2014</v>
      </c>
      <c r="D714" s="103">
        <v>2937936849</v>
      </c>
      <c r="E714" s="103">
        <v>3350187348</v>
      </c>
      <c r="F714" s="103">
        <v>4232194224.4499998</v>
      </c>
      <c r="G714" s="103">
        <v>0</v>
      </c>
      <c r="H714" s="105">
        <f t="shared" si="21"/>
        <v>10520318421.450001</v>
      </c>
      <c r="I714" s="103">
        <v>0</v>
      </c>
      <c r="J714" s="109"/>
    </row>
    <row r="715" spans="1:11">
      <c r="A715" s="101" t="s">
        <v>45</v>
      </c>
      <c r="B715" s="88" t="s">
        <v>694</v>
      </c>
      <c r="C715" s="102">
        <v>2015</v>
      </c>
      <c r="D715" s="103">
        <v>2976639670</v>
      </c>
      <c r="E715" s="103">
        <v>3377788782</v>
      </c>
      <c r="F715" s="103">
        <v>4049752600</v>
      </c>
      <c r="G715" s="103">
        <v>0</v>
      </c>
      <c r="H715" s="105">
        <f t="shared" si="21"/>
        <v>10404181052</v>
      </c>
      <c r="I715" s="103">
        <v>0</v>
      </c>
      <c r="J715" s="109"/>
    </row>
    <row r="716" spans="1:11">
      <c r="A716" s="101" t="s">
        <v>45</v>
      </c>
      <c r="B716" s="88" t="s">
        <v>694</v>
      </c>
      <c r="C716" s="102">
        <v>2016</v>
      </c>
      <c r="D716" s="103">
        <v>3029402742</v>
      </c>
      <c r="E716" s="103">
        <v>4149649643</v>
      </c>
      <c r="F716" s="103">
        <v>4059641835</v>
      </c>
      <c r="G716" s="103">
        <v>0</v>
      </c>
      <c r="H716" s="105">
        <f t="shared" si="21"/>
        <v>11238694220</v>
      </c>
      <c r="I716" s="103">
        <v>0</v>
      </c>
      <c r="J716" s="109"/>
    </row>
    <row r="717" spans="1:11">
      <c r="A717" s="101" t="s">
        <v>45</v>
      </c>
      <c r="B717" s="88" t="s">
        <v>694</v>
      </c>
      <c r="C717" s="102">
        <v>2017</v>
      </c>
      <c r="D717" s="103">
        <v>3101906744</v>
      </c>
      <c r="E717" s="103">
        <v>3781620121</v>
      </c>
      <c r="F717" s="103">
        <v>4273960303.3199997</v>
      </c>
      <c r="G717" s="103">
        <v>0</v>
      </c>
      <c r="H717" s="105">
        <f t="shared" si="21"/>
        <v>11157487168.32</v>
      </c>
      <c r="I717" s="103">
        <v>0</v>
      </c>
      <c r="J717" s="109"/>
    </row>
    <row r="718" spans="1:11">
      <c r="A718" s="101" t="s">
        <v>45</v>
      </c>
      <c r="B718" s="88" t="s">
        <v>694</v>
      </c>
      <c r="C718" s="102">
        <v>2018</v>
      </c>
      <c r="D718" s="103">
        <v>3188615165</v>
      </c>
      <c r="E718" s="103">
        <v>4422283199</v>
      </c>
      <c r="F718" s="103">
        <v>4297782758.0599995</v>
      </c>
      <c r="G718" s="103">
        <v>0</v>
      </c>
      <c r="H718" s="105">
        <f t="shared" si="21"/>
        <v>11908681122.059999</v>
      </c>
      <c r="I718" s="103">
        <v>0</v>
      </c>
      <c r="J718" s="109"/>
    </row>
    <row r="719" spans="1:11">
      <c r="A719" s="101" t="s">
        <v>45</v>
      </c>
      <c r="B719" s="88" t="s">
        <v>694</v>
      </c>
      <c r="C719" s="102">
        <v>2019</v>
      </c>
      <c r="D719" s="103">
        <v>3280751411</v>
      </c>
      <c r="E719" s="103">
        <v>4556501025</v>
      </c>
      <c r="F719" s="103">
        <v>4335130528.3813</v>
      </c>
      <c r="G719" s="103">
        <v>0</v>
      </c>
      <c r="H719" s="105">
        <f t="shared" si="21"/>
        <v>12172382964.3813</v>
      </c>
      <c r="I719" s="103">
        <v>0</v>
      </c>
      <c r="J719" s="109"/>
    </row>
    <row r="720" spans="1:11">
      <c r="A720" s="101" t="s">
        <v>45</v>
      </c>
      <c r="B720" s="88" t="s">
        <v>694</v>
      </c>
      <c r="C720" s="102">
        <v>2020</v>
      </c>
      <c r="D720" s="103">
        <v>3282937315</v>
      </c>
      <c r="E720" s="103">
        <v>5313348456</v>
      </c>
      <c r="F720" s="103">
        <v>7952968577</v>
      </c>
      <c r="G720" s="103">
        <v>0</v>
      </c>
      <c r="H720" s="105">
        <f t="shared" si="21"/>
        <v>16549254348</v>
      </c>
      <c r="I720" s="103">
        <v>0</v>
      </c>
      <c r="J720" s="109" t="s">
        <v>687</v>
      </c>
      <c r="K720" s="52" t="s">
        <v>677</v>
      </c>
    </row>
    <row r="721" spans="1:10">
      <c r="A721" s="101"/>
      <c r="B721" s="107"/>
      <c r="D721" s="104"/>
      <c r="E721" s="104"/>
      <c r="F721" s="104"/>
      <c r="G721" s="104"/>
      <c r="H721" s="103"/>
      <c r="I721" s="103"/>
      <c r="J721" s="109"/>
    </row>
    <row r="722" spans="1:10">
      <c r="A722" s="101" t="s">
        <v>47</v>
      </c>
      <c r="B722" s="88" t="s">
        <v>182</v>
      </c>
      <c r="C722" s="102">
        <v>1988</v>
      </c>
      <c r="D722" s="104">
        <v>1495903361</v>
      </c>
      <c r="E722" s="104">
        <v>1449017699</v>
      </c>
      <c r="F722" s="104">
        <v>1099039902</v>
      </c>
      <c r="G722" s="104">
        <v>0</v>
      </c>
      <c r="H722" s="105">
        <f>SUM(D722:G722)</f>
        <v>4043960962</v>
      </c>
      <c r="I722" s="103">
        <v>0</v>
      </c>
      <c r="J722" s="109"/>
    </row>
    <row r="723" spans="1:10">
      <c r="A723" s="101" t="s">
        <v>47</v>
      </c>
      <c r="B723" s="88" t="s">
        <v>182</v>
      </c>
      <c r="C723" s="102">
        <v>1989</v>
      </c>
      <c r="D723" s="104">
        <v>1474726661</v>
      </c>
      <c r="E723" s="104">
        <v>1432451148</v>
      </c>
      <c r="F723" s="104">
        <v>1227571030</v>
      </c>
      <c r="G723" s="104">
        <v>0</v>
      </c>
      <c r="H723" s="105">
        <f t="shared" ref="H723:H754" si="22">SUM(D723:G723)</f>
        <v>4134748839</v>
      </c>
      <c r="I723" s="103">
        <v>0</v>
      </c>
      <c r="J723" s="109"/>
    </row>
    <row r="724" spans="1:10">
      <c r="A724" s="101" t="s">
        <v>47</v>
      </c>
      <c r="B724" s="88" t="s">
        <v>182</v>
      </c>
      <c r="C724" s="102">
        <v>1990</v>
      </c>
      <c r="D724" s="104">
        <v>1540835162</v>
      </c>
      <c r="E724" s="104">
        <v>2036694414.5599999</v>
      </c>
      <c r="F724" s="104">
        <v>1262552408</v>
      </c>
      <c r="G724" s="104">
        <v>0</v>
      </c>
      <c r="H724" s="105">
        <f t="shared" si="22"/>
        <v>4840081984.5599995</v>
      </c>
      <c r="I724" s="103">
        <v>0</v>
      </c>
      <c r="J724" s="109"/>
    </row>
    <row r="725" spans="1:10">
      <c r="A725" s="101" t="s">
        <v>47</v>
      </c>
      <c r="B725" s="88" t="s">
        <v>182</v>
      </c>
      <c r="C725" s="102">
        <v>1991</v>
      </c>
      <c r="D725" s="104">
        <v>1639871965</v>
      </c>
      <c r="E725" s="104">
        <v>1557117445</v>
      </c>
      <c r="F725" s="104">
        <v>1302733826</v>
      </c>
      <c r="G725" s="104">
        <v>0</v>
      </c>
      <c r="H725" s="105">
        <f t="shared" si="22"/>
        <v>4499723236</v>
      </c>
      <c r="I725" s="103">
        <v>0</v>
      </c>
      <c r="J725" s="109"/>
    </row>
    <row r="726" spans="1:10">
      <c r="A726" s="101" t="s">
        <v>47</v>
      </c>
      <c r="B726" s="88" t="s">
        <v>182</v>
      </c>
      <c r="C726" s="102">
        <v>1992</v>
      </c>
      <c r="D726" s="104">
        <v>1795643916</v>
      </c>
      <c r="E726" s="104">
        <v>1468916212.6800001</v>
      </c>
      <c r="F726" s="104">
        <v>1284972004</v>
      </c>
      <c r="G726" s="104">
        <v>0</v>
      </c>
      <c r="H726" s="105">
        <f t="shared" si="22"/>
        <v>4549532132.6800003</v>
      </c>
      <c r="I726" s="103">
        <v>0</v>
      </c>
      <c r="J726" s="109"/>
    </row>
    <row r="727" spans="1:10">
      <c r="A727" s="101" t="s">
        <v>47</v>
      </c>
      <c r="B727" s="88" t="s">
        <v>182</v>
      </c>
      <c r="C727" s="102">
        <v>1993</v>
      </c>
      <c r="D727" s="104">
        <v>1773549766</v>
      </c>
      <c r="E727" s="104">
        <v>1336044258</v>
      </c>
      <c r="F727" s="104">
        <v>1306814253</v>
      </c>
      <c r="G727" s="104">
        <v>0</v>
      </c>
      <c r="H727" s="105">
        <f t="shared" si="22"/>
        <v>4416408277</v>
      </c>
      <c r="I727" s="103">
        <v>0</v>
      </c>
      <c r="J727" s="109"/>
    </row>
    <row r="728" spans="1:10">
      <c r="A728" s="101" t="s">
        <v>47</v>
      </c>
      <c r="B728" s="88" t="s">
        <v>182</v>
      </c>
      <c r="C728" s="102">
        <v>1994</v>
      </c>
      <c r="D728" s="104">
        <v>1952761854</v>
      </c>
      <c r="E728" s="104">
        <v>1683031581</v>
      </c>
      <c r="F728" s="104">
        <v>1351159104</v>
      </c>
      <c r="G728" s="104">
        <v>0</v>
      </c>
      <c r="H728" s="105">
        <f t="shared" si="22"/>
        <v>4986952539</v>
      </c>
      <c r="I728" s="103">
        <v>0</v>
      </c>
      <c r="J728" s="109"/>
    </row>
    <row r="729" spans="1:10">
      <c r="A729" s="101" t="s">
        <v>47</v>
      </c>
      <c r="B729" s="88" t="s">
        <v>182</v>
      </c>
      <c r="C729" s="102">
        <v>1995</v>
      </c>
      <c r="D729" s="104">
        <v>2016029763</v>
      </c>
      <c r="E729" s="104">
        <v>1636478483</v>
      </c>
      <c r="F729" s="104">
        <v>1402023700</v>
      </c>
      <c r="G729" s="104">
        <v>0</v>
      </c>
      <c r="H729" s="105">
        <f t="shared" si="22"/>
        <v>5054531946</v>
      </c>
      <c r="I729" s="103">
        <v>0</v>
      </c>
      <c r="J729" s="109"/>
    </row>
    <row r="730" spans="1:10">
      <c r="A730" s="101" t="s">
        <v>47</v>
      </c>
      <c r="B730" s="88" t="s">
        <v>182</v>
      </c>
      <c r="C730" s="102">
        <v>1996</v>
      </c>
      <c r="D730" s="104">
        <v>2126058141</v>
      </c>
      <c r="E730" s="104">
        <v>1685437475</v>
      </c>
      <c r="F730" s="104">
        <v>1421531435</v>
      </c>
      <c r="G730" s="104">
        <v>0</v>
      </c>
      <c r="H730" s="105">
        <f t="shared" si="22"/>
        <v>5233027051</v>
      </c>
      <c r="I730" s="103">
        <v>0</v>
      </c>
      <c r="J730" s="109"/>
    </row>
    <row r="731" spans="1:10">
      <c r="A731" s="101" t="s">
        <v>47</v>
      </c>
      <c r="B731" s="88" t="s">
        <v>182</v>
      </c>
      <c r="C731" s="102">
        <v>1997</v>
      </c>
      <c r="D731" s="104">
        <v>2015196332</v>
      </c>
      <c r="E731" s="104">
        <v>2237016754</v>
      </c>
      <c r="F731" s="104">
        <v>1447797964</v>
      </c>
      <c r="G731" s="104">
        <v>0</v>
      </c>
      <c r="H731" s="105">
        <f t="shared" si="22"/>
        <v>5700011050</v>
      </c>
      <c r="I731" s="103">
        <v>0</v>
      </c>
      <c r="J731" s="109"/>
    </row>
    <row r="732" spans="1:10">
      <c r="A732" s="101" t="s">
        <v>47</v>
      </c>
      <c r="B732" s="88" t="s">
        <v>182</v>
      </c>
      <c r="C732" s="102">
        <v>1998</v>
      </c>
      <c r="D732" s="104">
        <v>2178082597</v>
      </c>
      <c r="E732" s="104">
        <v>2045636611</v>
      </c>
      <c r="F732" s="104">
        <v>1461570316</v>
      </c>
      <c r="G732" s="104">
        <v>0</v>
      </c>
      <c r="H732" s="105">
        <f t="shared" si="22"/>
        <v>5685289524</v>
      </c>
      <c r="I732" s="103">
        <v>0</v>
      </c>
      <c r="J732" s="109"/>
    </row>
    <row r="733" spans="1:10">
      <c r="A733" s="101" t="s">
        <v>47</v>
      </c>
      <c r="B733" s="88" t="s">
        <v>182</v>
      </c>
      <c r="C733" s="102">
        <v>1999</v>
      </c>
      <c r="D733" s="104">
        <v>2251025613</v>
      </c>
      <c r="E733" s="104">
        <v>1973735739</v>
      </c>
      <c r="F733" s="104">
        <v>1517335968</v>
      </c>
      <c r="G733" s="104">
        <v>0</v>
      </c>
      <c r="H733" s="105">
        <f t="shared" si="22"/>
        <v>5742097320</v>
      </c>
      <c r="I733" s="103">
        <v>0</v>
      </c>
      <c r="J733" s="109"/>
    </row>
    <row r="734" spans="1:10">
      <c r="A734" s="101" t="s">
        <v>47</v>
      </c>
      <c r="B734" s="88" t="s">
        <v>182</v>
      </c>
      <c r="C734" s="102">
        <v>2000</v>
      </c>
      <c r="D734" s="104">
        <v>2317918323</v>
      </c>
      <c r="E734" s="104">
        <v>2356065929</v>
      </c>
      <c r="F734" s="104">
        <v>1564452794</v>
      </c>
      <c r="G734" s="104">
        <v>0</v>
      </c>
      <c r="H734" s="105">
        <f t="shared" si="22"/>
        <v>6238437046</v>
      </c>
      <c r="I734" s="103">
        <v>0</v>
      </c>
      <c r="J734" s="109"/>
    </row>
    <row r="735" spans="1:10">
      <c r="A735" s="101" t="s">
        <v>47</v>
      </c>
      <c r="B735" s="88" t="s">
        <v>182</v>
      </c>
      <c r="C735" s="102">
        <v>2001</v>
      </c>
      <c r="D735" s="104">
        <v>2465063164</v>
      </c>
      <c r="E735" s="104">
        <v>4309396314</v>
      </c>
      <c r="F735" s="104">
        <v>1549668704</v>
      </c>
      <c r="G735" s="104">
        <v>0</v>
      </c>
      <c r="H735" s="105">
        <f t="shared" si="22"/>
        <v>8324128182</v>
      </c>
      <c r="I735" s="103">
        <v>0</v>
      </c>
      <c r="J735" s="109"/>
    </row>
    <row r="736" spans="1:10">
      <c r="A736" s="101" t="s">
        <v>47</v>
      </c>
      <c r="B736" s="88" t="s">
        <v>182</v>
      </c>
      <c r="C736" s="102">
        <v>2002</v>
      </c>
      <c r="D736" s="104">
        <v>2394220913</v>
      </c>
      <c r="E736" s="104">
        <v>5838753349</v>
      </c>
      <c r="F736" s="104">
        <v>1572629131</v>
      </c>
      <c r="G736" s="104">
        <v>0</v>
      </c>
      <c r="H736" s="105">
        <f t="shared" si="22"/>
        <v>9805603393</v>
      </c>
      <c r="I736" s="103">
        <v>0</v>
      </c>
      <c r="J736" s="109"/>
    </row>
    <row r="737" spans="1:10">
      <c r="A737" s="101" t="s">
        <v>47</v>
      </c>
      <c r="B737" s="88" t="s">
        <v>182</v>
      </c>
      <c r="C737" s="102">
        <v>2003</v>
      </c>
      <c r="D737" s="106">
        <v>2497037709</v>
      </c>
      <c r="E737" s="106">
        <v>4533721741</v>
      </c>
      <c r="F737" s="106">
        <v>1623672778</v>
      </c>
      <c r="G737" s="104">
        <v>0</v>
      </c>
      <c r="H737" s="105">
        <f t="shared" si="22"/>
        <v>8654432228</v>
      </c>
      <c r="I737" s="103">
        <v>0</v>
      </c>
      <c r="J737" s="109"/>
    </row>
    <row r="738" spans="1:10">
      <c r="A738" s="101" t="s">
        <v>47</v>
      </c>
      <c r="B738" s="88" t="s">
        <v>182</v>
      </c>
      <c r="C738" s="102">
        <v>2004</v>
      </c>
      <c r="D738" s="106">
        <v>2609697872</v>
      </c>
      <c r="E738" s="106">
        <v>3606044777</v>
      </c>
      <c r="F738" s="106">
        <v>1721880477</v>
      </c>
      <c r="G738" s="104">
        <v>0</v>
      </c>
      <c r="H738" s="105">
        <f t="shared" si="22"/>
        <v>7937623126</v>
      </c>
      <c r="I738" s="103">
        <v>0</v>
      </c>
      <c r="J738" s="109"/>
    </row>
    <row r="739" spans="1:10">
      <c r="A739" s="101" t="s">
        <v>47</v>
      </c>
      <c r="B739" s="88" t="s">
        <v>182</v>
      </c>
      <c r="C739" s="102">
        <v>2005</v>
      </c>
      <c r="D739" s="106">
        <v>2531002994</v>
      </c>
      <c r="E739" s="106">
        <v>2729911928</v>
      </c>
      <c r="F739" s="106">
        <v>1857261232.1099999</v>
      </c>
      <c r="G739" s="104">
        <v>0</v>
      </c>
      <c r="H739" s="105">
        <f t="shared" si="22"/>
        <v>7118176154.1099997</v>
      </c>
      <c r="I739" s="103">
        <v>0</v>
      </c>
      <c r="J739" s="109"/>
    </row>
    <row r="740" spans="1:10">
      <c r="A740" s="101" t="s">
        <v>47</v>
      </c>
      <c r="B740" s="88" t="s">
        <v>182</v>
      </c>
      <c r="C740" s="102">
        <v>2006</v>
      </c>
      <c r="D740" s="103">
        <v>2741722639</v>
      </c>
      <c r="E740" s="103">
        <v>3119107409</v>
      </c>
      <c r="F740" s="103">
        <v>2222285352</v>
      </c>
      <c r="G740" s="103">
        <v>0</v>
      </c>
      <c r="H740" s="105">
        <f t="shared" si="22"/>
        <v>8083115400</v>
      </c>
      <c r="I740" s="103">
        <v>0</v>
      </c>
      <c r="J740" s="109"/>
    </row>
    <row r="741" spans="1:10">
      <c r="A741" s="101" t="s">
        <v>47</v>
      </c>
      <c r="B741" s="88" t="s">
        <v>182</v>
      </c>
      <c r="C741" s="102">
        <v>2007</v>
      </c>
      <c r="D741" s="103">
        <v>2866121147</v>
      </c>
      <c r="E741" s="103">
        <v>3878282223</v>
      </c>
      <c r="F741" s="103">
        <v>2561300175</v>
      </c>
      <c r="G741" s="103">
        <v>0</v>
      </c>
      <c r="H741" s="105">
        <f t="shared" si="22"/>
        <v>9305703545</v>
      </c>
      <c r="I741" s="103">
        <v>0</v>
      </c>
      <c r="J741" s="109"/>
    </row>
    <row r="742" spans="1:10">
      <c r="A742" s="101" t="s">
        <v>47</v>
      </c>
      <c r="B742" s="88" t="s">
        <v>182</v>
      </c>
      <c r="C742" s="102">
        <v>2008</v>
      </c>
      <c r="D742" s="103">
        <v>2862374744</v>
      </c>
      <c r="E742" s="103">
        <v>4933584934</v>
      </c>
      <c r="F742" s="103">
        <v>2813788101</v>
      </c>
      <c r="G742" s="103">
        <v>0</v>
      </c>
      <c r="H742" s="105">
        <f t="shared" si="22"/>
        <v>10609747779</v>
      </c>
      <c r="I742" s="103">
        <v>0</v>
      </c>
      <c r="J742" s="109"/>
    </row>
    <row r="743" spans="1:10">
      <c r="A743" s="101" t="s">
        <v>47</v>
      </c>
      <c r="B743" s="88" t="s">
        <v>182</v>
      </c>
      <c r="C743" s="102">
        <v>2009</v>
      </c>
      <c r="D743" s="103">
        <v>2934503382</v>
      </c>
      <c r="E743" s="103">
        <v>4606503746</v>
      </c>
      <c r="F743" s="103">
        <v>2946206681</v>
      </c>
      <c r="G743" s="103">
        <v>0</v>
      </c>
      <c r="H743" s="105">
        <f t="shared" si="22"/>
        <v>10487213809</v>
      </c>
      <c r="I743" s="103">
        <v>0</v>
      </c>
      <c r="J743" s="109"/>
    </row>
    <row r="744" spans="1:10">
      <c r="A744" s="101" t="s">
        <v>47</v>
      </c>
      <c r="B744" s="88" t="s">
        <v>182</v>
      </c>
      <c r="C744" s="102">
        <v>2010</v>
      </c>
      <c r="D744" s="103">
        <v>3064249995</v>
      </c>
      <c r="E744" s="103">
        <v>3761822132</v>
      </c>
      <c r="F744" s="103">
        <v>3075005043</v>
      </c>
      <c r="G744" s="103">
        <v>0</v>
      </c>
      <c r="H744" s="105">
        <f t="shared" si="22"/>
        <v>9901077170</v>
      </c>
      <c r="I744" s="103">
        <v>0</v>
      </c>
      <c r="J744" s="109"/>
    </row>
    <row r="745" spans="1:10">
      <c r="A745" s="101" t="s">
        <v>47</v>
      </c>
      <c r="B745" s="88" t="s">
        <v>182</v>
      </c>
      <c r="C745" s="102">
        <v>2011</v>
      </c>
      <c r="D745" s="103">
        <v>3199273283</v>
      </c>
      <c r="E745" s="103">
        <v>3379995532</v>
      </c>
      <c r="F745" s="103">
        <v>3247956300.2200003</v>
      </c>
      <c r="G745" s="103">
        <v>0</v>
      </c>
      <c r="H745" s="105">
        <f t="shared" si="22"/>
        <v>9827225115.2200012</v>
      </c>
      <c r="I745" s="103">
        <v>0</v>
      </c>
      <c r="J745" s="109"/>
    </row>
    <row r="746" spans="1:10">
      <c r="A746" s="101" t="s">
        <v>47</v>
      </c>
      <c r="B746" s="88" t="s">
        <v>182</v>
      </c>
      <c r="C746" s="102">
        <v>2012</v>
      </c>
      <c r="D746" s="103">
        <v>3279323453</v>
      </c>
      <c r="E746" s="103">
        <v>4835724938</v>
      </c>
      <c r="F746" s="103">
        <v>3510145409</v>
      </c>
      <c r="G746" s="103">
        <v>0</v>
      </c>
      <c r="H746" s="105">
        <f t="shared" si="22"/>
        <v>11625193800</v>
      </c>
      <c r="I746" s="103">
        <v>0</v>
      </c>
      <c r="J746" s="109"/>
    </row>
    <row r="747" spans="1:10">
      <c r="A747" s="101" t="s">
        <v>47</v>
      </c>
      <c r="B747" s="88" t="s">
        <v>182</v>
      </c>
      <c r="C747" s="102">
        <v>2013</v>
      </c>
      <c r="D747" s="103">
        <v>3620831372</v>
      </c>
      <c r="E747" s="103">
        <v>4379749719</v>
      </c>
      <c r="F747" s="103">
        <v>3725971919</v>
      </c>
      <c r="G747" s="103">
        <v>0</v>
      </c>
      <c r="H747" s="105">
        <f t="shared" si="22"/>
        <v>11726553010</v>
      </c>
      <c r="I747" s="103">
        <v>0</v>
      </c>
      <c r="J747" s="109"/>
    </row>
    <row r="748" spans="1:10">
      <c r="A748" s="101" t="s">
        <v>47</v>
      </c>
      <c r="B748" s="88" t="s">
        <v>182</v>
      </c>
      <c r="C748" s="102">
        <v>2014</v>
      </c>
      <c r="D748" s="103">
        <v>3387253143</v>
      </c>
      <c r="E748" s="103">
        <v>4671860252</v>
      </c>
      <c r="F748" s="103">
        <v>3831889599.73</v>
      </c>
      <c r="G748" s="103">
        <v>0</v>
      </c>
      <c r="H748" s="105">
        <f t="shared" si="22"/>
        <v>11891002994.73</v>
      </c>
      <c r="I748" s="103">
        <v>0</v>
      </c>
      <c r="J748" s="109"/>
    </row>
    <row r="749" spans="1:10">
      <c r="A749" s="101" t="s">
        <v>47</v>
      </c>
      <c r="B749" s="88" t="s">
        <v>182</v>
      </c>
      <c r="C749" s="102">
        <v>2015</v>
      </c>
      <c r="D749" s="103">
        <v>3475484404</v>
      </c>
      <c r="E749" s="103">
        <v>4812704772</v>
      </c>
      <c r="F749" s="103">
        <v>3429949951</v>
      </c>
      <c r="G749" s="103">
        <v>0</v>
      </c>
      <c r="H749" s="105">
        <f t="shared" si="22"/>
        <v>11718139127</v>
      </c>
      <c r="I749" s="103">
        <v>0</v>
      </c>
      <c r="J749" s="109"/>
    </row>
    <row r="750" spans="1:10">
      <c r="A750" s="101" t="s">
        <v>47</v>
      </c>
      <c r="B750" s="88" t="s">
        <v>182</v>
      </c>
      <c r="C750" s="102">
        <v>2016</v>
      </c>
      <c r="D750" s="103">
        <v>3540577331</v>
      </c>
      <c r="E750" s="103">
        <v>5692813011</v>
      </c>
      <c r="F750" s="103">
        <v>3497093574</v>
      </c>
      <c r="G750" s="103">
        <v>0</v>
      </c>
      <c r="H750" s="105">
        <f t="shared" si="22"/>
        <v>12730483916</v>
      </c>
      <c r="I750" s="103">
        <v>0</v>
      </c>
      <c r="J750" s="109"/>
    </row>
    <row r="751" spans="1:10">
      <c r="A751" s="101" t="s">
        <v>47</v>
      </c>
      <c r="B751" s="88" t="s">
        <v>182</v>
      </c>
      <c r="C751" s="102">
        <v>2017</v>
      </c>
      <c r="D751" s="103">
        <v>3679188258</v>
      </c>
      <c r="E751" s="103">
        <v>5495401723</v>
      </c>
      <c r="F751" s="103">
        <v>3749654886.2799997</v>
      </c>
      <c r="G751" s="103">
        <v>0</v>
      </c>
      <c r="H751" s="105">
        <f t="shared" si="22"/>
        <v>12924244867.279999</v>
      </c>
      <c r="I751" s="103">
        <v>0</v>
      </c>
      <c r="J751" s="109"/>
    </row>
    <row r="752" spans="1:10">
      <c r="A752" s="101" t="s">
        <v>47</v>
      </c>
      <c r="B752" s="88" t="s">
        <v>182</v>
      </c>
      <c r="C752" s="102">
        <v>2018</v>
      </c>
      <c r="D752" s="103">
        <v>3688771108</v>
      </c>
      <c r="E752" s="103">
        <v>6664576940</v>
      </c>
      <c r="F752" s="103">
        <v>3863195096.6800003</v>
      </c>
      <c r="G752" s="103">
        <v>0</v>
      </c>
      <c r="H752" s="105">
        <f t="shared" si="22"/>
        <v>14216543144.68</v>
      </c>
      <c r="I752" s="103">
        <v>0</v>
      </c>
      <c r="J752" s="109"/>
    </row>
    <row r="753" spans="1:10">
      <c r="A753" s="101" t="s">
        <v>47</v>
      </c>
      <c r="B753" s="88" t="s">
        <v>182</v>
      </c>
      <c r="C753" s="102">
        <v>2019</v>
      </c>
      <c r="D753" s="103">
        <v>4012490300</v>
      </c>
      <c r="E753" s="103">
        <v>6281641121</v>
      </c>
      <c r="F753" s="103">
        <v>4098550585.7911997</v>
      </c>
      <c r="G753" s="103">
        <v>0</v>
      </c>
      <c r="H753" s="105">
        <f t="shared" si="22"/>
        <v>14392682006.791199</v>
      </c>
      <c r="I753" s="103">
        <v>0</v>
      </c>
      <c r="J753" s="109"/>
    </row>
    <row r="754" spans="1:10">
      <c r="A754" s="101" t="s">
        <v>47</v>
      </c>
      <c r="B754" s="88" t="s">
        <v>182</v>
      </c>
      <c r="C754" s="102">
        <v>2020</v>
      </c>
      <c r="D754" s="103">
        <v>3762212398</v>
      </c>
      <c r="E754" s="103">
        <v>6360388132</v>
      </c>
      <c r="F754" s="103">
        <v>3889894003</v>
      </c>
      <c r="G754" s="103">
        <v>0</v>
      </c>
      <c r="H754" s="105">
        <f t="shared" si="22"/>
        <v>14012494533</v>
      </c>
      <c r="I754" s="103">
        <v>0</v>
      </c>
      <c r="J754" s="109"/>
    </row>
    <row r="755" spans="1:10">
      <c r="C755" s="97"/>
      <c r="D755" s="104"/>
      <c r="E755" s="104"/>
      <c r="F755" s="104"/>
      <c r="G755" s="104"/>
      <c r="H755" s="103"/>
      <c r="I755" s="103"/>
      <c r="J755" s="109"/>
    </row>
    <row r="756" spans="1:10">
      <c r="A756" s="101" t="s">
        <v>49</v>
      </c>
      <c r="B756" s="88" t="s">
        <v>239</v>
      </c>
      <c r="C756" s="102">
        <v>1988</v>
      </c>
      <c r="D756" s="104">
        <v>1855610143</v>
      </c>
      <c r="E756" s="104">
        <v>1553938792</v>
      </c>
      <c r="F756" s="104">
        <v>1453410515</v>
      </c>
      <c r="G756" s="104">
        <v>1109329044</v>
      </c>
      <c r="H756" s="105">
        <f>SUM(D756:G756)</f>
        <v>5972288494</v>
      </c>
      <c r="I756" s="103">
        <v>0</v>
      </c>
      <c r="J756" s="109"/>
    </row>
    <row r="757" spans="1:10">
      <c r="A757" s="101" t="s">
        <v>49</v>
      </c>
      <c r="B757" s="88" t="s">
        <v>239</v>
      </c>
      <c r="C757" s="102">
        <v>1989</v>
      </c>
      <c r="D757" s="104">
        <v>1857049022</v>
      </c>
      <c r="E757" s="104">
        <v>1735316639</v>
      </c>
      <c r="F757" s="104">
        <v>1545578978</v>
      </c>
      <c r="G757" s="104">
        <v>1163623048</v>
      </c>
      <c r="H757" s="105">
        <f t="shared" ref="H757:H788" si="23">SUM(D757:G757)</f>
        <v>6301567687</v>
      </c>
      <c r="I757" s="103">
        <v>0</v>
      </c>
      <c r="J757" s="109"/>
    </row>
    <row r="758" spans="1:10">
      <c r="A758" s="101" t="s">
        <v>49</v>
      </c>
      <c r="B758" s="88" t="s">
        <v>239</v>
      </c>
      <c r="C758" s="102">
        <v>1990</v>
      </c>
      <c r="D758" s="104">
        <v>2000769568</v>
      </c>
      <c r="E758" s="104">
        <v>1777661273.8399999</v>
      </c>
      <c r="F758" s="104">
        <v>1589421636</v>
      </c>
      <c r="G758" s="104">
        <v>1362796754</v>
      </c>
      <c r="H758" s="105">
        <f t="shared" si="23"/>
        <v>6730649231.8400002</v>
      </c>
      <c r="I758" s="103">
        <v>0</v>
      </c>
      <c r="J758" s="109"/>
    </row>
    <row r="759" spans="1:10">
      <c r="A759" s="101" t="s">
        <v>49</v>
      </c>
      <c r="B759" s="88" t="s">
        <v>239</v>
      </c>
      <c r="C759" s="102">
        <v>1991</v>
      </c>
      <c r="D759" s="104">
        <v>2210053550</v>
      </c>
      <c r="E759" s="104">
        <v>1668950527</v>
      </c>
      <c r="F759" s="104">
        <v>1581154698</v>
      </c>
      <c r="G759" s="104">
        <v>1384626158</v>
      </c>
      <c r="H759" s="105">
        <f t="shared" si="23"/>
        <v>6844784933</v>
      </c>
      <c r="I759" s="103">
        <v>0</v>
      </c>
      <c r="J759" s="109"/>
    </row>
    <row r="760" spans="1:10">
      <c r="A760" s="101" t="s">
        <v>49</v>
      </c>
      <c r="B760" s="88" t="s">
        <v>239</v>
      </c>
      <c r="C760" s="102">
        <v>1992</v>
      </c>
      <c r="D760" s="104">
        <v>2248287675</v>
      </c>
      <c r="E760" s="104">
        <v>1792416490.0799999</v>
      </c>
      <c r="F760" s="104">
        <v>1601874646</v>
      </c>
      <c r="G760" s="104">
        <v>1070650293</v>
      </c>
      <c r="H760" s="105">
        <f t="shared" si="23"/>
        <v>6713229104.0799999</v>
      </c>
      <c r="I760" s="103">
        <v>0</v>
      </c>
      <c r="J760" s="109"/>
    </row>
    <row r="761" spans="1:10">
      <c r="A761" s="101" t="s">
        <v>49</v>
      </c>
      <c r="B761" s="88" t="s">
        <v>239</v>
      </c>
      <c r="C761" s="102">
        <v>1993</v>
      </c>
      <c r="D761" s="104">
        <v>2485353453</v>
      </c>
      <c r="E761" s="104">
        <v>1736664084</v>
      </c>
      <c r="F761" s="104">
        <v>1604167301</v>
      </c>
      <c r="G761" s="104">
        <v>867041942</v>
      </c>
      <c r="H761" s="105">
        <f t="shared" si="23"/>
        <v>6693226780</v>
      </c>
      <c r="I761" s="103">
        <v>0</v>
      </c>
      <c r="J761" s="109"/>
    </row>
    <row r="762" spans="1:10">
      <c r="A762" s="101" t="s">
        <v>49</v>
      </c>
      <c r="B762" s="88" t="s">
        <v>239</v>
      </c>
      <c r="C762" s="102">
        <v>1994</v>
      </c>
      <c r="D762" s="104">
        <v>2978805847</v>
      </c>
      <c r="E762" s="104">
        <v>2297267431</v>
      </c>
      <c r="F762" s="104">
        <v>1706897004</v>
      </c>
      <c r="G762" s="104">
        <v>1011661921</v>
      </c>
      <c r="H762" s="105">
        <f t="shared" si="23"/>
        <v>7994632203</v>
      </c>
      <c r="I762" s="103">
        <v>0</v>
      </c>
      <c r="J762" s="109"/>
    </row>
    <row r="763" spans="1:10">
      <c r="A763" s="101" t="s">
        <v>49</v>
      </c>
      <c r="B763" s="88" t="s">
        <v>239</v>
      </c>
      <c r="C763" s="102">
        <v>1995</v>
      </c>
      <c r="D763" s="104">
        <v>2918346470</v>
      </c>
      <c r="E763" s="104">
        <v>2171776437</v>
      </c>
      <c r="F763" s="104">
        <v>1859132636</v>
      </c>
      <c r="G763" s="104">
        <v>1022581380</v>
      </c>
      <c r="H763" s="105">
        <f t="shared" si="23"/>
        <v>7971836923</v>
      </c>
      <c r="I763" s="103">
        <v>0</v>
      </c>
      <c r="J763" s="109"/>
    </row>
    <row r="764" spans="1:10">
      <c r="A764" s="101" t="s">
        <v>49</v>
      </c>
      <c r="B764" s="88" t="s">
        <v>239</v>
      </c>
      <c r="C764" s="102">
        <v>1996</v>
      </c>
      <c r="D764" s="104">
        <v>3063404886</v>
      </c>
      <c r="E764" s="104">
        <v>1979040338</v>
      </c>
      <c r="F764" s="104">
        <v>1985247343</v>
      </c>
      <c r="G764" s="104">
        <v>820203637</v>
      </c>
      <c r="H764" s="105">
        <f t="shared" si="23"/>
        <v>7847896204</v>
      </c>
      <c r="I764" s="103">
        <v>0</v>
      </c>
      <c r="J764" s="109"/>
    </row>
    <row r="765" spans="1:10">
      <c r="A765" s="101" t="s">
        <v>49</v>
      </c>
      <c r="B765" s="88" t="s">
        <v>239</v>
      </c>
      <c r="C765" s="102">
        <v>1997</v>
      </c>
      <c r="D765" s="104">
        <v>3007994700</v>
      </c>
      <c r="E765" s="104">
        <v>1957958270</v>
      </c>
      <c r="F765" s="104">
        <v>2034634179</v>
      </c>
      <c r="G765" s="104">
        <v>627329550</v>
      </c>
      <c r="H765" s="105">
        <f t="shared" si="23"/>
        <v>7627916699</v>
      </c>
      <c r="I765" s="103">
        <v>0</v>
      </c>
      <c r="J765" s="109"/>
    </row>
    <row r="766" spans="1:10">
      <c r="A766" s="101" t="s">
        <v>49</v>
      </c>
      <c r="B766" s="88" t="s">
        <v>239</v>
      </c>
      <c r="C766" s="102">
        <v>1998</v>
      </c>
      <c r="D766" s="104">
        <v>2705992023</v>
      </c>
      <c r="E766" s="104">
        <v>1898792707</v>
      </c>
      <c r="F766" s="104">
        <v>2066435426</v>
      </c>
      <c r="G766" s="104">
        <v>713488177</v>
      </c>
      <c r="H766" s="105">
        <f t="shared" si="23"/>
        <v>7384708333</v>
      </c>
      <c r="I766" s="103">
        <v>0</v>
      </c>
      <c r="J766" s="109"/>
    </row>
    <row r="767" spans="1:10">
      <c r="A767" s="101" t="s">
        <v>49</v>
      </c>
      <c r="B767" s="88" t="s">
        <v>239</v>
      </c>
      <c r="C767" s="102">
        <v>1999</v>
      </c>
      <c r="D767" s="104">
        <v>2763504926</v>
      </c>
      <c r="E767" s="104">
        <v>2594015398</v>
      </c>
      <c r="F767" s="104">
        <v>2216388274</v>
      </c>
      <c r="G767" s="104">
        <v>966991661</v>
      </c>
      <c r="H767" s="105">
        <f t="shared" si="23"/>
        <v>8540900259</v>
      </c>
      <c r="I767" s="103">
        <v>0</v>
      </c>
      <c r="J767" s="109"/>
    </row>
    <row r="768" spans="1:10">
      <c r="A768" s="101" t="s">
        <v>49</v>
      </c>
      <c r="B768" s="88" t="s">
        <v>239</v>
      </c>
      <c r="C768" s="102">
        <v>2000</v>
      </c>
      <c r="D768" s="104">
        <v>2744918659</v>
      </c>
      <c r="E768" s="104">
        <v>2813655418</v>
      </c>
      <c r="F768" s="104">
        <v>2350271075</v>
      </c>
      <c r="G768" s="104">
        <v>589261451</v>
      </c>
      <c r="H768" s="105">
        <f t="shared" si="23"/>
        <v>8498106603</v>
      </c>
      <c r="I768" s="103">
        <v>0</v>
      </c>
      <c r="J768" s="109"/>
    </row>
    <row r="769" spans="1:10">
      <c r="A769" s="101" t="s">
        <v>49</v>
      </c>
      <c r="B769" s="88" t="s">
        <v>239</v>
      </c>
      <c r="C769" s="102">
        <v>2001</v>
      </c>
      <c r="D769" s="104">
        <v>2887372556</v>
      </c>
      <c r="E769" s="104">
        <v>3677775868</v>
      </c>
      <c r="F769" s="104">
        <v>2519311845</v>
      </c>
      <c r="G769" s="104">
        <v>610006815</v>
      </c>
      <c r="H769" s="105">
        <f t="shared" si="23"/>
        <v>9694467084</v>
      </c>
      <c r="I769" s="103">
        <v>0</v>
      </c>
      <c r="J769" s="109"/>
    </row>
    <row r="770" spans="1:10">
      <c r="A770" s="101" t="s">
        <v>49</v>
      </c>
      <c r="B770" s="88" t="s">
        <v>239</v>
      </c>
      <c r="C770" s="102">
        <v>2002</v>
      </c>
      <c r="D770" s="104">
        <v>2850227855</v>
      </c>
      <c r="E770" s="104">
        <v>5533889969</v>
      </c>
      <c r="F770" s="104">
        <v>2596503507</v>
      </c>
      <c r="G770" s="104">
        <v>870994054</v>
      </c>
      <c r="H770" s="105">
        <f t="shared" si="23"/>
        <v>11851615385</v>
      </c>
      <c r="I770" s="103">
        <v>0</v>
      </c>
      <c r="J770" s="109"/>
    </row>
    <row r="771" spans="1:10">
      <c r="A771" s="101" t="s">
        <v>49</v>
      </c>
      <c r="B771" s="88" t="s">
        <v>239</v>
      </c>
      <c r="C771" s="102">
        <v>2003</v>
      </c>
      <c r="D771" s="106">
        <v>2963186613</v>
      </c>
      <c r="E771" s="106">
        <v>5222886535</v>
      </c>
      <c r="F771" s="106">
        <v>2869234562</v>
      </c>
      <c r="G771" s="106">
        <v>673768879</v>
      </c>
      <c r="H771" s="105">
        <f t="shared" si="23"/>
        <v>11729076589</v>
      </c>
      <c r="I771" s="103">
        <v>0</v>
      </c>
      <c r="J771" s="109"/>
    </row>
    <row r="772" spans="1:10">
      <c r="A772" s="101" t="s">
        <v>49</v>
      </c>
      <c r="B772" s="88" t="s">
        <v>239</v>
      </c>
      <c r="C772" s="102">
        <v>2004</v>
      </c>
      <c r="D772" s="106">
        <v>2979157174</v>
      </c>
      <c r="E772" s="106">
        <v>5118497631</v>
      </c>
      <c r="F772" s="106">
        <v>3072445243</v>
      </c>
      <c r="G772" s="106">
        <v>831153682</v>
      </c>
      <c r="H772" s="105">
        <f t="shared" si="23"/>
        <v>12001253730</v>
      </c>
      <c r="I772" s="103">
        <v>0</v>
      </c>
      <c r="J772" s="109"/>
    </row>
    <row r="773" spans="1:10">
      <c r="A773" s="101" t="s">
        <v>49</v>
      </c>
      <c r="B773" s="88" t="s">
        <v>239</v>
      </c>
      <c r="C773" s="102">
        <v>2005</v>
      </c>
      <c r="D773" s="106">
        <v>3108986092</v>
      </c>
      <c r="E773" s="106">
        <v>3484001258</v>
      </c>
      <c r="F773" s="106">
        <v>3247417326.4699998</v>
      </c>
      <c r="G773" s="106">
        <v>863608289</v>
      </c>
      <c r="H773" s="105">
        <f t="shared" si="23"/>
        <v>10704012965.469999</v>
      </c>
      <c r="I773" s="103">
        <v>0</v>
      </c>
      <c r="J773" s="109"/>
    </row>
    <row r="774" spans="1:10">
      <c r="A774" s="101" t="s">
        <v>49</v>
      </c>
      <c r="B774" s="88" t="s">
        <v>239</v>
      </c>
      <c r="C774" s="102">
        <v>2006</v>
      </c>
      <c r="D774" s="103">
        <v>3240263338</v>
      </c>
      <c r="E774" s="103">
        <v>3346004387</v>
      </c>
      <c r="F774" s="103">
        <v>3513831752</v>
      </c>
      <c r="G774" s="103">
        <v>1000164584</v>
      </c>
      <c r="H774" s="105">
        <f t="shared" si="23"/>
        <v>11100264061</v>
      </c>
      <c r="I774" s="103">
        <v>0</v>
      </c>
      <c r="J774" s="109"/>
    </row>
    <row r="775" spans="1:10">
      <c r="A775" s="101" t="s">
        <v>49</v>
      </c>
      <c r="B775" s="88" t="s">
        <v>239</v>
      </c>
      <c r="C775" s="102">
        <v>2007</v>
      </c>
      <c r="D775" s="103">
        <v>3378928574</v>
      </c>
      <c r="E775" s="103">
        <v>5199853673</v>
      </c>
      <c r="F775" s="103">
        <v>3625761777</v>
      </c>
      <c r="G775" s="103">
        <v>204765259</v>
      </c>
      <c r="H775" s="105">
        <f t="shared" si="23"/>
        <v>12409309283</v>
      </c>
      <c r="I775" s="103">
        <v>32267065</v>
      </c>
      <c r="J775" s="109" t="s">
        <v>675</v>
      </c>
    </row>
    <row r="776" spans="1:10">
      <c r="A776" s="101" t="s">
        <v>49</v>
      </c>
      <c r="B776" s="88" t="s">
        <v>239</v>
      </c>
      <c r="C776" s="102">
        <v>2008</v>
      </c>
      <c r="D776" s="103">
        <v>3398242792</v>
      </c>
      <c r="E776" s="103">
        <v>6971365843</v>
      </c>
      <c r="F776" s="103">
        <v>3735958190</v>
      </c>
      <c r="G776" s="103">
        <v>181782106</v>
      </c>
      <c r="H776" s="105">
        <f t="shared" si="23"/>
        <v>14287348931</v>
      </c>
      <c r="I776" s="103">
        <v>74124946</v>
      </c>
      <c r="J776" s="109" t="s">
        <v>675</v>
      </c>
    </row>
    <row r="777" spans="1:10">
      <c r="A777" s="101" t="s">
        <v>49</v>
      </c>
      <c r="B777" s="88" t="s">
        <v>239</v>
      </c>
      <c r="C777" s="102">
        <v>2009</v>
      </c>
      <c r="D777" s="103">
        <v>3496112436</v>
      </c>
      <c r="E777" s="103">
        <v>6774875329</v>
      </c>
      <c r="F777" s="103">
        <v>3862073413</v>
      </c>
      <c r="G777" s="103">
        <v>239954343</v>
      </c>
      <c r="H777" s="105">
        <f t="shared" si="23"/>
        <v>14373015521</v>
      </c>
      <c r="I777" s="103">
        <v>52294332</v>
      </c>
      <c r="J777" s="109" t="s">
        <v>675</v>
      </c>
    </row>
    <row r="778" spans="1:10">
      <c r="A778" s="101" t="s">
        <v>49</v>
      </c>
      <c r="B778" s="88" t="s">
        <v>239</v>
      </c>
      <c r="C778" s="102">
        <v>2010</v>
      </c>
      <c r="D778" s="103">
        <v>3367282320</v>
      </c>
      <c r="E778" s="103">
        <v>5752143799</v>
      </c>
      <c r="F778" s="103">
        <v>3872365308</v>
      </c>
      <c r="G778" s="103">
        <v>448725475</v>
      </c>
      <c r="H778" s="105">
        <f t="shared" si="23"/>
        <v>13440516902</v>
      </c>
      <c r="I778" s="103">
        <v>55951011</v>
      </c>
      <c r="J778" s="109" t="s">
        <v>675</v>
      </c>
    </row>
    <row r="779" spans="1:10">
      <c r="A779" s="101" t="s">
        <v>49</v>
      </c>
      <c r="B779" s="88" t="s">
        <v>239</v>
      </c>
      <c r="C779" s="102">
        <v>2011</v>
      </c>
      <c r="D779" s="103">
        <v>3587277632</v>
      </c>
      <c r="E779" s="103">
        <v>5302074085</v>
      </c>
      <c r="F779" s="103">
        <v>3850455944</v>
      </c>
      <c r="G779" s="103">
        <v>220526904</v>
      </c>
      <c r="H779" s="105">
        <f t="shared" si="23"/>
        <v>12960334565</v>
      </c>
      <c r="I779" s="103">
        <v>50897064</v>
      </c>
      <c r="J779" s="109" t="s">
        <v>675</v>
      </c>
    </row>
    <row r="780" spans="1:10">
      <c r="A780" s="101" t="s">
        <v>49</v>
      </c>
      <c r="B780" s="88" t="s">
        <v>239</v>
      </c>
      <c r="C780" s="102">
        <v>2012</v>
      </c>
      <c r="D780" s="103">
        <v>3785248974</v>
      </c>
      <c r="E780" s="103">
        <v>16699152333</v>
      </c>
      <c r="F780" s="103">
        <v>3919552247</v>
      </c>
      <c r="G780" s="103">
        <v>133108327</v>
      </c>
      <c r="H780" s="105">
        <f t="shared" si="23"/>
        <v>24537061881</v>
      </c>
      <c r="I780" s="103">
        <v>51358217</v>
      </c>
      <c r="J780" s="109" t="s">
        <v>675</v>
      </c>
    </row>
    <row r="781" spans="1:10">
      <c r="A781" s="101" t="s">
        <v>49</v>
      </c>
      <c r="B781" s="88" t="s">
        <v>239</v>
      </c>
      <c r="C781" s="102">
        <v>2013</v>
      </c>
      <c r="D781" s="103">
        <v>3790056019</v>
      </c>
      <c r="E781" s="103">
        <v>6239406900</v>
      </c>
      <c r="F781" s="103">
        <v>3847629926</v>
      </c>
      <c r="G781" s="103">
        <v>118106896</v>
      </c>
      <c r="H781" s="105">
        <f t="shared" si="23"/>
        <v>13995199741</v>
      </c>
      <c r="I781" s="103">
        <v>52841229</v>
      </c>
      <c r="J781" s="109" t="s">
        <v>675</v>
      </c>
    </row>
    <row r="782" spans="1:10">
      <c r="A782" s="101" t="s">
        <v>49</v>
      </c>
      <c r="B782" s="88" t="s">
        <v>239</v>
      </c>
      <c r="C782" s="102">
        <v>2014</v>
      </c>
      <c r="D782" s="103">
        <v>3965582164</v>
      </c>
      <c r="E782" s="103">
        <v>8010524609</v>
      </c>
      <c r="F782" s="103">
        <v>9436172712</v>
      </c>
      <c r="G782" s="103">
        <v>126587043</v>
      </c>
      <c r="H782" s="105">
        <f t="shared" si="23"/>
        <v>21538866528</v>
      </c>
      <c r="I782" s="103">
        <v>67468573</v>
      </c>
      <c r="J782" s="109" t="s">
        <v>675</v>
      </c>
    </row>
    <row r="783" spans="1:10">
      <c r="A783" s="101" t="s">
        <v>49</v>
      </c>
      <c r="B783" s="88" t="s">
        <v>239</v>
      </c>
      <c r="C783" s="102">
        <v>2015</v>
      </c>
      <c r="D783" s="103">
        <v>4215382978</v>
      </c>
      <c r="E783" s="103">
        <v>6576078638</v>
      </c>
      <c r="F783" s="103">
        <v>9030456530</v>
      </c>
      <c r="G783" s="103">
        <v>285603574</v>
      </c>
      <c r="H783" s="105">
        <f t="shared" si="23"/>
        <v>20107521720</v>
      </c>
      <c r="I783" s="103">
        <v>66193155</v>
      </c>
      <c r="J783" s="109" t="s">
        <v>675</v>
      </c>
    </row>
    <row r="784" spans="1:10">
      <c r="A784" s="101" t="s">
        <v>49</v>
      </c>
      <c r="B784" s="88" t="s">
        <v>239</v>
      </c>
      <c r="C784" s="102">
        <v>2016</v>
      </c>
      <c r="D784" s="103">
        <v>4355023563</v>
      </c>
      <c r="E784" s="103">
        <v>7704579141</v>
      </c>
      <c r="F784" s="103">
        <v>9196305834</v>
      </c>
      <c r="G784" s="104">
        <v>-44728692</v>
      </c>
      <c r="H784" s="105">
        <f t="shared" si="23"/>
        <v>21211179846</v>
      </c>
      <c r="I784" s="103">
        <v>146593924</v>
      </c>
      <c r="J784" s="109" t="s">
        <v>675</v>
      </c>
    </row>
    <row r="785" spans="1:10">
      <c r="A785" s="101" t="s">
        <v>49</v>
      </c>
      <c r="B785" s="88" t="s">
        <v>239</v>
      </c>
      <c r="C785" s="102">
        <v>2017</v>
      </c>
      <c r="D785" s="103">
        <v>4477076744</v>
      </c>
      <c r="E785" s="103">
        <v>7877477596</v>
      </c>
      <c r="F785" s="103">
        <v>9254706503</v>
      </c>
      <c r="G785" s="103">
        <v>162285916</v>
      </c>
      <c r="H785" s="105">
        <f t="shared" si="23"/>
        <v>21771546759</v>
      </c>
      <c r="I785" s="103">
        <v>71587545</v>
      </c>
      <c r="J785" s="109" t="s">
        <v>675</v>
      </c>
    </row>
    <row r="786" spans="1:10">
      <c r="A786" s="101" t="s">
        <v>49</v>
      </c>
      <c r="B786" s="88" t="s">
        <v>239</v>
      </c>
      <c r="C786" s="102">
        <v>2018</v>
      </c>
      <c r="D786" s="103">
        <v>4467037550</v>
      </c>
      <c r="E786" s="103">
        <v>9119518396</v>
      </c>
      <c r="F786" s="103">
        <v>9462296645</v>
      </c>
      <c r="G786" s="103">
        <v>227047283</v>
      </c>
      <c r="H786" s="105">
        <f t="shared" si="23"/>
        <v>23275899874</v>
      </c>
      <c r="I786" s="103">
        <v>230027973</v>
      </c>
      <c r="J786" s="109" t="s">
        <v>675</v>
      </c>
    </row>
    <row r="787" spans="1:10">
      <c r="A787" s="101" t="s">
        <v>49</v>
      </c>
      <c r="B787" s="88" t="s">
        <v>239</v>
      </c>
      <c r="C787" s="102">
        <v>2019</v>
      </c>
      <c r="D787" s="103">
        <v>4555090603</v>
      </c>
      <c r="E787" s="103">
        <v>8836725438</v>
      </c>
      <c r="F787" s="103">
        <v>9603630594</v>
      </c>
      <c r="G787" s="103">
        <v>148298458</v>
      </c>
      <c r="H787" s="105">
        <f t="shared" si="23"/>
        <v>23143745093</v>
      </c>
      <c r="I787" s="103">
        <v>155386036</v>
      </c>
      <c r="J787" s="109" t="s">
        <v>675</v>
      </c>
    </row>
    <row r="788" spans="1:10">
      <c r="A788" s="101" t="s">
        <v>49</v>
      </c>
      <c r="B788" s="88" t="s">
        <v>239</v>
      </c>
      <c r="C788" s="102">
        <v>2020</v>
      </c>
      <c r="D788" s="103">
        <v>4665676710</v>
      </c>
      <c r="E788" s="103">
        <v>10038894722</v>
      </c>
      <c r="F788" s="103">
        <v>9521557405</v>
      </c>
      <c r="G788" s="103">
        <v>257796271</v>
      </c>
      <c r="H788" s="105">
        <f t="shared" si="23"/>
        <v>24483925108</v>
      </c>
      <c r="I788" s="103">
        <v>123593299</v>
      </c>
      <c r="J788" s="109" t="s">
        <v>675</v>
      </c>
    </row>
    <row r="789" spans="1:10">
      <c r="A789" s="101"/>
      <c r="B789" s="107"/>
      <c r="D789" s="104"/>
      <c r="E789" s="104"/>
      <c r="F789" s="104"/>
      <c r="G789" s="104"/>
      <c r="H789" s="103"/>
      <c r="I789" s="103"/>
      <c r="J789" s="109"/>
    </row>
    <row r="790" spans="1:10">
      <c r="A790" s="101" t="s">
        <v>50</v>
      </c>
      <c r="B790" s="88" t="s">
        <v>695</v>
      </c>
      <c r="C790" s="102">
        <v>1988</v>
      </c>
      <c r="D790" s="104">
        <v>991844422</v>
      </c>
      <c r="E790" s="104">
        <v>1418175077</v>
      </c>
      <c r="F790" s="104">
        <v>1233459613</v>
      </c>
      <c r="G790" s="104">
        <v>983453342</v>
      </c>
      <c r="H790" s="105">
        <f>SUM(D790:G790)</f>
        <v>4626932454</v>
      </c>
      <c r="I790" s="103">
        <v>0</v>
      </c>
      <c r="J790" s="109"/>
    </row>
    <row r="791" spans="1:10">
      <c r="A791" s="101" t="s">
        <v>50</v>
      </c>
      <c r="B791" s="88" t="s">
        <v>695</v>
      </c>
      <c r="C791" s="102">
        <v>1989</v>
      </c>
      <c r="D791" s="104">
        <v>968227631</v>
      </c>
      <c r="E791" s="104">
        <v>1294142928</v>
      </c>
      <c r="F791" s="104">
        <v>1350007713</v>
      </c>
      <c r="G791" s="104">
        <v>1215429982</v>
      </c>
      <c r="H791" s="105">
        <f t="shared" ref="H791:H822" si="24">SUM(D791:G791)</f>
        <v>4827808254</v>
      </c>
      <c r="I791" s="103">
        <v>0</v>
      </c>
      <c r="J791" s="109"/>
    </row>
    <row r="792" spans="1:10">
      <c r="A792" s="101" t="s">
        <v>50</v>
      </c>
      <c r="B792" s="88" t="s">
        <v>695</v>
      </c>
      <c r="C792" s="102">
        <v>1990</v>
      </c>
      <c r="D792" s="104">
        <v>994401925</v>
      </c>
      <c r="E792" s="104">
        <v>1569795249.96</v>
      </c>
      <c r="F792" s="104">
        <v>1448296965</v>
      </c>
      <c r="G792" s="104">
        <v>1216892120</v>
      </c>
      <c r="H792" s="105">
        <f t="shared" si="24"/>
        <v>5229386259.96</v>
      </c>
      <c r="I792" s="103">
        <v>0</v>
      </c>
      <c r="J792" s="109"/>
    </row>
    <row r="793" spans="1:10">
      <c r="A793" s="101" t="s">
        <v>50</v>
      </c>
      <c r="B793" s="88" t="s">
        <v>695</v>
      </c>
      <c r="C793" s="102">
        <v>1991</v>
      </c>
      <c r="D793" s="104">
        <v>1064724119</v>
      </c>
      <c r="E793" s="104">
        <v>1424229703</v>
      </c>
      <c r="F793" s="104">
        <v>1519551252</v>
      </c>
      <c r="G793" s="104">
        <v>1338071746</v>
      </c>
      <c r="H793" s="105">
        <f t="shared" si="24"/>
        <v>5346576820</v>
      </c>
      <c r="I793" s="103">
        <v>0</v>
      </c>
      <c r="J793" s="109"/>
    </row>
    <row r="794" spans="1:10">
      <c r="A794" s="101" t="s">
        <v>50</v>
      </c>
      <c r="B794" s="88" t="s">
        <v>695</v>
      </c>
      <c r="C794" s="102">
        <v>1992</v>
      </c>
      <c r="D794" s="104">
        <v>1158658257</v>
      </c>
      <c r="E794" s="104">
        <v>1448974791.52</v>
      </c>
      <c r="F794" s="104">
        <v>1555354126</v>
      </c>
      <c r="G794" s="104">
        <v>888891302</v>
      </c>
      <c r="H794" s="105">
        <f t="shared" si="24"/>
        <v>5051878476.5200005</v>
      </c>
      <c r="I794" s="103">
        <v>0</v>
      </c>
      <c r="J794" s="109"/>
    </row>
    <row r="795" spans="1:10">
      <c r="A795" s="101" t="s">
        <v>50</v>
      </c>
      <c r="B795" s="88" t="s">
        <v>695</v>
      </c>
      <c r="C795" s="102">
        <v>1993</v>
      </c>
      <c r="D795" s="104">
        <v>1284114347</v>
      </c>
      <c r="E795" s="104">
        <v>1140639810</v>
      </c>
      <c r="F795" s="104">
        <v>1559418881</v>
      </c>
      <c r="G795" s="104">
        <v>834483520</v>
      </c>
      <c r="H795" s="105">
        <f t="shared" si="24"/>
        <v>4818656558</v>
      </c>
      <c r="I795" s="103">
        <v>0</v>
      </c>
      <c r="J795" s="109"/>
    </row>
    <row r="796" spans="1:10">
      <c r="A796" s="101" t="s">
        <v>50</v>
      </c>
      <c r="B796" s="88" t="s">
        <v>695</v>
      </c>
      <c r="C796" s="102">
        <v>1994</v>
      </c>
      <c r="D796" s="104">
        <v>1364401005</v>
      </c>
      <c r="E796" s="104">
        <v>1584920701</v>
      </c>
      <c r="F796" s="104">
        <v>1678238765</v>
      </c>
      <c r="G796" s="104">
        <v>448280320</v>
      </c>
      <c r="H796" s="105">
        <f t="shared" si="24"/>
        <v>5075840791</v>
      </c>
      <c r="I796" s="103">
        <v>0</v>
      </c>
      <c r="J796" s="109"/>
    </row>
    <row r="797" spans="1:10">
      <c r="A797" s="101" t="s">
        <v>50</v>
      </c>
      <c r="B797" s="88" t="s">
        <v>695</v>
      </c>
      <c r="C797" s="102">
        <v>1995</v>
      </c>
      <c r="D797" s="104">
        <v>1382653488</v>
      </c>
      <c r="E797" s="104">
        <v>1654876679</v>
      </c>
      <c r="F797" s="104">
        <v>1694532847</v>
      </c>
      <c r="G797" s="104">
        <v>433050125</v>
      </c>
      <c r="H797" s="105">
        <f t="shared" si="24"/>
        <v>5165113139</v>
      </c>
      <c r="I797" s="103">
        <v>0</v>
      </c>
      <c r="J797" s="109"/>
    </row>
    <row r="798" spans="1:10">
      <c r="A798" s="101" t="s">
        <v>50</v>
      </c>
      <c r="B798" s="88" t="s">
        <v>695</v>
      </c>
      <c r="C798" s="102">
        <v>1996</v>
      </c>
      <c r="D798" s="104">
        <v>1409650986</v>
      </c>
      <c r="E798" s="104">
        <v>1216614999</v>
      </c>
      <c r="F798" s="104">
        <v>1767595582</v>
      </c>
      <c r="G798" s="104">
        <v>297909322</v>
      </c>
      <c r="H798" s="105">
        <f t="shared" si="24"/>
        <v>4691770889</v>
      </c>
      <c r="I798" s="103">
        <v>0</v>
      </c>
      <c r="J798" s="109"/>
    </row>
    <row r="799" spans="1:10">
      <c r="A799" s="101" t="s">
        <v>50</v>
      </c>
      <c r="B799" s="88" t="s">
        <v>695</v>
      </c>
      <c r="C799" s="102">
        <v>1997</v>
      </c>
      <c r="D799" s="104">
        <v>1391785466</v>
      </c>
      <c r="E799" s="104">
        <v>1345345297</v>
      </c>
      <c r="F799" s="104">
        <v>1835812601</v>
      </c>
      <c r="G799" s="104">
        <v>268445977</v>
      </c>
      <c r="H799" s="105">
        <f t="shared" si="24"/>
        <v>4841389341</v>
      </c>
      <c r="I799" s="103">
        <v>0</v>
      </c>
      <c r="J799" s="109"/>
    </row>
    <row r="800" spans="1:10">
      <c r="A800" s="101" t="s">
        <v>50</v>
      </c>
      <c r="B800" s="88" t="s">
        <v>695</v>
      </c>
      <c r="C800" s="102">
        <v>1998</v>
      </c>
      <c r="D800" s="104">
        <v>1435675392</v>
      </c>
      <c r="E800" s="104">
        <v>1225045708</v>
      </c>
      <c r="F800" s="104">
        <v>2055019175</v>
      </c>
      <c r="G800" s="104">
        <v>65945886</v>
      </c>
      <c r="H800" s="105">
        <f t="shared" si="24"/>
        <v>4781686161</v>
      </c>
      <c r="I800" s="103">
        <v>0</v>
      </c>
      <c r="J800" s="109"/>
    </row>
    <row r="801" spans="1:10">
      <c r="A801" s="101" t="s">
        <v>50</v>
      </c>
      <c r="B801" s="88" t="s">
        <v>695</v>
      </c>
      <c r="C801" s="102">
        <v>1999</v>
      </c>
      <c r="D801" s="104">
        <v>1446767351</v>
      </c>
      <c r="E801" s="104">
        <v>1594298274</v>
      </c>
      <c r="F801" s="104">
        <v>2349723395</v>
      </c>
      <c r="G801" s="104">
        <v>336956565</v>
      </c>
      <c r="H801" s="105">
        <f t="shared" si="24"/>
        <v>5727745585</v>
      </c>
      <c r="I801" s="103">
        <v>0</v>
      </c>
      <c r="J801" s="109"/>
    </row>
    <row r="802" spans="1:10">
      <c r="A802" s="101" t="s">
        <v>50</v>
      </c>
      <c r="B802" s="88" t="s">
        <v>695</v>
      </c>
      <c r="C802" s="102">
        <v>2000</v>
      </c>
      <c r="D802" s="104">
        <v>1468443440</v>
      </c>
      <c r="E802" s="104">
        <v>1685016555</v>
      </c>
      <c r="F802" s="104">
        <v>2650474393</v>
      </c>
      <c r="G802" s="104">
        <v>476722944</v>
      </c>
      <c r="H802" s="105">
        <f t="shared" si="24"/>
        <v>6280657332</v>
      </c>
      <c r="I802" s="103">
        <v>0</v>
      </c>
      <c r="J802" s="109"/>
    </row>
    <row r="803" spans="1:10">
      <c r="A803" s="101" t="s">
        <v>50</v>
      </c>
      <c r="B803" s="88" t="s">
        <v>695</v>
      </c>
      <c r="C803" s="102">
        <v>2001</v>
      </c>
      <c r="D803" s="104">
        <v>1489895293</v>
      </c>
      <c r="E803" s="104">
        <v>2312407536</v>
      </c>
      <c r="F803" s="104">
        <v>2644246213</v>
      </c>
      <c r="G803" s="103">
        <v>-141523048</v>
      </c>
      <c r="H803" s="105">
        <f t="shared" si="24"/>
        <v>6305025994</v>
      </c>
      <c r="I803" s="103">
        <v>0</v>
      </c>
      <c r="J803" s="109"/>
    </row>
    <row r="804" spans="1:10">
      <c r="A804" s="101" t="s">
        <v>50</v>
      </c>
      <c r="B804" s="88" t="s">
        <v>695</v>
      </c>
      <c r="C804" s="102">
        <v>2002</v>
      </c>
      <c r="D804" s="104">
        <v>1558159332</v>
      </c>
      <c r="E804" s="104">
        <v>3145136369</v>
      </c>
      <c r="F804" s="104">
        <v>2812149147</v>
      </c>
      <c r="G804" s="103">
        <v>293849038</v>
      </c>
      <c r="H804" s="105">
        <f t="shared" si="24"/>
        <v>7809293886</v>
      </c>
      <c r="I804" s="103">
        <v>0</v>
      </c>
      <c r="J804" s="109"/>
    </row>
    <row r="805" spans="1:10">
      <c r="A805" s="101" t="s">
        <v>50</v>
      </c>
      <c r="B805" s="88" t="s">
        <v>695</v>
      </c>
      <c r="C805" s="102">
        <v>2003</v>
      </c>
      <c r="D805" s="106">
        <v>1733966356</v>
      </c>
      <c r="E805" s="106">
        <v>2587566336</v>
      </c>
      <c r="F805" s="106">
        <v>2776652838</v>
      </c>
      <c r="G805" s="106">
        <v>379280123</v>
      </c>
      <c r="H805" s="105">
        <f t="shared" si="24"/>
        <v>7477465653</v>
      </c>
      <c r="I805" s="103">
        <v>0</v>
      </c>
      <c r="J805" s="109"/>
    </row>
    <row r="806" spans="1:10">
      <c r="A806" s="101" t="s">
        <v>50</v>
      </c>
      <c r="B806" s="88" t="s">
        <v>695</v>
      </c>
      <c r="C806" s="102">
        <v>2004</v>
      </c>
      <c r="D806" s="106">
        <v>1778181090</v>
      </c>
      <c r="E806" s="106">
        <v>2145415855</v>
      </c>
      <c r="F806" s="106">
        <v>3058272941</v>
      </c>
      <c r="G806" s="106">
        <v>352756324</v>
      </c>
      <c r="H806" s="105">
        <f t="shared" si="24"/>
        <v>7334626210</v>
      </c>
      <c r="I806" s="103">
        <v>0</v>
      </c>
      <c r="J806" s="109"/>
    </row>
    <row r="807" spans="1:10">
      <c r="A807" s="101" t="s">
        <v>50</v>
      </c>
      <c r="B807" s="88" t="s">
        <v>695</v>
      </c>
      <c r="C807" s="102">
        <v>2005</v>
      </c>
      <c r="D807" s="106">
        <v>1868080318</v>
      </c>
      <c r="E807" s="106">
        <v>1774289630</v>
      </c>
      <c r="F807" s="106">
        <v>3379656672.29</v>
      </c>
      <c r="G807" s="106">
        <v>735902246</v>
      </c>
      <c r="H807" s="105">
        <f t="shared" si="24"/>
        <v>7757928866.29</v>
      </c>
      <c r="I807" s="103">
        <v>0</v>
      </c>
      <c r="J807" s="109"/>
    </row>
    <row r="808" spans="1:10">
      <c r="A808" s="101" t="s">
        <v>50</v>
      </c>
      <c r="B808" s="88" t="s">
        <v>695</v>
      </c>
      <c r="C808" s="102">
        <v>2006</v>
      </c>
      <c r="D808" s="103">
        <v>2014372636</v>
      </c>
      <c r="E808" s="103">
        <v>1937282341</v>
      </c>
      <c r="F808" s="103">
        <v>3772395104</v>
      </c>
      <c r="G808" s="103">
        <v>682474923</v>
      </c>
      <c r="H808" s="105">
        <f t="shared" si="24"/>
        <v>8406525004</v>
      </c>
      <c r="I808" s="103">
        <v>0</v>
      </c>
      <c r="J808" s="109"/>
    </row>
    <row r="809" spans="1:10">
      <c r="A809" s="101" t="s">
        <v>50</v>
      </c>
      <c r="B809" s="88" t="s">
        <v>695</v>
      </c>
      <c r="C809" s="102">
        <v>2007</v>
      </c>
      <c r="D809" s="103">
        <v>2342853339</v>
      </c>
      <c r="E809" s="103">
        <v>2183826216</v>
      </c>
      <c r="F809" s="103">
        <v>5381282507</v>
      </c>
      <c r="G809" s="103">
        <v>516033798</v>
      </c>
      <c r="H809" s="105">
        <f t="shared" si="24"/>
        <v>10423995860</v>
      </c>
      <c r="I809" s="103">
        <v>0</v>
      </c>
      <c r="J809" s="109"/>
    </row>
    <row r="810" spans="1:10">
      <c r="A810" s="101" t="s">
        <v>50</v>
      </c>
      <c r="B810" s="88" t="s">
        <v>695</v>
      </c>
      <c r="C810" s="102">
        <v>2008</v>
      </c>
      <c r="D810" s="103">
        <v>2535397174</v>
      </c>
      <c r="E810" s="103">
        <v>2931594740</v>
      </c>
      <c r="F810" s="103">
        <v>5813000116</v>
      </c>
      <c r="G810" s="103">
        <v>642987124</v>
      </c>
      <c r="H810" s="105">
        <f t="shared" si="24"/>
        <v>11922979154</v>
      </c>
      <c r="I810" s="103">
        <v>0</v>
      </c>
      <c r="J810" s="109"/>
    </row>
    <row r="811" spans="1:10">
      <c r="A811" s="101" t="s">
        <v>50</v>
      </c>
      <c r="B811" s="88" t="s">
        <v>695</v>
      </c>
      <c r="C811" s="102">
        <v>2009</v>
      </c>
      <c r="D811" s="103">
        <v>2709225893</v>
      </c>
      <c r="E811" s="103">
        <v>2776868677</v>
      </c>
      <c r="F811" s="103">
        <v>5931961888</v>
      </c>
      <c r="G811" s="103">
        <v>414008153</v>
      </c>
      <c r="H811" s="105">
        <f t="shared" si="24"/>
        <v>11832064611</v>
      </c>
      <c r="I811" s="103">
        <v>0</v>
      </c>
      <c r="J811" s="109"/>
    </row>
    <row r="812" spans="1:10">
      <c r="A812" s="101" t="s">
        <v>50</v>
      </c>
      <c r="B812" s="88" t="s">
        <v>695</v>
      </c>
      <c r="C812" s="102">
        <v>2010</v>
      </c>
      <c r="D812" s="103">
        <v>2754984565</v>
      </c>
      <c r="E812" s="103">
        <v>2402283581</v>
      </c>
      <c r="F812" s="103">
        <v>6058044159</v>
      </c>
      <c r="G812" s="103">
        <v>527791143</v>
      </c>
      <c r="H812" s="105">
        <f t="shared" si="24"/>
        <v>11743103448</v>
      </c>
      <c r="I812" s="103">
        <v>0</v>
      </c>
      <c r="J812" s="109"/>
    </row>
    <row r="813" spans="1:10">
      <c r="A813" s="101" t="s">
        <v>50</v>
      </c>
      <c r="B813" s="88" t="s">
        <v>695</v>
      </c>
      <c r="C813" s="102">
        <v>2011</v>
      </c>
      <c r="D813" s="103">
        <v>2873422036</v>
      </c>
      <c r="E813" s="103">
        <v>2300498589</v>
      </c>
      <c r="F813" s="103">
        <v>6506864484.5100002</v>
      </c>
      <c r="G813" s="103">
        <v>520992918</v>
      </c>
      <c r="H813" s="105">
        <f t="shared" si="24"/>
        <v>12201778027.51</v>
      </c>
      <c r="I813" s="103">
        <v>0</v>
      </c>
      <c r="J813" s="109"/>
    </row>
    <row r="814" spans="1:10">
      <c r="A814" s="101" t="s">
        <v>50</v>
      </c>
      <c r="B814" s="88" t="s">
        <v>695</v>
      </c>
      <c r="C814" s="102">
        <v>2012</v>
      </c>
      <c r="D814" s="103">
        <v>3558872999</v>
      </c>
      <c r="E814" s="103">
        <v>2600062114</v>
      </c>
      <c r="F814" s="103">
        <v>6428098461</v>
      </c>
      <c r="G814" s="103">
        <v>397346397</v>
      </c>
      <c r="H814" s="105">
        <f t="shared" si="24"/>
        <v>12984379971</v>
      </c>
      <c r="I814" s="103">
        <v>0</v>
      </c>
      <c r="J814" s="109"/>
    </row>
    <row r="815" spans="1:10">
      <c r="A815" s="101" t="s">
        <v>50</v>
      </c>
      <c r="B815" s="88" t="s">
        <v>695</v>
      </c>
      <c r="C815" s="102">
        <v>2013</v>
      </c>
      <c r="D815" s="103">
        <v>3711468826</v>
      </c>
      <c r="E815" s="103">
        <v>2820828786</v>
      </c>
      <c r="F815" s="103">
        <v>5666908680</v>
      </c>
      <c r="G815" s="103">
        <v>290966434</v>
      </c>
      <c r="H815" s="105">
        <f t="shared" si="24"/>
        <v>12490172726</v>
      </c>
      <c r="I815" s="103">
        <v>0</v>
      </c>
      <c r="J815" s="109"/>
    </row>
    <row r="816" spans="1:10">
      <c r="A816" s="101" t="s">
        <v>50</v>
      </c>
      <c r="B816" s="88" t="s">
        <v>695</v>
      </c>
      <c r="C816" s="102">
        <v>2014</v>
      </c>
      <c r="D816" s="103">
        <v>3797848198</v>
      </c>
      <c r="E816" s="103">
        <v>2841210929</v>
      </c>
      <c r="F816" s="103">
        <v>5912388458.6499996</v>
      </c>
      <c r="G816" s="103">
        <v>223305268</v>
      </c>
      <c r="H816" s="105">
        <f t="shared" si="24"/>
        <v>12774752853.65</v>
      </c>
      <c r="I816" s="103">
        <v>0</v>
      </c>
      <c r="J816" s="109"/>
    </row>
    <row r="817" spans="1:11">
      <c r="A817" s="101" t="s">
        <v>50</v>
      </c>
      <c r="B817" s="88" t="s">
        <v>695</v>
      </c>
      <c r="C817" s="102">
        <v>2015</v>
      </c>
      <c r="D817" s="103">
        <v>3995755823</v>
      </c>
      <c r="E817" s="103">
        <v>3145534769</v>
      </c>
      <c r="F817" s="103">
        <v>6176865567</v>
      </c>
      <c r="G817" s="103">
        <v>251398291</v>
      </c>
      <c r="H817" s="105">
        <f t="shared" si="24"/>
        <v>13569554450</v>
      </c>
      <c r="I817" s="103">
        <v>0</v>
      </c>
      <c r="J817" s="109"/>
    </row>
    <row r="818" spans="1:11">
      <c r="A818" s="101" t="s">
        <v>50</v>
      </c>
      <c r="B818" s="88" t="s">
        <v>695</v>
      </c>
      <c r="C818" s="102">
        <v>2016</v>
      </c>
      <c r="D818" s="103">
        <v>4381411573</v>
      </c>
      <c r="E818" s="103">
        <v>3788658325</v>
      </c>
      <c r="F818" s="103">
        <v>6290892708</v>
      </c>
      <c r="G818" s="103">
        <v>278250584</v>
      </c>
      <c r="H818" s="105">
        <f t="shared" si="24"/>
        <v>14739213190</v>
      </c>
      <c r="I818" s="103">
        <v>0</v>
      </c>
      <c r="J818" s="109"/>
    </row>
    <row r="819" spans="1:11">
      <c r="A819" s="101" t="s">
        <v>50</v>
      </c>
      <c r="B819" s="88" t="s">
        <v>695</v>
      </c>
      <c r="C819" s="102">
        <v>2017</v>
      </c>
      <c r="D819" s="103">
        <v>4495024401</v>
      </c>
      <c r="E819" s="103">
        <v>3588322662</v>
      </c>
      <c r="F819" s="103">
        <v>5873299874.8099995</v>
      </c>
      <c r="G819" s="103">
        <v>346438453</v>
      </c>
      <c r="H819" s="105">
        <f t="shared" si="24"/>
        <v>14303085390.809999</v>
      </c>
      <c r="I819" s="103">
        <v>0</v>
      </c>
      <c r="J819" s="109"/>
    </row>
    <row r="820" spans="1:11">
      <c r="A820" s="101" t="s">
        <v>50</v>
      </c>
      <c r="B820" s="88" t="s">
        <v>695</v>
      </c>
      <c r="C820" s="102">
        <v>2018</v>
      </c>
      <c r="D820" s="103">
        <v>4546520313</v>
      </c>
      <c r="E820" s="103">
        <v>4298044147</v>
      </c>
      <c r="F820" s="103">
        <v>6246186136.6900005</v>
      </c>
      <c r="G820" s="103">
        <v>452859183</v>
      </c>
      <c r="H820" s="105">
        <f t="shared" si="24"/>
        <v>15543609779.690001</v>
      </c>
      <c r="I820" s="103">
        <v>0</v>
      </c>
      <c r="J820" s="109"/>
    </row>
    <row r="821" spans="1:11">
      <c r="A821" s="101" t="s">
        <v>50</v>
      </c>
      <c r="B821" s="88" t="s">
        <v>695</v>
      </c>
      <c r="C821" s="102">
        <v>2019</v>
      </c>
      <c r="D821" s="103">
        <v>4660655395</v>
      </c>
      <c r="E821" s="103">
        <v>4339648390</v>
      </c>
      <c r="F821" s="103">
        <v>6414016915.2448006</v>
      </c>
      <c r="G821" s="103">
        <v>807277258</v>
      </c>
      <c r="H821" s="105">
        <f t="shared" si="24"/>
        <v>16221597958.244801</v>
      </c>
      <c r="I821" s="103">
        <v>0</v>
      </c>
      <c r="J821" s="109"/>
    </row>
    <row r="822" spans="1:11">
      <c r="A822" s="101" t="s">
        <v>50</v>
      </c>
      <c r="B822" s="88" t="s">
        <v>695</v>
      </c>
      <c r="C822" s="102">
        <v>2020</v>
      </c>
      <c r="D822" s="103">
        <v>4723069163</v>
      </c>
      <c r="E822" s="103">
        <v>4167676045</v>
      </c>
      <c r="F822" s="103">
        <v>7722049186</v>
      </c>
      <c r="G822" s="103">
        <v>814216654</v>
      </c>
      <c r="H822" s="105">
        <f t="shared" si="24"/>
        <v>17427011048</v>
      </c>
      <c r="I822" s="103">
        <v>0</v>
      </c>
      <c r="J822" s="109" t="s">
        <v>687</v>
      </c>
      <c r="K822" s="52" t="s">
        <v>677</v>
      </c>
    </row>
    <row r="823" spans="1:11">
      <c r="A823" s="101"/>
      <c r="B823" s="107"/>
      <c r="D823" s="104"/>
      <c r="E823" s="104"/>
      <c r="F823" s="104"/>
      <c r="G823" s="104"/>
      <c r="H823" s="103"/>
      <c r="I823" s="103"/>
      <c r="J823" s="109"/>
    </row>
    <row r="824" spans="1:11">
      <c r="A824" s="71" t="s">
        <v>51</v>
      </c>
      <c r="B824" s="88" t="s">
        <v>220</v>
      </c>
      <c r="C824" s="102">
        <v>1988</v>
      </c>
      <c r="D824" s="104">
        <v>494160311</v>
      </c>
      <c r="E824" s="104">
        <v>139246409</v>
      </c>
      <c r="F824" s="104">
        <v>537561838</v>
      </c>
      <c r="G824" s="104">
        <v>59908525</v>
      </c>
      <c r="H824" s="105">
        <f>SUM(D824:G824)</f>
        <v>1230877083</v>
      </c>
      <c r="I824" s="103">
        <v>0</v>
      </c>
      <c r="J824" s="109"/>
    </row>
    <row r="825" spans="1:11">
      <c r="A825" s="71" t="s">
        <v>51</v>
      </c>
      <c r="B825" s="88" t="s">
        <v>220</v>
      </c>
      <c r="C825" s="102">
        <v>1989</v>
      </c>
      <c r="D825" s="104">
        <v>507841813</v>
      </c>
      <c r="E825" s="104">
        <v>169895828</v>
      </c>
      <c r="F825" s="104">
        <v>576016570</v>
      </c>
      <c r="G825" s="104">
        <v>78357618</v>
      </c>
      <c r="H825" s="105">
        <f t="shared" ref="H825:H856" si="25">SUM(D825:G825)</f>
        <v>1332111829</v>
      </c>
      <c r="I825" s="103">
        <v>0</v>
      </c>
      <c r="J825" s="109"/>
    </row>
    <row r="826" spans="1:11">
      <c r="A826" s="71" t="s">
        <v>51</v>
      </c>
      <c r="B826" s="88" t="s">
        <v>220</v>
      </c>
      <c r="C826" s="102">
        <v>1990</v>
      </c>
      <c r="D826" s="104">
        <v>540232035</v>
      </c>
      <c r="E826" s="104">
        <v>210283690.24000001</v>
      </c>
      <c r="F826" s="104">
        <v>603593291</v>
      </c>
      <c r="G826" s="104">
        <v>84560616</v>
      </c>
      <c r="H826" s="105">
        <f t="shared" si="25"/>
        <v>1438669632.24</v>
      </c>
      <c r="I826" s="103">
        <v>0</v>
      </c>
      <c r="J826" s="109"/>
    </row>
    <row r="827" spans="1:11">
      <c r="A827" s="71" t="s">
        <v>51</v>
      </c>
      <c r="B827" s="88" t="s">
        <v>220</v>
      </c>
      <c r="C827" s="102">
        <v>1991</v>
      </c>
      <c r="D827" s="104">
        <v>553617397</v>
      </c>
      <c r="E827" s="104">
        <v>194700963</v>
      </c>
      <c r="F827" s="104">
        <v>617080734</v>
      </c>
      <c r="G827" s="104">
        <v>72413418</v>
      </c>
      <c r="H827" s="105">
        <f t="shared" si="25"/>
        <v>1437812512</v>
      </c>
      <c r="I827" s="103">
        <v>0</v>
      </c>
      <c r="J827" s="109"/>
    </row>
    <row r="828" spans="1:11">
      <c r="A828" s="71" t="s">
        <v>51</v>
      </c>
      <c r="B828" s="88" t="s">
        <v>220</v>
      </c>
      <c r="C828" s="102">
        <v>1992</v>
      </c>
      <c r="D828" s="104">
        <v>590668261</v>
      </c>
      <c r="E828" s="104">
        <v>228391753.16</v>
      </c>
      <c r="F828" s="104">
        <v>658147869</v>
      </c>
      <c r="G828" s="104">
        <v>57756871</v>
      </c>
      <c r="H828" s="105">
        <f t="shared" si="25"/>
        <v>1534964754.1599998</v>
      </c>
      <c r="I828" s="103">
        <v>0</v>
      </c>
      <c r="J828" s="109"/>
    </row>
    <row r="829" spans="1:11">
      <c r="A829" s="71" t="s">
        <v>51</v>
      </c>
      <c r="B829" s="88" t="s">
        <v>220</v>
      </c>
      <c r="C829" s="102">
        <v>1993</v>
      </c>
      <c r="D829" s="104">
        <v>624675929</v>
      </c>
      <c r="E829" s="104">
        <v>201796629</v>
      </c>
      <c r="F829" s="104">
        <v>720034011</v>
      </c>
      <c r="G829" s="104">
        <v>82419318</v>
      </c>
      <c r="H829" s="105">
        <f t="shared" si="25"/>
        <v>1628925887</v>
      </c>
      <c r="I829" s="103">
        <v>0</v>
      </c>
      <c r="J829" s="109"/>
    </row>
    <row r="830" spans="1:11">
      <c r="A830" s="71" t="s">
        <v>51</v>
      </c>
      <c r="B830" s="88" t="s">
        <v>220</v>
      </c>
      <c r="C830" s="102">
        <v>1994</v>
      </c>
      <c r="D830" s="104">
        <v>684193956</v>
      </c>
      <c r="E830" s="104">
        <v>259009264</v>
      </c>
      <c r="F830" s="104">
        <v>691777042</v>
      </c>
      <c r="G830" s="104">
        <v>72732935</v>
      </c>
      <c r="H830" s="105">
        <f t="shared" si="25"/>
        <v>1707713197</v>
      </c>
      <c r="I830" s="103">
        <v>0</v>
      </c>
      <c r="J830" s="109"/>
    </row>
    <row r="831" spans="1:11">
      <c r="A831" s="71" t="s">
        <v>51</v>
      </c>
      <c r="B831" s="88" t="s">
        <v>220</v>
      </c>
      <c r="C831" s="102">
        <v>1995</v>
      </c>
      <c r="D831" s="104">
        <v>709493426</v>
      </c>
      <c r="E831" s="104">
        <v>243301024</v>
      </c>
      <c r="F831" s="104">
        <v>704786886</v>
      </c>
      <c r="G831" s="104">
        <v>75550966</v>
      </c>
      <c r="H831" s="105">
        <f t="shared" si="25"/>
        <v>1733132302</v>
      </c>
      <c r="I831" s="103">
        <v>0</v>
      </c>
      <c r="J831" s="109"/>
    </row>
    <row r="832" spans="1:11">
      <c r="A832" s="71" t="s">
        <v>51</v>
      </c>
      <c r="B832" s="88" t="s">
        <v>220</v>
      </c>
      <c r="C832" s="102">
        <v>1996</v>
      </c>
      <c r="D832" s="104">
        <v>679253235</v>
      </c>
      <c r="E832" s="104">
        <v>238600553</v>
      </c>
      <c r="F832" s="104">
        <v>1146866345</v>
      </c>
      <c r="G832" s="104">
        <v>70332244</v>
      </c>
      <c r="H832" s="105">
        <f t="shared" si="25"/>
        <v>2135052377</v>
      </c>
      <c r="I832" s="103">
        <v>0</v>
      </c>
      <c r="J832" s="109"/>
    </row>
    <row r="833" spans="1:10">
      <c r="A833" s="71" t="s">
        <v>51</v>
      </c>
      <c r="B833" s="88" t="s">
        <v>220</v>
      </c>
      <c r="C833" s="102">
        <v>1997</v>
      </c>
      <c r="D833" s="104">
        <v>685764267</v>
      </c>
      <c r="E833" s="104">
        <v>227148652</v>
      </c>
      <c r="F833" s="104">
        <v>1197733300</v>
      </c>
      <c r="G833" s="104">
        <v>80780006</v>
      </c>
      <c r="H833" s="105">
        <f t="shared" si="25"/>
        <v>2191426225</v>
      </c>
      <c r="I833" s="103">
        <v>0</v>
      </c>
      <c r="J833" s="109"/>
    </row>
    <row r="834" spans="1:10">
      <c r="A834" s="71" t="s">
        <v>51</v>
      </c>
      <c r="B834" s="88" t="s">
        <v>220</v>
      </c>
      <c r="C834" s="102">
        <v>1998</v>
      </c>
      <c r="D834" s="104">
        <v>717084967</v>
      </c>
      <c r="E834" s="104">
        <v>276999929</v>
      </c>
      <c r="F834" s="104">
        <v>1308400017</v>
      </c>
      <c r="G834" s="104">
        <v>75177676</v>
      </c>
      <c r="H834" s="105">
        <f t="shared" si="25"/>
        <v>2377662589</v>
      </c>
      <c r="I834" s="103">
        <v>0</v>
      </c>
      <c r="J834" s="109"/>
    </row>
    <row r="835" spans="1:10">
      <c r="A835" s="71" t="s">
        <v>51</v>
      </c>
      <c r="B835" s="88" t="s">
        <v>220</v>
      </c>
      <c r="C835" s="102">
        <v>1999</v>
      </c>
      <c r="D835" s="104">
        <v>700222456</v>
      </c>
      <c r="E835" s="104">
        <v>467201248</v>
      </c>
      <c r="F835" s="104">
        <v>1491243860</v>
      </c>
      <c r="G835" s="104">
        <v>22795978</v>
      </c>
      <c r="H835" s="105">
        <f t="shared" si="25"/>
        <v>2681463542</v>
      </c>
      <c r="I835" s="103">
        <v>9174563</v>
      </c>
      <c r="J835" s="109" t="s">
        <v>675</v>
      </c>
    </row>
    <row r="836" spans="1:10">
      <c r="A836" s="71" t="s">
        <v>51</v>
      </c>
      <c r="B836" s="88" t="s">
        <v>220</v>
      </c>
      <c r="C836" s="102">
        <v>2000</v>
      </c>
      <c r="D836" s="104">
        <v>728558722</v>
      </c>
      <c r="E836" s="104">
        <v>551858802</v>
      </c>
      <c r="F836" s="104">
        <v>1689058813</v>
      </c>
      <c r="G836" s="104">
        <v>32855534</v>
      </c>
      <c r="H836" s="105">
        <f t="shared" si="25"/>
        <v>3002331871</v>
      </c>
      <c r="I836" s="103">
        <v>14578021</v>
      </c>
      <c r="J836" s="109" t="s">
        <v>675</v>
      </c>
    </row>
    <row r="837" spans="1:10">
      <c r="A837" s="71" t="s">
        <v>51</v>
      </c>
      <c r="B837" s="88" t="s">
        <v>220</v>
      </c>
      <c r="C837" s="102">
        <v>2001</v>
      </c>
      <c r="D837" s="104">
        <v>766056989</v>
      </c>
      <c r="E837" s="104">
        <v>711026830</v>
      </c>
      <c r="F837" s="104">
        <v>1551481021</v>
      </c>
      <c r="G837" s="104">
        <v>19580221</v>
      </c>
      <c r="H837" s="105">
        <f t="shared" si="25"/>
        <v>3048145061</v>
      </c>
      <c r="I837" s="103">
        <v>9883950</v>
      </c>
      <c r="J837" s="109" t="s">
        <v>675</v>
      </c>
    </row>
    <row r="838" spans="1:10">
      <c r="A838" s="71" t="s">
        <v>51</v>
      </c>
      <c r="B838" s="88" t="s">
        <v>220</v>
      </c>
      <c r="C838" s="102">
        <v>2002</v>
      </c>
      <c r="D838" s="104">
        <v>821627437</v>
      </c>
      <c r="E838" s="104">
        <v>935221183</v>
      </c>
      <c r="F838" s="104">
        <v>1642284308</v>
      </c>
      <c r="G838" s="104">
        <v>12123739</v>
      </c>
      <c r="H838" s="105">
        <f t="shared" si="25"/>
        <v>3411256667</v>
      </c>
      <c r="I838" s="103">
        <v>10346312</v>
      </c>
      <c r="J838" s="109" t="s">
        <v>675</v>
      </c>
    </row>
    <row r="839" spans="1:10">
      <c r="A839" s="71" t="s">
        <v>51</v>
      </c>
      <c r="B839" s="88" t="s">
        <v>220</v>
      </c>
      <c r="C839" s="102">
        <v>2003</v>
      </c>
      <c r="D839" s="106">
        <v>832258477</v>
      </c>
      <c r="E839" s="106">
        <v>848668057</v>
      </c>
      <c r="F839" s="106">
        <v>1798892605</v>
      </c>
      <c r="G839" s="106">
        <v>30461039</v>
      </c>
      <c r="H839" s="105">
        <f t="shared" si="25"/>
        <v>3510280178</v>
      </c>
      <c r="I839" s="103">
        <v>17292726</v>
      </c>
      <c r="J839" s="109" t="s">
        <v>675</v>
      </c>
    </row>
    <row r="840" spans="1:10">
      <c r="A840" s="71" t="s">
        <v>51</v>
      </c>
      <c r="B840" s="88" t="s">
        <v>220</v>
      </c>
      <c r="C840" s="102">
        <v>2004</v>
      </c>
      <c r="D840" s="106">
        <v>878895716</v>
      </c>
      <c r="E840" s="106">
        <v>783998043</v>
      </c>
      <c r="F840" s="106">
        <v>1954734991</v>
      </c>
      <c r="G840" s="106">
        <v>29695704</v>
      </c>
      <c r="H840" s="105">
        <f t="shared" si="25"/>
        <v>3647324454</v>
      </c>
      <c r="I840" s="103">
        <v>27409883</v>
      </c>
      <c r="J840" s="109" t="s">
        <v>675</v>
      </c>
    </row>
    <row r="841" spans="1:10">
      <c r="A841" s="71" t="s">
        <v>51</v>
      </c>
      <c r="B841" s="88" t="s">
        <v>220</v>
      </c>
      <c r="C841" s="102">
        <v>2005</v>
      </c>
      <c r="D841" s="106">
        <v>843105341</v>
      </c>
      <c r="E841" s="106">
        <v>720107437</v>
      </c>
      <c r="F841" s="106">
        <v>2055542218</v>
      </c>
      <c r="G841" s="106">
        <v>29358605</v>
      </c>
      <c r="H841" s="105">
        <f t="shared" si="25"/>
        <v>3648113601</v>
      </c>
      <c r="I841" s="103">
        <v>18809558</v>
      </c>
      <c r="J841" s="109" t="s">
        <v>675</v>
      </c>
    </row>
    <row r="842" spans="1:10">
      <c r="A842" s="71" t="s">
        <v>51</v>
      </c>
      <c r="B842" s="88" t="s">
        <v>220</v>
      </c>
      <c r="C842" s="102">
        <v>2006</v>
      </c>
      <c r="D842" s="103">
        <v>871708070</v>
      </c>
      <c r="E842" s="103">
        <v>816857580</v>
      </c>
      <c r="F842" s="103">
        <v>2266617493</v>
      </c>
      <c r="G842" s="103">
        <v>16758849</v>
      </c>
      <c r="H842" s="105">
        <f t="shared" si="25"/>
        <v>3971941992</v>
      </c>
      <c r="I842" s="103">
        <v>11129153</v>
      </c>
      <c r="J842" s="109" t="s">
        <v>675</v>
      </c>
    </row>
    <row r="843" spans="1:10">
      <c r="A843" s="71" t="s">
        <v>51</v>
      </c>
      <c r="B843" s="88" t="s">
        <v>220</v>
      </c>
      <c r="C843" s="102">
        <v>2007</v>
      </c>
      <c r="D843" s="103">
        <v>900744584</v>
      </c>
      <c r="E843" s="103">
        <v>768621684</v>
      </c>
      <c r="F843" s="103">
        <v>2608752757</v>
      </c>
      <c r="G843" s="103">
        <v>23359188</v>
      </c>
      <c r="H843" s="105">
        <f t="shared" si="25"/>
        <v>4301478213</v>
      </c>
      <c r="I843" s="103">
        <v>7616222</v>
      </c>
      <c r="J843" s="109" t="s">
        <v>675</v>
      </c>
    </row>
    <row r="844" spans="1:10">
      <c r="A844" s="71" t="s">
        <v>51</v>
      </c>
      <c r="B844" s="88" t="s">
        <v>220</v>
      </c>
      <c r="C844" s="102">
        <v>2008</v>
      </c>
      <c r="D844" s="103">
        <v>977126800</v>
      </c>
      <c r="E844" s="103">
        <v>1042067117</v>
      </c>
      <c r="F844" s="103">
        <v>2378353175</v>
      </c>
      <c r="G844" s="103">
        <v>16162811</v>
      </c>
      <c r="H844" s="105">
        <f t="shared" si="25"/>
        <v>4413709903</v>
      </c>
      <c r="I844" s="103">
        <v>15218500</v>
      </c>
      <c r="J844" s="109" t="s">
        <v>675</v>
      </c>
    </row>
    <row r="845" spans="1:10">
      <c r="A845" s="71" t="s">
        <v>51</v>
      </c>
      <c r="B845" s="88" t="s">
        <v>220</v>
      </c>
      <c r="C845" s="102">
        <v>2009</v>
      </c>
      <c r="D845" s="103">
        <v>1075876880</v>
      </c>
      <c r="E845" s="103">
        <v>970426265</v>
      </c>
      <c r="F845" s="103">
        <v>2725964489</v>
      </c>
      <c r="G845" s="103">
        <v>34124962</v>
      </c>
      <c r="H845" s="105">
        <f t="shared" si="25"/>
        <v>4806392596</v>
      </c>
      <c r="I845" s="103">
        <v>19947823</v>
      </c>
      <c r="J845" s="109" t="s">
        <v>675</v>
      </c>
    </row>
    <row r="846" spans="1:10">
      <c r="A846" s="71" t="s">
        <v>51</v>
      </c>
      <c r="B846" s="88" t="s">
        <v>220</v>
      </c>
      <c r="C846" s="102">
        <v>2010</v>
      </c>
      <c r="D846" s="103">
        <v>1046595624</v>
      </c>
      <c r="E846" s="103">
        <v>851655369</v>
      </c>
      <c r="F846" s="103">
        <v>2629420239</v>
      </c>
      <c r="G846" s="103">
        <v>25094358</v>
      </c>
      <c r="H846" s="105">
        <f t="shared" si="25"/>
        <v>4552765590</v>
      </c>
      <c r="I846" s="103">
        <v>2489207</v>
      </c>
      <c r="J846" s="109" t="s">
        <v>675</v>
      </c>
    </row>
    <row r="847" spans="1:10">
      <c r="A847" s="71" t="s">
        <v>51</v>
      </c>
      <c r="B847" s="88" t="s">
        <v>220</v>
      </c>
      <c r="C847" s="102">
        <v>2011</v>
      </c>
      <c r="D847" s="103">
        <v>1102883385</v>
      </c>
      <c r="E847" s="103">
        <v>949125514</v>
      </c>
      <c r="F847" s="103">
        <v>2506972914</v>
      </c>
      <c r="G847" s="103">
        <v>29818626</v>
      </c>
      <c r="H847" s="105">
        <f t="shared" si="25"/>
        <v>4588800439</v>
      </c>
      <c r="I847" s="103">
        <v>757029</v>
      </c>
      <c r="J847" s="109" t="s">
        <v>675</v>
      </c>
    </row>
    <row r="848" spans="1:10">
      <c r="A848" s="71" t="s">
        <v>51</v>
      </c>
      <c r="B848" s="88" t="s">
        <v>220</v>
      </c>
      <c r="C848" s="102">
        <v>2012</v>
      </c>
      <c r="D848" s="103">
        <v>1136196014</v>
      </c>
      <c r="E848" s="103">
        <v>955395782</v>
      </c>
      <c r="F848" s="103">
        <v>2555189534</v>
      </c>
      <c r="G848" s="103">
        <v>30682921</v>
      </c>
      <c r="H848" s="105">
        <f t="shared" si="25"/>
        <v>4677464251</v>
      </c>
      <c r="I848" s="103">
        <v>941400</v>
      </c>
      <c r="J848" s="109" t="s">
        <v>675</v>
      </c>
    </row>
    <row r="849" spans="1:11">
      <c r="A849" s="71" t="s">
        <v>51</v>
      </c>
      <c r="B849" s="88" t="s">
        <v>220</v>
      </c>
      <c r="C849" s="102">
        <v>2013</v>
      </c>
      <c r="D849" s="103">
        <v>1162331712</v>
      </c>
      <c r="E849" s="103">
        <v>1012429718</v>
      </c>
      <c r="F849" s="103">
        <v>2711111873</v>
      </c>
      <c r="G849" s="103">
        <v>63673594</v>
      </c>
      <c r="H849" s="105">
        <f t="shared" si="25"/>
        <v>4949546897</v>
      </c>
      <c r="I849" s="103">
        <v>481812</v>
      </c>
      <c r="J849" s="109" t="s">
        <v>675</v>
      </c>
    </row>
    <row r="850" spans="1:11">
      <c r="A850" s="71" t="s">
        <v>51</v>
      </c>
      <c r="B850" s="88" t="s">
        <v>220</v>
      </c>
      <c r="C850" s="102">
        <v>2014</v>
      </c>
      <c r="D850" s="103">
        <v>1182573832</v>
      </c>
      <c r="E850" s="103">
        <v>1098734107</v>
      </c>
      <c r="F850" s="103">
        <v>2710125131</v>
      </c>
      <c r="G850" s="103">
        <v>17298773</v>
      </c>
      <c r="H850" s="105">
        <f t="shared" si="25"/>
        <v>5008731843</v>
      </c>
      <c r="I850" s="103">
        <v>47216346</v>
      </c>
      <c r="J850" s="109" t="s">
        <v>675</v>
      </c>
    </row>
    <row r="851" spans="1:11">
      <c r="A851" s="71" t="s">
        <v>51</v>
      </c>
      <c r="B851" s="88" t="s">
        <v>220</v>
      </c>
      <c r="C851" s="102">
        <v>2015</v>
      </c>
      <c r="D851" s="103">
        <v>1192119346</v>
      </c>
      <c r="E851" s="103">
        <v>1183584489</v>
      </c>
      <c r="F851" s="103">
        <v>2514474358</v>
      </c>
      <c r="G851" s="103">
        <v>17143291</v>
      </c>
      <c r="H851" s="105">
        <f t="shared" si="25"/>
        <v>4907321484</v>
      </c>
      <c r="I851" s="103">
        <v>27277455</v>
      </c>
      <c r="J851" s="109" t="s">
        <v>675</v>
      </c>
    </row>
    <row r="852" spans="1:11">
      <c r="A852" s="71" t="s">
        <v>51</v>
      </c>
      <c r="B852" s="88" t="s">
        <v>220</v>
      </c>
      <c r="C852" s="102">
        <v>2016</v>
      </c>
      <c r="D852" s="103">
        <v>1240812243</v>
      </c>
      <c r="E852" s="103">
        <v>1179851950</v>
      </c>
      <c r="F852" s="103">
        <v>2516772991</v>
      </c>
      <c r="G852" s="103">
        <v>24824279</v>
      </c>
      <c r="H852" s="105">
        <f t="shared" si="25"/>
        <v>4962261463</v>
      </c>
      <c r="I852" s="103">
        <v>17304043</v>
      </c>
      <c r="J852" s="109" t="s">
        <v>675</v>
      </c>
    </row>
    <row r="853" spans="1:11">
      <c r="A853" s="71" t="s">
        <v>51</v>
      </c>
      <c r="B853" s="88" t="s">
        <v>220</v>
      </c>
      <c r="C853" s="102">
        <v>2017</v>
      </c>
      <c r="D853" s="103">
        <v>1264287680</v>
      </c>
      <c r="E853" s="103">
        <v>1139859260</v>
      </c>
      <c r="F853" s="103">
        <v>2529044911</v>
      </c>
      <c r="G853" s="103">
        <v>20842640</v>
      </c>
      <c r="H853" s="105">
        <f t="shared" si="25"/>
        <v>4954034491</v>
      </c>
      <c r="I853" s="103">
        <v>13376218</v>
      </c>
      <c r="J853" s="109" t="s">
        <v>675</v>
      </c>
    </row>
    <row r="854" spans="1:11">
      <c r="A854" s="71" t="s">
        <v>51</v>
      </c>
      <c r="B854" s="88" t="s">
        <v>220</v>
      </c>
      <c r="C854" s="102">
        <v>2018</v>
      </c>
      <c r="D854" s="103">
        <v>1276891322</v>
      </c>
      <c r="E854" s="103">
        <v>1518213551</v>
      </c>
      <c r="F854" s="103">
        <v>2523156105.3899999</v>
      </c>
      <c r="G854" s="103">
        <v>22423238</v>
      </c>
      <c r="H854" s="105">
        <f t="shared" si="25"/>
        <v>5340684216.3899994</v>
      </c>
      <c r="I854" s="103">
        <v>18343559</v>
      </c>
      <c r="J854" s="109" t="s">
        <v>675</v>
      </c>
    </row>
    <row r="855" spans="1:11">
      <c r="A855" s="71" t="s">
        <v>51</v>
      </c>
      <c r="B855" s="88" t="s">
        <v>220</v>
      </c>
      <c r="C855" s="102">
        <v>2019</v>
      </c>
      <c r="D855" s="103">
        <v>1306124911</v>
      </c>
      <c r="E855" s="103">
        <v>1491395523</v>
      </c>
      <c r="F855" s="103">
        <v>2589221840.46</v>
      </c>
      <c r="G855" s="103">
        <v>11502604</v>
      </c>
      <c r="H855" s="105">
        <f t="shared" si="25"/>
        <v>5398244878.46</v>
      </c>
      <c r="I855" s="103">
        <v>16060349</v>
      </c>
      <c r="J855" s="109" t="s">
        <v>675</v>
      </c>
    </row>
    <row r="856" spans="1:11">
      <c r="A856" s="71" t="s">
        <v>51</v>
      </c>
      <c r="B856" s="88" t="s">
        <v>220</v>
      </c>
      <c r="C856" s="102">
        <v>2020</v>
      </c>
      <c r="D856" s="103">
        <v>1309004574</v>
      </c>
      <c r="E856" s="103">
        <v>1327339820</v>
      </c>
      <c r="F856" s="103">
        <v>3416643722</v>
      </c>
      <c r="G856" s="103">
        <v>34526554</v>
      </c>
      <c r="H856" s="105">
        <f t="shared" si="25"/>
        <v>6087514670</v>
      </c>
      <c r="I856" s="103">
        <v>14966622</v>
      </c>
      <c r="J856" s="109" t="s">
        <v>696</v>
      </c>
      <c r="K856" s="52" t="s">
        <v>677</v>
      </c>
    </row>
    <row r="857" spans="1:11">
      <c r="A857" s="101"/>
      <c r="B857" s="107"/>
      <c r="D857" s="104"/>
      <c r="E857" s="104"/>
      <c r="F857" s="104"/>
      <c r="G857" s="104"/>
      <c r="H857" s="103"/>
      <c r="I857" s="103"/>
      <c r="J857" s="109"/>
    </row>
    <row r="858" spans="1:11" ht="11.25" customHeight="1">
      <c r="A858" s="101" t="s">
        <v>52</v>
      </c>
      <c r="B858" s="88" t="s">
        <v>207</v>
      </c>
      <c r="C858" s="102">
        <v>1988</v>
      </c>
      <c r="D858" s="104">
        <v>1251563117</v>
      </c>
      <c r="E858" s="104">
        <v>931078974</v>
      </c>
      <c r="F858" s="104">
        <v>2156992186</v>
      </c>
      <c r="G858" s="104">
        <v>0</v>
      </c>
      <c r="H858" s="105">
        <f>SUM(D858:G858)</f>
        <v>4339634277</v>
      </c>
      <c r="I858" s="103">
        <v>0</v>
      </c>
      <c r="J858" s="109"/>
    </row>
    <row r="859" spans="1:11">
      <c r="A859" s="101" t="s">
        <v>52</v>
      </c>
      <c r="B859" s="88" t="s">
        <v>207</v>
      </c>
      <c r="C859" s="102">
        <v>1989</v>
      </c>
      <c r="D859" s="104">
        <v>1198180850</v>
      </c>
      <c r="E859" s="104">
        <v>1123059899</v>
      </c>
      <c r="F859" s="104">
        <v>2124022136</v>
      </c>
      <c r="G859" s="104">
        <v>0</v>
      </c>
      <c r="H859" s="105">
        <f t="shared" ref="H859:H890" si="26">SUM(D859:G859)</f>
        <v>4445262885</v>
      </c>
      <c r="I859" s="103">
        <v>0</v>
      </c>
      <c r="J859" s="109"/>
    </row>
    <row r="860" spans="1:11">
      <c r="A860" s="101" t="s">
        <v>52</v>
      </c>
      <c r="B860" s="88" t="s">
        <v>207</v>
      </c>
      <c r="C860" s="102">
        <v>1990</v>
      </c>
      <c r="D860" s="104">
        <v>1240651317</v>
      </c>
      <c r="E860" s="104">
        <v>1097030145.5599999</v>
      </c>
      <c r="F860" s="104">
        <v>2324782100</v>
      </c>
      <c r="G860" s="104">
        <v>0</v>
      </c>
      <c r="H860" s="105">
        <f t="shared" si="26"/>
        <v>4662463562.5599995</v>
      </c>
      <c r="I860" s="103">
        <v>0</v>
      </c>
      <c r="J860" s="109"/>
    </row>
    <row r="861" spans="1:11">
      <c r="A861" s="101" t="s">
        <v>52</v>
      </c>
      <c r="B861" s="88" t="s">
        <v>207</v>
      </c>
      <c r="C861" s="102">
        <v>1991</v>
      </c>
      <c r="D861" s="104">
        <v>1349911823</v>
      </c>
      <c r="E861" s="104">
        <v>1389277893</v>
      </c>
      <c r="F861" s="104">
        <v>2060112323</v>
      </c>
      <c r="G861" s="104">
        <v>0</v>
      </c>
      <c r="H861" s="105">
        <f t="shared" si="26"/>
        <v>4799302039</v>
      </c>
      <c r="I861" s="103">
        <v>0</v>
      </c>
      <c r="J861" s="109"/>
    </row>
    <row r="862" spans="1:11">
      <c r="A862" s="101" t="s">
        <v>52</v>
      </c>
      <c r="B862" s="88" t="s">
        <v>207</v>
      </c>
      <c r="C862" s="102">
        <v>1992</v>
      </c>
      <c r="D862" s="104">
        <v>1459548738</v>
      </c>
      <c r="E862" s="104">
        <v>1175246705.76</v>
      </c>
      <c r="F862" s="104">
        <v>2124405592</v>
      </c>
      <c r="G862" s="104">
        <v>0</v>
      </c>
      <c r="H862" s="105">
        <f t="shared" si="26"/>
        <v>4759201035.7600002</v>
      </c>
      <c r="I862" s="103">
        <v>0</v>
      </c>
      <c r="J862" s="109"/>
    </row>
    <row r="863" spans="1:11">
      <c r="A863" s="101" t="s">
        <v>52</v>
      </c>
      <c r="B863" s="88" t="s">
        <v>207</v>
      </c>
      <c r="C863" s="102">
        <v>1993</v>
      </c>
      <c r="D863" s="104">
        <v>1527419510</v>
      </c>
      <c r="E863" s="104">
        <v>989233343</v>
      </c>
      <c r="F863" s="104">
        <v>2188748651</v>
      </c>
      <c r="G863" s="104">
        <v>0</v>
      </c>
      <c r="H863" s="105">
        <f t="shared" si="26"/>
        <v>4705401504</v>
      </c>
      <c r="I863" s="103">
        <v>0</v>
      </c>
      <c r="J863" s="109"/>
    </row>
    <row r="864" spans="1:11">
      <c r="A864" s="101" t="s">
        <v>52</v>
      </c>
      <c r="B864" s="88" t="s">
        <v>207</v>
      </c>
      <c r="C864" s="102">
        <v>1994</v>
      </c>
      <c r="D864" s="104">
        <v>1671769259</v>
      </c>
      <c r="E864" s="104">
        <v>1204134118</v>
      </c>
      <c r="F864" s="104">
        <v>2189107887</v>
      </c>
      <c r="G864" s="104">
        <v>0</v>
      </c>
      <c r="H864" s="105">
        <f t="shared" si="26"/>
        <v>5065011264</v>
      </c>
      <c r="I864" s="103">
        <v>0</v>
      </c>
      <c r="J864" s="109"/>
    </row>
    <row r="865" spans="1:10">
      <c r="A865" s="101" t="s">
        <v>52</v>
      </c>
      <c r="B865" s="88" t="s">
        <v>207</v>
      </c>
      <c r="C865" s="102">
        <v>1995</v>
      </c>
      <c r="D865" s="104">
        <v>1839124315</v>
      </c>
      <c r="E865" s="104">
        <v>1188539399</v>
      </c>
      <c r="F865" s="104">
        <v>2347301665</v>
      </c>
      <c r="G865" s="104">
        <v>0</v>
      </c>
      <c r="H865" s="105">
        <f t="shared" si="26"/>
        <v>5374965379</v>
      </c>
      <c r="I865" s="103">
        <v>0</v>
      </c>
      <c r="J865" s="109"/>
    </row>
    <row r="866" spans="1:10">
      <c r="A866" s="101" t="s">
        <v>52</v>
      </c>
      <c r="B866" s="88" t="s">
        <v>207</v>
      </c>
      <c r="C866" s="102">
        <v>1996</v>
      </c>
      <c r="D866" s="104">
        <v>1682414277</v>
      </c>
      <c r="E866" s="104">
        <v>1114522624</v>
      </c>
      <c r="F866" s="104">
        <v>2383805840</v>
      </c>
      <c r="G866" s="104">
        <v>0</v>
      </c>
      <c r="H866" s="105">
        <f t="shared" si="26"/>
        <v>5180742741</v>
      </c>
      <c r="I866" s="103">
        <v>0</v>
      </c>
      <c r="J866" s="109"/>
    </row>
    <row r="867" spans="1:10">
      <c r="A867" s="101" t="s">
        <v>52</v>
      </c>
      <c r="B867" s="88" t="s">
        <v>207</v>
      </c>
      <c r="C867" s="102">
        <v>1997</v>
      </c>
      <c r="D867" s="104">
        <v>1669250470</v>
      </c>
      <c r="E867" s="104">
        <v>1139674732</v>
      </c>
      <c r="F867" s="104">
        <v>2374229300</v>
      </c>
      <c r="G867" s="104">
        <v>0</v>
      </c>
      <c r="H867" s="105">
        <f t="shared" si="26"/>
        <v>5183154502</v>
      </c>
      <c r="I867" s="103">
        <v>0</v>
      </c>
      <c r="J867" s="109"/>
    </row>
    <row r="868" spans="1:10">
      <c r="A868" s="101" t="s">
        <v>52</v>
      </c>
      <c r="B868" s="88" t="s">
        <v>207</v>
      </c>
      <c r="C868" s="102">
        <v>1998</v>
      </c>
      <c r="D868" s="104">
        <v>1637956937</v>
      </c>
      <c r="E868" s="104">
        <v>1032414678</v>
      </c>
      <c r="F868" s="104">
        <v>2420090787</v>
      </c>
      <c r="G868" s="104">
        <v>0</v>
      </c>
      <c r="H868" s="105">
        <f t="shared" si="26"/>
        <v>5090462402</v>
      </c>
      <c r="I868" s="103">
        <v>0</v>
      </c>
      <c r="J868" s="109"/>
    </row>
    <row r="869" spans="1:10">
      <c r="A869" s="101" t="s">
        <v>52</v>
      </c>
      <c r="B869" s="88" t="s">
        <v>207</v>
      </c>
      <c r="C869" s="102">
        <v>1999</v>
      </c>
      <c r="D869" s="104">
        <v>1653760006</v>
      </c>
      <c r="E869" s="104">
        <v>1275930746</v>
      </c>
      <c r="F869" s="104">
        <v>2502569907</v>
      </c>
      <c r="G869" s="104">
        <v>0</v>
      </c>
      <c r="H869" s="105">
        <f t="shared" si="26"/>
        <v>5432260659</v>
      </c>
      <c r="I869" s="103">
        <v>0</v>
      </c>
      <c r="J869" s="109"/>
    </row>
    <row r="870" spans="1:10">
      <c r="A870" s="101" t="s">
        <v>52</v>
      </c>
      <c r="B870" s="88" t="s">
        <v>207</v>
      </c>
      <c r="C870" s="102">
        <v>2000</v>
      </c>
      <c r="D870" s="104">
        <v>1668186368</v>
      </c>
      <c r="E870" s="104">
        <v>1408762316</v>
      </c>
      <c r="F870" s="104">
        <v>2577689385</v>
      </c>
      <c r="G870" s="104">
        <v>0</v>
      </c>
      <c r="H870" s="105">
        <f t="shared" si="26"/>
        <v>5654638069</v>
      </c>
      <c r="I870" s="103">
        <v>0</v>
      </c>
      <c r="J870" s="109"/>
    </row>
    <row r="871" spans="1:10">
      <c r="A871" s="101" t="s">
        <v>52</v>
      </c>
      <c r="B871" s="88" t="s">
        <v>207</v>
      </c>
      <c r="C871" s="102">
        <v>2001</v>
      </c>
      <c r="D871" s="104">
        <v>1736935205</v>
      </c>
      <c r="E871" s="104">
        <v>2505513264.75</v>
      </c>
      <c r="F871" s="104">
        <v>3006597001</v>
      </c>
      <c r="G871" s="104">
        <v>0</v>
      </c>
      <c r="H871" s="105">
        <f t="shared" si="26"/>
        <v>7249045470.75</v>
      </c>
      <c r="I871" s="103">
        <v>0</v>
      </c>
      <c r="J871" s="109"/>
    </row>
    <row r="872" spans="1:10">
      <c r="A872" s="101" t="s">
        <v>52</v>
      </c>
      <c r="B872" s="88" t="s">
        <v>207</v>
      </c>
      <c r="C872" s="102">
        <v>2002</v>
      </c>
      <c r="D872" s="104">
        <v>1831224742</v>
      </c>
      <c r="E872" s="104">
        <v>2733458900</v>
      </c>
      <c r="F872" s="104">
        <v>3242178827</v>
      </c>
      <c r="G872" s="104">
        <v>0</v>
      </c>
      <c r="H872" s="105">
        <f t="shared" si="26"/>
        <v>7806862469</v>
      </c>
      <c r="I872" s="103">
        <v>0</v>
      </c>
      <c r="J872" s="109"/>
    </row>
    <row r="873" spans="1:10">
      <c r="A873" s="101" t="s">
        <v>52</v>
      </c>
      <c r="B873" s="88" t="s">
        <v>207</v>
      </c>
      <c r="C873" s="102">
        <v>2003</v>
      </c>
      <c r="D873" s="106">
        <v>1943903479</v>
      </c>
      <c r="E873" s="106">
        <v>2479348400</v>
      </c>
      <c r="F873" s="106">
        <v>3659027426</v>
      </c>
      <c r="G873" s="104">
        <v>0</v>
      </c>
      <c r="H873" s="105">
        <f t="shared" si="26"/>
        <v>8082279305</v>
      </c>
      <c r="I873" s="103">
        <v>0</v>
      </c>
      <c r="J873" s="109"/>
    </row>
    <row r="874" spans="1:10">
      <c r="A874" s="101" t="s">
        <v>52</v>
      </c>
      <c r="B874" s="88" t="s">
        <v>207</v>
      </c>
      <c r="C874" s="102">
        <v>2004</v>
      </c>
      <c r="D874" s="106">
        <v>2021695012</v>
      </c>
      <c r="E874" s="106">
        <v>2499720306</v>
      </c>
      <c r="F874" s="106">
        <v>4088974451</v>
      </c>
      <c r="G874" s="104">
        <v>0</v>
      </c>
      <c r="H874" s="105">
        <f t="shared" si="26"/>
        <v>8610389769</v>
      </c>
      <c r="I874" s="103">
        <v>0</v>
      </c>
      <c r="J874" s="109"/>
    </row>
    <row r="875" spans="1:10">
      <c r="A875" s="101" t="s">
        <v>52</v>
      </c>
      <c r="B875" s="88" t="s">
        <v>207</v>
      </c>
      <c r="C875" s="102">
        <v>2005</v>
      </c>
      <c r="D875" s="106">
        <v>1966492499</v>
      </c>
      <c r="E875" s="106">
        <v>2320042164</v>
      </c>
      <c r="F875" s="106">
        <v>4485178309</v>
      </c>
      <c r="G875" s="104">
        <v>0</v>
      </c>
      <c r="H875" s="105">
        <f t="shared" si="26"/>
        <v>8771712972</v>
      </c>
      <c r="I875" s="103">
        <v>0</v>
      </c>
      <c r="J875" s="109"/>
    </row>
    <row r="876" spans="1:10">
      <c r="A876" s="101" t="s">
        <v>52</v>
      </c>
      <c r="B876" s="88" t="s">
        <v>207</v>
      </c>
      <c r="C876" s="102">
        <v>2006</v>
      </c>
      <c r="D876" s="103">
        <v>2115297355</v>
      </c>
      <c r="E876" s="103">
        <v>2816433582</v>
      </c>
      <c r="F876" s="103">
        <v>5073583309</v>
      </c>
      <c r="G876" s="104">
        <v>0</v>
      </c>
      <c r="H876" s="105">
        <f t="shared" si="26"/>
        <v>10005314246</v>
      </c>
      <c r="I876" s="103">
        <v>0</v>
      </c>
      <c r="J876" s="109"/>
    </row>
    <row r="877" spans="1:10">
      <c r="A877" s="101" t="s">
        <v>52</v>
      </c>
      <c r="B877" s="88" t="s">
        <v>207</v>
      </c>
      <c r="C877" s="102">
        <v>2007</v>
      </c>
      <c r="D877" s="103">
        <v>2169656374</v>
      </c>
      <c r="E877" s="103">
        <v>2417866053</v>
      </c>
      <c r="F877" s="103">
        <v>5517388174</v>
      </c>
      <c r="G877" s="103">
        <v>0</v>
      </c>
      <c r="H877" s="105">
        <f t="shared" si="26"/>
        <v>10104910601</v>
      </c>
      <c r="I877" s="103">
        <v>0</v>
      </c>
      <c r="J877" s="109"/>
    </row>
    <row r="878" spans="1:10">
      <c r="A878" s="101" t="s">
        <v>52</v>
      </c>
      <c r="B878" s="88" t="s">
        <v>207</v>
      </c>
      <c r="C878" s="102">
        <v>2008</v>
      </c>
      <c r="D878" s="103">
        <v>2190546307</v>
      </c>
      <c r="E878" s="103">
        <v>3723154933</v>
      </c>
      <c r="F878" s="103">
        <v>6053273728</v>
      </c>
      <c r="G878" s="103">
        <v>0</v>
      </c>
      <c r="H878" s="105">
        <f t="shared" si="26"/>
        <v>11966974968</v>
      </c>
      <c r="I878" s="103">
        <v>0</v>
      </c>
      <c r="J878" s="109"/>
    </row>
    <row r="879" spans="1:10">
      <c r="A879" s="101" t="s">
        <v>52</v>
      </c>
      <c r="B879" s="88" t="s">
        <v>207</v>
      </c>
      <c r="C879" s="102">
        <v>2009</v>
      </c>
      <c r="D879" s="103">
        <v>2427879062</v>
      </c>
      <c r="E879" s="103">
        <v>3635022384</v>
      </c>
      <c r="F879" s="103">
        <v>6263415684</v>
      </c>
      <c r="G879" s="103">
        <v>0</v>
      </c>
      <c r="H879" s="105">
        <f t="shared" si="26"/>
        <v>12326317130</v>
      </c>
      <c r="I879" s="103">
        <v>0</v>
      </c>
      <c r="J879" s="109"/>
    </row>
    <row r="880" spans="1:10">
      <c r="A880" s="101" t="s">
        <v>52</v>
      </c>
      <c r="B880" s="88" t="s">
        <v>207</v>
      </c>
      <c r="C880" s="102">
        <v>2010</v>
      </c>
      <c r="D880" s="103">
        <v>2311852743</v>
      </c>
      <c r="E880" s="103">
        <v>3359298780</v>
      </c>
      <c r="F880" s="103">
        <v>6585751698</v>
      </c>
      <c r="G880" s="103">
        <v>0</v>
      </c>
      <c r="H880" s="105">
        <f t="shared" si="26"/>
        <v>12256903221</v>
      </c>
      <c r="I880" s="103">
        <v>0</v>
      </c>
      <c r="J880" s="109"/>
    </row>
    <row r="881" spans="1:11">
      <c r="A881" s="101" t="s">
        <v>52</v>
      </c>
      <c r="B881" s="88" t="s">
        <v>207</v>
      </c>
      <c r="C881" s="102">
        <v>2011</v>
      </c>
      <c r="D881" s="103">
        <v>2393944168</v>
      </c>
      <c r="E881" s="103">
        <v>3549689210</v>
      </c>
      <c r="F881" s="103">
        <v>6656052457.8199997</v>
      </c>
      <c r="G881" s="103">
        <v>0</v>
      </c>
      <c r="H881" s="105">
        <f t="shared" si="26"/>
        <v>12599685835.82</v>
      </c>
      <c r="I881" s="103">
        <v>0</v>
      </c>
      <c r="J881" s="109"/>
    </row>
    <row r="882" spans="1:11">
      <c r="A882" s="101" t="s">
        <v>52</v>
      </c>
      <c r="B882" s="88" t="s">
        <v>207</v>
      </c>
      <c r="C882" s="102">
        <v>2012</v>
      </c>
      <c r="D882" s="103">
        <v>2429857507</v>
      </c>
      <c r="E882" s="103">
        <v>4581265853</v>
      </c>
      <c r="F882" s="103">
        <v>6373956489</v>
      </c>
      <c r="G882" s="103">
        <v>0</v>
      </c>
      <c r="H882" s="105">
        <f t="shared" si="26"/>
        <v>13385079849</v>
      </c>
      <c r="I882" s="103">
        <v>0</v>
      </c>
      <c r="J882" s="109"/>
    </row>
    <row r="883" spans="1:11">
      <c r="A883" s="101" t="s">
        <v>52</v>
      </c>
      <c r="B883" s="88" t="s">
        <v>207</v>
      </c>
      <c r="C883" s="102">
        <v>2013</v>
      </c>
      <c r="D883" s="103">
        <v>2549299523</v>
      </c>
      <c r="E883" s="103">
        <v>4803298659</v>
      </c>
      <c r="F883" s="103">
        <v>6005301222</v>
      </c>
      <c r="G883" s="103">
        <v>0</v>
      </c>
      <c r="H883" s="105">
        <f t="shared" si="26"/>
        <v>13357899404</v>
      </c>
      <c r="I883" s="103">
        <v>0</v>
      </c>
      <c r="J883" s="109"/>
    </row>
    <row r="884" spans="1:11">
      <c r="A884" s="101" t="s">
        <v>52</v>
      </c>
      <c r="B884" s="88" t="s">
        <v>207</v>
      </c>
      <c r="C884" s="102">
        <v>2014</v>
      </c>
      <c r="D884" s="103">
        <v>2509724699</v>
      </c>
      <c r="E884" s="103">
        <v>5040026573</v>
      </c>
      <c r="F884" s="103">
        <v>6411340847.1800003</v>
      </c>
      <c r="G884" s="103">
        <v>0</v>
      </c>
      <c r="H884" s="105">
        <f t="shared" si="26"/>
        <v>13961092119.18</v>
      </c>
      <c r="I884" s="103">
        <v>0</v>
      </c>
      <c r="J884" s="109"/>
    </row>
    <row r="885" spans="1:11">
      <c r="A885" s="101" t="s">
        <v>52</v>
      </c>
      <c r="B885" s="88" t="s">
        <v>207</v>
      </c>
      <c r="C885" s="102">
        <v>2015</v>
      </c>
      <c r="D885" s="103">
        <v>2612261230</v>
      </c>
      <c r="E885" s="103">
        <v>4996787466</v>
      </c>
      <c r="F885" s="103">
        <v>6726452857</v>
      </c>
      <c r="G885" s="103">
        <v>0</v>
      </c>
      <c r="H885" s="105">
        <f t="shared" si="26"/>
        <v>14335501553</v>
      </c>
      <c r="I885" s="103">
        <v>0</v>
      </c>
      <c r="J885" s="109"/>
    </row>
    <row r="886" spans="1:11">
      <c r="A886" s="101" t="s">
        <v>52</v>
      </c>
      <c r="B886" s="88" t="s">
        <v>207</v>
      </c>
      <c r="C886" s="102">
        <v>2016</v>
      </c>
      <c r="D886" s="103">
        <v>2667822141</v>
      </c>
      <c r="E886" s="103">
        <v>5586614426</v>
      </c>
      <c r="F886" s="103">
        <v>7121890967</v>
      </c>
      <c r="G886" s="103">
        <v>0</v>
      </c>
      <c r="H886" s="105">
        <f t="shared" si="26"/>
        <v>15376327534</v>
      </c>
      <c r="I886" s="103">
        <v>0</v>
      </c>
      <c r="J886" s="109"/>
    </row>
    <row r="887" spans="1:11">
      <c r="A887" s="101" t="s">
        <v>52</v>
      </c>
      <c r="B887" s="88" t="s">
        <v>207</v>
      </c>
      <c r="C887" s="102">
        <v>2017</v>
      </c>
      <c r="D887" s="103">
        <v>2653950275</v>
      </c>
      <c r="E887" s="103">
        <v>5300439063</v>
      </c>
      <c r="F887" s="103">
        <v>7563165008.8199997</v>
      </c>
      <c r="G887" s="103">
        <v>0</v>
      </c>
      <c r="H887" s="105">
        <f t="shared" si="26"/>
        <v>15517554346.82</v>
      </c>
      <c r="I887" s="103">
        <v>0</v>
      </c>
      <c r="J887" s="109" t="s">
        <v>623</v>
      </c>
    </row>
    <row r="888" spans="1:11">
      <c r="A888" s="101" t="s">
        <v>52</v>
      </c>
      <c r="B888" s="88" t="s">
        <v>207</v>
      </c>
      <c r="C888" s="102">
        <v>2018</v>
      </c>
      <c r="D888" s="103">
        <v>2696231173</v>
      </c>
      <c r="E888" s="103">
        <v>5717725581</v>
      </c>
      <c r="F888" s="103">
        <v>8092192890.8999996</v>
      </c>
      <c r="G888" s="103">
        <v>0</v>
      </c>
      <c r="H888" s="105">
        <f t="shared" si="26"/>
        <v>16506149644.9</v>
      </c>
      <c r="I888" s="103">
        <v>0</v>
      </c>
      <c r="J888" s="109" t="s">
        <v>679</v>
      </c>
      <c r="K888" s="52" t="s">
        <v>677</v>
      </c>
    </row>
    <row r="889" spans="1:11">
      <c r="A889" s="101" t="s">
        <v>52</v>
      </c>
      <c r="B889" s="88" t="s">
        <v>207</v>
      </c>
      <c r="C889" s="102">
        <v>2019</v>
      </c>
      <c r="D889" s="103">
        <v>2766982523</v>
      </c>
      <c r="E889" s="103">
        <v>5873796083</v>
      </c>
      <c r="F889" s="103">
        <v>7955102632.8041</v>
      </c>
      <c r="G889" s="103">
        <v>0</v>
      </c>
      <c r="H889" s="105">
        <f t="shared" si="26"/>
        <v>16595881238.8041</v>
      </c>
      <c r="I889" s="103">
        <v>0</v>
      </c>
      <c r="J889" s="109" t="s">
        <v>680</v>
      </c>
    </row>
    <row r="890" spans="1:11">
      <c r="A890" s="101" t="s">
        <v>52</v>
      </c>
      <c r="B890" s="88" t="s">
        <v>207</v>
      </c>
      <c r="C890" s="102">
        <v>2020</v>
      </c>
      <c r="D890" s="103">
        <v>2781255954</v>
      </c>
      <c r="E890" s="103">
        <v>5147522731</v>
      </c>
      <c r="F890" s="103">
        <v>7520071788</v>
      </c>
      <c r="G890" s="103">
        <v>0</v>
      </c>
      <c r="H890" s="105">
        <f t="shared" si="26"/>
        <v>15448850473</v>
      </c>
      <c r="I890" s="103">
        <v>0</v>
      </c>
      <c r="J890" s="109" t="s">
        <v>680</v>
      </c>
    </row>
    <row r="891" spans="1:11">
      <c r="A891" s="101"/>
      <c r="B891" s="107"/>
      <c r="D891" s="104"/>
      <c r="E891" s="104"/>
      <c r="F891" s="104"/>
      <c r="G891" s="104"/>
      <c r="H891" s="103"/>
      <c r="I891" s="103"/>
      <c r="J891" s="109"/>
    </row>
    <row r="892" spans="1:11">
      <c r="A892" s="101" t="s">
        <v>53</v>
      </c>
      <c r="B892" s="88" t="s">
        <v>697</v>
      </c>
      <c r="C892" s="102">
        <v>1988</v>
      </c>
      <c r="D892" s="104">
        <v>169041608</v>
      </c>
      <c r="E892" s="104">
        <v>148382870</v>
      </c>
      <c r="F892" s="104">
        <v>143818697</v>
      </c>
      <c r="G892" s="104">
        <v>34022445</v>
      </c>
      <c r="H892" s="105">
        <f>SUM(D892:G892)</f>
        <v>495265620</v>
      </c>
      <c r="I892" s="103">
        <v>0</v>
      </c>
      <c r="J892" s="109"/>
    </row>
    <row r="893" spans="1:11">
      <c r="A893" s="101" t="s">
        <v>53</v>
      </c>
      <c r="B893" s="88" t="s">
        <v>697</v>
      </c>
      <c r="C893" s="102">
        <v>1989</v>
      </c>
      <c r="D893" s="104">
        <v>147923715</v>
      </c>
      <c r="E893" s="104">
        <v>178608344</v>
      </c>
      <c r="F893" s="104">
        <v>159327524</v>
      </c>
      <c r="G893" s="104">
        <v>28160686</v>
      </c>
      <c r="H893" s="105">
        <f t="shared" ref="H893:H924" si="27">SUM(D893:G893)</f>
        <v>514020269</v>
      </c>
      <c r="I893" s="103">
        <v>0</v>
      </c>
      <c r="J893" s="109"/>
    </row>
    <row r="894" spans="1:11">
      <c r="A894" s="101" t="s">
        <v>53</v>
      </c>
      <c r="B894" s="88" t="s">
        <v>697</v>
      </c>
      <c r="C894" s="102">
        <v>1990</v>
      </c>
      <c r="D894" s="104">
        <v>151461664</v>
      </c>
      <c r="E894" s="104">
        <v>174514866.52000001</v>
      </c>
      <c r="F894" s="104">
        <v>168978142</v>
      </c>
      <c r="G894" s="104">
        <v>28984099</v>
      </c>
      <c r="H894" s="105">
        <f t="shared" si="27"/>
        <v>523938771.51999998</v>
      </c>
      <c r="I894" s="103">
        <v>0</v>
      </c>
      <c r="J894" s="109"/>
    </row>
    <row r="895" spans="1:11">
      <c r="A895" s="101" t="s">
        <v>53</v>
      </c>
      <c r="B895" s="88" t="s">
        <v>697</v>
      </c>
      <c r="C895" s="102">
        <v>1991</v>
      </c>
      <c r="D895" s="104">
        <v>159736732</v>
      </c>
      <c r="E895" s="104">
        <v>168421262</v>
      </c>
      <c r="F895" s="104">
        <v>182006785</v>
      </c>
      <c r="G895" s="104">
        <v>0</v>
      </c>
      <c r="H895" s="105">
        <f t="shared" si="27"/>
        <v>510164779</v>
      </c>
      <c r="I895" s="103">
        <v>0</v>
      </c>
      <c r="J895" s="109"/>
    </row>
    <row r="896" spans="1:11">
      <c r="A896" s="101" t="s">
        <v>53</v>
      </c>
      <c r="B896" s="88" t="s">
        <v>697</v>
      </c>
      <c r="C896" s="102">
        <v>1992</v>
      </c>
      <c r="D896" s="104">
        <v>167589649</v>
      </c>
      <c r="E896" s="104">
        <v>177152069.47999999</v>
      </c>
      <c r="F896" s="104">
        <v>194197079</v>
      </c>
      <c r="G896" s="104">
        <v>0</v>
      </c>
      <c r="H896" s="105">
        <f t="shared" si="27"/>
        <v>538938797.48000002</v>
      </c>
      <c r="I896" s="103">
        <v>0</v>
      </c>
      <c r="J896" s="109"/>
    </row>
    <row r="897" spans="1:10">
      <c r="A897" s="101" t="s">
        <v>53</v>
      </c>
      <c r="B897" s="88" t="s">
        <v>697</v>
      </c>
      <c r="C897" s="102">
        <v>1993</v>
      </c>
      <c r="D897" s="104">
        <v>176808984</v>
      </c>
      <c r="E897" s="104">
        <v>137333187</v>
      </c>
      <c r="F897" s="104">
        <v>206653950</v>
      </c>
      <c r="G897" s="104">
        <v>40838724</v>
      </c>
      <c r="H897" s="105">
        <f t="shared" si="27"/>
        <v>561634845</v>
      </c>
      <c r="I897" s="103">
        <v>0</v>
      </c>
      <c r="J897" s="109"/>
    </row>
    <row r="898" spans="1:10">
      <c r="A898" s="101" t="s">
        <v>53</v>
      </c>
      <c r="B898" s="88" t="s">
        <v>697</v>
      </c>
      <c r="C898" s="102">
        <v>1994</v>
      </c>
      <c r="D898" s="104">
        <v>184354230</v>
      </c>
      <c r="E898" s="104">
        <v>179294334</v>
      </c>
      <c r="F898" s="104">
        <v>216362491</v>
      </c>
      <c r="G898" s="104">
        <v>41066926</v>
      </c>
      <c r="H898" s="105">
        <f t="shared" si="27"/>
        <v>621077981</v>
      </c>
      <c r="I898" s="103">
        <v>0</v>
      </c>
      <c r="J898" s="109"/>
    </row>
    <row r="899" spans="1:10">
      <c r="A899" s="101" t="s">
        <v>53</v>
      </c>
      <c r="B899" s="88" t="s">
        <v>697</v>
      </c>
      <c r="C899" s="102">
        <v>1995</v>
      </c>
      <c r="D899" s="104">
        <v>190008113</v>
      </c>
      <c r="E899" s="104">
        <v>163550032</v>
      </c>
      <c r="F899" s="104">
        <v>218117329</v>
      </c>
      <c r="G899" s="104">
        <v>36557026</v>
      </c>
      <c r="H899" s="105">
        <f t="shared" si="27"/>
        <v>608232500</v>
      </c>
      <c r="I899" s="103">
        <v>0</v>
      </c>
      <c r="J899" s="109"/>
    </row>
    <row r="900" spans="1:10">
      <c r="A900" s="101" t="s">
        <v>53</v>
      </c>
      <c r="B900" s="88" t="s">
        <v>697</v>
      </c>
      <c r="C900" s="102">
        <v>1996</v>
      </c>
      <c r="D900" s="104">
        <v>193636502</v>
      </c>
      <c r="E900" s="104">
        <v>118717121</v>
      </c>
      <c r="F900" s="104">
        <v>228259960</v>
      </c>
      <c r="G900" s="104">
        <v>19699949</v>
      </c>
      <c r="H900" s="105">
        <f t="shared" si="27"/>
        <v>560313532</v>
      </c>
      <c r="I900" s="103">
        <v>0</v>
      </c>
      <c r="J900" s="109"/>
    </row>
    <row r="901" spans="1:10">
      <c r="A901" s="101" t="s">
        <v>53</v>
      </c>
      <c r="B901" s="88" t="s">
        <v>697</v>
      </c>
      <c r="C901" s="102">
        <v>1997</v>
      </c>
      <c r="D901" s="104">
        <v>193559711</v>
      </c>
      <c r="E901" s="104">
        <v>114621272</v>
      </c>
      <c r="F901" s="104">
        <v>233730642</v>
      </c>
      <c r="G901" s="104">
        <v>24378933</v>
      </c>
      <c r="H901" s="105">
        <f t="shared" si="27"/>
        <v>566290558</v>
      </c>
      <c r="I901" s="103">
        <v>0</v>
      </c>
      <c r="J901" s="109"/>
    </row>
    <row r="902" spans="1:10">
      <c r="A902" s="101" t="s">
        <v>53</v>
      </c>
      <c r="B902" s="88" t="s">
        <v>697</v>
      </c>
      <c r="C902" s="102">
        <v>1998</v>
      </c>
      <c r="D902" s="104">
        <v>185814389</v>
      </c>
      <c r="E902" s="104">
        <v>112354833</v>
      </c>
      <c r="F902" s="104">
        <v>240114841</v>
      </c>
      <c r="G902" s="104">
        <v>30435668</v>
      </c>
      <c r="H902" s="105">
        <f t="shared" si="27"/>
        <v>568719731</v>
      </c>
      <c r="I902" s="103">
        <v>0</v>
      </c>
      <c r="J902" s="109"/>
    </row>
    <row r="903" spans="1:10">
      <c r="A903" s="101" t="s">
        <v>53</v>
      </c>
      <c r="B903" s="88" t="s">
        <v>697</v>
      </c>
      <c r="C903" s="102">
        <v>1999</v>
      </c>
      <c r="D903" s="104">
        <v>190832253</v>
      </c>
      <c r="E903" s="104">
        <v>146602863</v>
      </c>
      <c r="F903" s="104">
        <v>251313879</v>
      </c>
      <c r="G903" s="104">
        <v>21499523</v>
      </c>
      <c r="H903" s="105">
        <f t="shared" si="27"/>
        <v>610248518</v>
      </c>
      <c r="I903" s="103">
        <v>0</v>
      </c>
      <c r="J903" s="109"/>
    </row>
    <row r="904" spans="1:10">
      <c r="A904" s="101" t="s">
        <v>53</v>
      </c>
      <c r="B904" s="88" t="s">
        <v>697</v>
      </c>
      <c r="C904" s="102">
        <v>2000</v>
      </c>
      <c r="D904" s="104">
        <v>195293601</v>
      </c>
      <c r="E904" s="104">
        <v>182761370</v>
      </c>
      <c r="F904" s="104">
        <v>267438449</v>
      </c>
      <c r="G904" s="104">
        <v>18416508</v>
      </c>
      <c r="H904" s="105">
        <f t="shared" si="27"/>
        <v>663909928</v>
      </c>
      <c r="I904" s="103">
        <v>0</v>
      </c>
      <c r="J904" s="109"/>
    </row>
    <row r="905" spans="1:10">
      <c r="A905" s="101" t="s">
        <v>53</v>
      </c>
      <c r="B905" s="88" t="s">
        <v>697</v>
      </c>
      <c r="C905" s="102">
        <v>2001</v>
      </c>
      <c r="D905" s="104">
        <v>196489776</v>
      </c>
      <c r="E905" s="104">
        <v>207425482</v>
      </c>
      <c r="F905" s="104">
        <v>300463230</v>
      </c>
      <c r="G905" s="104">
        <v>26302806</v>
      </c>
      <c r="H905" s="105">
        <f t="shared" si="27"/>
        <v>730681294</v>
      </c>
      <c r="I905" s="103">
        <v>0</v>
      </c>
      <c r="J905" s="109"/>
    </row>
    <row r="906" spans="1:10">
      <c r="A906" s="101" t="s">
        <v>53</v>
      </c>
      <c r="B906" s="88" t="s">
        <v>697</v>
      </c>
      <c r="C906" s="102">
        <v>2002</v>
      </c>
      <c r="D906" s="104">
        <v>228114256</v>
      </c>
      <c r="E906" s="104">
        <v>247001321</v>
      </c>
      <c r="F906" s="104">
        <v>285510925</v>
      </c>
      <c r="G906" s="104">
        <v>28760226</v>
      </c>
      <c r="H906" s="105">
        <f t="shared" si="27"/>
        <v>789386728</v>
      </c>
      <c r="I906" s="103">
        <v>0</v>
      </c>
      <c r="J906" s="109"/>
    </row>
    <row r="907" spans="1:10">
      <c r="A907" s="101" t="s">
        <v>53</v>
      </c>
      <c r="B907" s="88" t="s">
        <v>697</v>
      </c>
      <c r="C907" s="102">
        <v>2003</v>
      </c>
      <c r="D907" s="106">
        <v>200687914</v>
      </c>
      <c r="E907" s="106">
        <v>230912704</v>
      </c>
      <c r="F907" s="106">
        <v>326378682</v>
      </c>
      <c r="G907" s="106">
        <v>4039810</v>
      </c>
      <c r="H907" s="105">
        <f t="shared" si="27"/>
        <v>762019110</v>
      </c>
      <c r="I907" s="103">
        <v>1609793</v>
      </c>
      <c r="J907" s="109" t="s">
        <v>675</v>
      </c>
    </row>
    <row r="908" spans="1:10">
      <c r="A908" s="101" t="s">
        <v>53</v>
      </c>
      <c r="B908" s="88" t="s">
        <v>697</v>
      </c>
      <c r="C908" s="102">
        <v>2004</v>
      </c>
      <c r="D908" s="106">
        <v>208199260</v>
      </c>
      <c r="E908" s="106">
        <v>258729569</v>
      </c>
      <c r="F908" s="106">
        <v>328163224</v>
      </c>
      <c r="G908" s="106">
        <v>4882722</v>
      </c>
      <c r="H908" s="105">
        <f t="shared" si="27"/>
        <v>799974775</v>
      </c>
      <c r="I908" s="103">
        <v>1883841</v>
      </c>
      <c r="J908" s="109" t="s">
        <v>675</v>
      </c>
    </row>
    <row r="909" spans="1:10">
      <c r="A909" s="101" t="s">
        <v>53</v>
      </c>
      <c r="B909" s="88" t="s">
        <v>697</v>
      </c>
      <c r="C909" s="102">
        <v>2005</v>
      </c>
      <c r="D909" s="106">
        <v>211045281</v>
      </c>
      <c r="E909" s="106">
        <v>239443767</v>
      </c>
      <c r="F909" s="106">
        <v>338709389</v>
      </c>
      <c r="G909" s="106">
        <v>13418591</v>
      </c>
      <c r="H909" s="105">
        <f t="shared" si="27"/>
        <v>802617028</v>
      </c>
      <c r="I909" s="103">
        <v>903196</v>
      </c>
      <c r="J909" s="109" t="s">
        <v>675</v>
      </c>
    </row>
    <row r="910" spans="1:10">
      <c r="A910" s="101" t="s">
        <v>53</v>
      </c>
      <c r="B910" s="88" t="s">
        <v>697</v>
      </c>
      <c r="C910" s="102">
        <v>2006</v>
      </c>
      <c r="D910" s="103">
        <v>227805187</v>
      </c>
      <c r="E910" s="103">
        <v>250827065</v>
      </c>
      <c r="F910" s="103">
        <v>358021964</v>
      </c>
      <c r="G910" s="103">
        <v>8050515</v>
      </c>
      <c r="H910" s="105">
        <f t="shared" si="27"/>
        <v>844704731</v>
      </c>
      <c r="I910" s="103">
        <v>1438443</v>
      </c>
      <c r="J910" s="109" t="s">
        <v>675</v>
      </c>
    </row>
    <row r="911" spans="1:10">
      <c r="A911" s="101" t="s">
        <v>53</v>
      </c>
      <c r="B911" s="88" t="s">
        <v>697</v>
      </c>
      <c r="C911" s="102">
        <v>2007</v>
      </c>
      <c r="D911" s="103">
        <v>245059396</v>
      </c>
      <c r="E911" s="103">
        <v>238595697</v>
      </c>
      <c r="F911" s="103">
        <v>432056095</v>
      </c>
      <c r="G911" s="103">
        <v>24306100</v>
      </c>
      <c r="H911" s="105">
        <f t="shared" si="27"/>
        <v>940017288</v>
      </c>
      <c r="I911" s="103">
        <v>871548</v>
      </c>
      <c r="J911" s="109" t="s">
        <v>675</v>
      </c>
    </row>
    <row r="912" spans="1:10">
      <c r="A912" s="101" t="s">
        <v>53</v>
      </c>
      <c r="B912" s="88" t="s">
        <v>697</v>
      </c>
      <c r="C912" s="102">
        <v>2008</v>
      </c>
      <c r="D912" s="103">
        <v>260776679</v>
      </c>
      <c r="E912" s="103">
        <v>319463772</v>
      </c>
      <c r="F912" s="103">
        <v>471542573</v>
      </c>
      <c r="G912" s="103">
        <v>7582004</v>
      </c>
      <c r="H912" s="105">
        <f t="shared" si="27"/>
        <v>1059365028</v>
      </c>
      <c r="I912" s="103">
        <v>1369555</v>
      </c>
      <c r="J912" s="109" t="s">
        <v>675</v>
      </c>
    </row>
    <row r="913" spans="1:11">
      <c r="A913" s="101" t="s">
        <v>53</v>
      </c>
      <c r="B913" s="88" t="s">
        <v>697</v>
      </c>
      <c r="C913" s="102">
        <v>2009</v>
      </c>
      <c r="D913" s="103">
        <v>296416646</v>
      </c>
      <c r="E913" s="103">
        <v>312026561</v>
      </c>
      <c r="F913" s="103">
        <v>498434550</v>
      </c>
      <c r="G913" s="103">
        <v>8873352</v>
      </c>
      <c r="H913" s="105">
        <f t="shared" si="27"/>
        <v>1115751109</v>
      </c>
      <c r="I913" s="103">
        <v>1127744</v>
      </c>
      <c r="J913" s="109" t="s">
        <v>675</v>
      </c>
    </row>
    <row r="914" spans="1:11">
      <c r="A914" s="101" t="s">
        <v>53</v>
      </c>
      <c r="B914" s="88" t="s">
        <v>697</v>
      </c>
      <c r="C914" s="102">
        <v>2010</v>
      </c>
      <c r="D914" s="103">
        <v>302627018</v>
      </c>
      <c r="E914" s="103">
        <v>307916293</v>
      </c>
      <c r="F914" s="103">
        <v>551070428</v>
      </c>
      <c r="G914" s="103">
        <v>4080653</v>
      </c>
      <c r="H914" s="105">
        <f t="shared" si="27"/>
        <v>1165694392</v>
      </c>
      <c r="I914" s="103">
        <v>1029482</v>
      </c>
      <c r="J914" s="109" t="s">
        <v>675</v>
      </c>
    </row>
    <row r="915" spans="1:11">
      <c r="A915" s="101" t="s">
        <v>53</v>
      </c>
      <c r="B915" s="88" t="s">
        <v>697</v>
      </c>
      <c r="C915" s="102">
        <v>2011</v>
      </c>
      <c r="D915" s="103">
        <v>315228909</v>
      </c>
      <c r="E915" s="103">
        <v>318516072</v>
      </c>
      <c r="F915" s="103">
        <v>496465446</v>
      </c>
      <c r="G915" s="103">
        <v>6685346</v>
      </c>
      <c r="H915" s="105">
        <f t="shared" si="27"/>
        <v>1136895773</v>
      </c>
      <c r="I915" s="103">
        <v>1274739</v>
      </c>
      <c r="J915" s="109" t="s">
        <v>675</v>
      </c>
    </row>
    <row r="916" spans="1:11">
      <c r="A916" s="101" t="s">
        <v>53</v>
      </c>
      <c r="B916" s="88" t="s">
        <v>697</v>
      </c>
      <c r="C916" s="102">
        <v>2012</v>
      </c>
      <c r="D916" s="103">
        <v>330777643</v>
      </c>
      <c r="E916" s="103">
        <v>311430804</v>
      </c>
      <c r="F916" s="103">
        <v>462625440</v>
      </c>
      <c r="G916" s="103">
        <v>23790523</v>
      </c>
      <c r="H916" s="105">
        <f t="shared" si="27"/>
        <v>1128624410</v>
      </c>
      <c r="I916" s="103">
        <v>1766233</v>
      </c>
      <c r="J916" s="109" t="s">
        <v>675</v>
      </c>
    </row>
    <row r="917" spans="1:11">
      <c r="A917" s="101" t="s">
        <v>53</v>
      </c>
      <c r="B917" s="88" t="s">
        <v>697</v>
      </c>
      <c r="C917" s="102">
        <v>2013</v>
      </c>
      <c r="D917" s="103">
        <v>333294027</v>
      </c>
      <c r="E917" s="103">
        <v>313268321</v>
      </c>
      <c r="F917" s="103">
        <v>635815556</v>
      </c>
      <c r="G917" s="103">
        <v>13576128</v>
      </c>
      <c r="H917" s="105">
        <f t="shared" si="27"/>
        <v>1295954032</v>
      </c>
      <c r="I917" s="103">
        <v>3425813</v>
      </c>
      <c r="J917" s="109" t="s">
        <v>675</v>
      </c>
    </row>
    <row r="918" spans="1:11">
      <c r="A918" s="101" t="s">
        <v>53</v>
      </c>
      <c r="B918" s="88" t="s">
        <v>697</v>
      </c>
      <c r="C918" s="102">
        <v>2014</v>
      </c>
      <c r="D918" s="103">
        <v>368543193</v>
      </c>
      <c r="E918" s="103">
        <v>335464229</v>
      </c>
      <c r="F918" s="103">
        <v>937114389</v>
      </c>
      <c r="G918" s="103">
        <v>4411758</v>
      </c>
      <c r="H918" s="105">
        <f t="shared" si="27"/>
        <v>1645533569</v>
      </c>
      <c r="I918" s="103">
        <v>9162283</v>
      </c>
      <c r="J918" s="109" t="s">
        <v>675</v>
      </c>
    </row>
    <row r="919" spans="1:11">
      <c r="A919" s="101" t="s">
        <v>53</v>
      </c>
      <c r="B919" s="88" t="s">
        <v>697</v>
      </c>
      <c r="C919" s="102">
        <v>2015</v>
      </c>
      <c r="D919" s="103">
        <v>370847924</v>
      </c>
      <c r="E919" s="103">
        <v>342280331</v>
      </c>
      <c r="F919" s="103">
        <v>888161790</v>
      </c>
      <c r="G919" s="103">
        <v>6345206</v>
      </c>
      <c r="H919" s="105">
        <f t="shared" si="27"/>
        <v>1607635251</v>
      </c>
      <c r="I919" s="103">
        <v>6698294</v>
      </c>
      <c r="J919" s="109" t="s">
        <v>675</v>
      </c>
    </row>
    <row r="920" spans="1:11">
      <c r="A920" s="101" t="s">
        <v>53</v>
      </c>
      <c r="B920" s="88" t="s">
        <v>697</v>
      </c>
      <c r="C920" s="102">
        <v>2016</v>
      </c>
      <c r="D920" s="103">
        <v>362545507</v>
      </c>
      <c r="E920" s="103">
        <v>431787509</v>
      </c>
      <c r="F920" s="103">
        <v>939752785</v>
      </c>
      <c r="G920" s="103">
        <v>5691358</v>
      </c>
      <c r="H920" s="105">
        <f t="shared" si="27"/>
        <v>1739777159</v>
      </c>
      <c r="I920" s="103">
        <v>3055255</v>
      </c>
      <c r="J920" s="109" t="s">
        <v>675</v>
      </c>
    </row>
    <row r="921" spans="1:11">
      <c r="A921" s="101" t="s">
        <v>53</v>
      </c>
      <c r="B921" s="88" t="s">
        <v>697</v>
      </c>
      <c r="C921" s="102">
        <v>2017</v>
      </c>
      <c r="D921" s="103">
        <v>381525958</v>
      </c>
      <c r="E921" s="103">
        <v>376244692</v>
      </c>
      <c r="F921" s="103">
        <v>1040573840</v>
      </c>
      <c r="G921" s="103">
        <v>18105376</v>
      </c>
      <c r="H921" s="105">
        <f t="shared" si="27"/>
        <v>1816449866</v>
      </c>
      <c r="I921" s="103">
        <v>2864006</v>
      </c>
      <c r="J921" s="109" t="s">
        <v>675</v>
      </c>
    </row>
    <row r="922" spans="1:11">
      <c r="A922" s="101" t="s">
        <v>53</v>
      </c>
      <c r="B922" s="88" t="s">
        <v>697</v>
      </c>
      <c r="C922" s="102">
        <v>2018</v>
      </c>
      <c r="D922" s="103">
        <v>385539494</v>
      </c>
      <c r="E922" s="103">
        <v>397661704</v>
      </c>
      <c r="F922" s="103">
        <v>1045093299.34</v>
      </c>
      <c r="G922" s="103">
        <v>6029299</v>
      </c>
      <c r="H922" s="105">
        <f t="shared" si="27"/>
        <v>1834323796.3400002</v>
      </c>
      <c r="I922" s="103">
        <v>2842316</v>
      </c>
      <c r="J922" s="109" t="s">
        <v>675</v>
      </c>
    </row>
    <row r="923" spans="1:11">
      <c r="A923" s="101" t="s">
        <v>53</v>
      </c>
      <c r="B923" s="88" t="s">
        <v>697</v>
      </c>
      <c r="C923" s="102">
        <v>2019</v>
      </c>
      <c r="D923" s="103">
        <v>401318680</v>
      </c>
      <c r="E923" s="103">
        <v>392506573</v>
      </c>
      <c r="F923" s="103">
        <v>901829898.08029997</v>
      </c>
      <c r="G923" s="103">
        <v>3089837</v>
      </c>
      <c r="H923" s="105">
        <f t="shared" si="27"/>
        <v>1698744988.0802999</v>
      </c>
      <c r="I923" s="103">
        <v>5289964</v>
      </c>
      <c r="J923" s="109" t="s">
        <v>675</v>
      </c>
    </row>
    <row r="924" spans="1:11">
      <c r="A924" s="101" t="s">
        <v>53</v>
      </c>
      <c r="B924" s="88" t="s">
        <v>697</v>
      </c>
      <c r="C924" s="102">
        <v>2020</v>
      </c>
      <c r="D924" s="103">
        <v>455360804</v>
      </c>
      <c r="E924" s="103">
        <v>365028601</v>
      </c>
      <c r="F924" s="103">
        <v>934546601</v>
      </c>
      <c r="G924" s="103">
        <v>8581032</v>
      </c>
      <c r="H924" s="105">
        <f t="shared" si="27"/>
        <v>1763517038</v>
      </c>
      <c r="I924" s="103">
        <v>2813825</v>
      </c>
      <c r="J924" s="109" t="s">
        <v>696</v>
      </c>
      <c r="K924" s="52" t="s">
        <v>677</v>
      </c>
    </row>
    <row r="925" spans="1:11">
      <c r="A925" s="101"/>
      <c r="B925" s="107"/>
      <c r="D925" s="104"/>
      <c r="E925" s="104"/>
      <c r="F925" s="104"/>
      <c r="G925" s="104"/>
      <c r="H925" s="103"/>
      <c r="I925" s="103"/>
      <c r="J925" s="109"/>
    </row>
    <row r="926" spans="1:11">
      <c r="A926" s="101" t="s">
        <v>54</v>
      </c>
      <c r="B926" s="88" t="s">
        <v>698</v>
      </c>
      <c r="C926" s="102">
        <v>1988</v>
      </c>
      <c r="D926" s="104">
        <v>433750438</v>
      </c>
      <c r="E926" s="104">
        <v>418065185</v>
      </c>
      <c r="F926" s="104">
        <v>629941666</v>
      </c>
      <c r="G926" s="104">
        <v>0</v>
      </c>
      <c r="H926" s="105">
        <f>SUM(D926:G926)</f>
        <v>1481757289</v>
      </c>
      <c r="I926" s="103">
        <v>0</v>
      </c>
      <c r="J926" s="109"/>
    </row>
    <row r="927" spans="1:11">
      <c r="A927" s="101" t="s">
        <v>54</v>
      </c>
      <c r="B927" s="88" t="s">
        <v>698</v>
      </c>
      <c r="C927" s="102">
        <v>1989</v>
      </c>
      <c r="D927" s="104">
        <v>398868887</v>
      </c>
      <c r="E927" s="104">
        <v>450436550</v>
      </c>
      <c r="F927" s="104">
        <v>678877041</v>
      </c>
      <c r="G927" s="104">
        <v>0</v>
      </c>
      <c r="H927" s="105">
        <f t="shared" ref="H927:H958" si="28">SUM(D927:G927)</f>
        <v>1528182478</v>
      </c>
      <c r="I927" s="103">
        <v>0</v>
      </c>
      <c r="J927" s="109"/>
    </row>
    <row r="928" spans="1:11">
      <c r="A928" s="101" t="s">
        <v>54</v>
      </c>
      <c r="B928" s="88" t="s">
        <v>698</v>
      </c>
      <c r="C928" s="102">
        <v>1990</v>
      </c>
      <c r="D928" s="104">
        <v>421996673</v>
      </c>
      <c r="E928" s="104">
        <v>467201546.16000003</v>
      </c>
      <c r="F928" s="104">
        <v>765338463</v>
      </c>
      <c r="G928" s="104">
        <v>0</v>
      </c>
      <c r="H928" s="105">
        <f t="shared" si="28"/>
        <v>1654536682.1600001</v>
      </c>
      <c r="I928" s="103">
        <v>0</v>
      </c>
      <c r="J928" s="109"/>
    </row>
    <row r="929" spans="1:10">
      <c r="A929" s="101" t="s">
        <v>54</v>
      </c>
      <c r="B929" s="88" t="s">
        <v>698</v>
      </c>
      <c r="C929" s="102">
        <v>1991</v>
      </c>
      <c r="D929" s="104">
        <v>470693992</v>
      </c>
      <c r="E929" s="104">
        <v>480634914</v>
      </c>
      <c r="F929" s="104">
        <v>809821032</v>
      </c>
      <c r="G929" s="104">
        <v>0</v>
      </c>
      <c r="H929" s="105">
        <f t="shared" si="28"/>
        <v>1761149938</v>
      </c>
      <c r="I929" s="103">
        <v>0</v>
      </c>
      <c r="J929" s="109"/>
    </row>
    <row r="930" spans="1:10">
      <c r="A930" s="101" t="s">
        <v>54</v>
      </c>
      <c r="B930" s="88" t="s">
        <v>698</v>
      </c>
      <c r="C930" s="102">
        <v>1992</v>
      </c>
      <c r="D930" s="104">
        <v>488454238</v>
      </c>
      <c r="E930" s="104">
        <v>439973744.92000002</v>
      </c>
      <c r="F930" s="104">
        <v>873692323</v>
      </c>
      <c r="G930" s="104">
        <v>0</v>
      </c>
      <c r="H930" s="105">
        <f t="shared" si="28"/>
        <v>1802120305.9200001</v>
      </c>
      <c r="I930" s="103">
        <v>0</v>
      </c>
      <c r="J930" s="109"/>
    </row>
    <row r="931" spans="1:10">
      <c r="A931" s="101" t="s">
        <v>54</v>
      </c>
      <c r="B931" s="88" t="s">
        <v>698</v>
      </c>
      <c r="C931" s="102">
        <v>1993</v>
      </c>
      <c r="D931" s="104">
        <v>493313156</v>
      </c>
      <c r="E931" s="104">
        <v>345751489</v>
      </c>
      <c r="F931" s="104">
        <v>938737324</v>
      </c>
      <c r="G931" s="104">
        <v>0</v>
      </c>
      <c r="H931" s="105">
        <f t="shared" si="28"/>
        <v>1777801969</v>
      </c>
      <c r="I931" s="103">
        <v>0</v>
      </c>
      <c r="J931" s="109"/>
    </row>
    <row r="932" spans="1:10">
      <c r="A932" s="101" t="s">
        <v>54</v>
      </c>
      <c r="B932" s="88" t="s">
        <v>698</v>
      </c>
      <c r="C932" s="102">
        <v>1994</v>
      </c>
      <c r="D932" s="104">
        <v>540223282</v>
      </c>
      <c r="E932" s="104">
        <v>712764436</v>
      </c>
      <c r="F932" s="104">
        <v>910908244</v>
      </c>
      <c r="G932" s="104">
        <v>0</v>
      </c>
      <c r="H932" s="105">
        <f t="shared" si="28"/>
        <v>2163895962</v>
      </c>
      <c r="I932" s="103">
        <v>0</v>
      </c>
      <c r="J932" s="109"/>
    </row>
    <row r="933" spans="1:10">
      <c r="A933" s="101" t="s">
        <v>54</v>
      </c>
      <c r="B933" s="88" t="s">
        <v>698</v>
      </c>
      <c r="C933" s="102">
        <v>1995</v>
      </c>
      <c r="D933" s="104">
        <v>580304048</v>
      </c>
      <c r="E933" s="104">
        <v>1088285987</v>
      </c>
      <c r="F933" s="104">
        <v>946054978</v>
      </c>
      <c r="G933" s="104">
        <v>0</v>
      </c>
      <c r="H933" s="105">
        <f t="shared" si="28"/>
        <v>2614645013</v>
      </c>
      <c r="I933" s="103">
        <v>0</v>
      </c>
      <c r="J933" s="109"/>
    </row>
    <row r="934" spans="1:10">
      <c r="A934" s="101" t="s">
        <v>54</v>
      </c>
      <c r="B934" s="88" t="s">
        <v>698</v>
      </c>
      <c r="C934" s="102">
        <v>1996</v>
      </c>
      <c r="D934" s="104">
        <v>573723813</v>
      </c>
      <c r="E934" s="104">
        <v>672044173</v>
      </c>
      <c r="F934" s="104">
        <v>984252981</v>
      </c>
      <c r="G934" s="104">
        <v>0</v>
      </c>
      <c r="H934" s="105">
        <f t="shared" si="28"/>
        <v>2230020967</v>
      </c>
      <c r="I934" s="103">
        <v>0</v>
      </c>
      <c r="J934" s="109"/>
    </row>
    <row r="935" spans="1:10">
      <c r="A935" s="101" t="s">
        <v>54</v>
      </c>
      <c r="B935" s="88" t="s">
        <v>698</v>
      </c>
      <c r="C935" s="102">
        <v>1997</v>
      </c>
      <c r="D935" s="104">
        <v>574539177</v>
      </c>
      <c r="E935" s="104">
        <v>814868462</v>
      </c>
      <c r="F935" s="104">
        <v>1034818205</v>
      </c>
      <c r="G935" s="104">
        <v>0</v>
      </c>
      <c r="H935" s="105">
        <f t="shared" si="28"/>
        <v>2424225844</v>
      </c>
      <c r="I935" s="103">
        <v>0</v>
      </c>
      <c r="J935" s="109"/>
    </row>
    <row r="936" spans="1:10">
      <c r="A936" s="101" t="s">
        <v>54</v>
      </c>
      <c r="B936" s="88" t="s">
        <v>698</v>
      </c>
      <c r="C936" s="102">
        <v>1998</v>
      </c>
      <c r="D936" s="104">
        <v>582942458</v>
      </c>
      <c r="E936" s="104">
        <v>782597180</v>
      </c>
      <c r="F936" s="104">
        <v>1122058076</v>
      </c>
      <c r="G936" s="104">
        <v>0</v>
      </c>
      <c r="H936" s="105">
        <f t="shared" si="28"/>
        <v>2487597714</v>
      </c>
      <c r="I936" s="103">
        <v>0</v>
      </c>
      <c r="J936" s="109"/>
    </row>
    <row r="937" spans="1:10">
      <c r="A937" s="101" t="s">
        <v>54</v>
      </c>
      <c r="B937" s="88" t="s">
        <v>698</v>
      </c>
      <c r="C937" s="102">
        <v>1999</v>
      </c>
      <c r="D937" s="104">
        <v>577215782</v>
      </c>
      <c r="E937" s="104">
        <v>814694416</v>
      </c>
      <c r="F937" s="104">
        <v>1223157898</v>
      </c>
      <c r="G937" s="104">
        <v>0</v>
      </c>
      <c r="H937" s="105">
        <f t="shared" si="28"/>
        <v>2615068096</v>
      </c>
      <c r="I937" s="103">
        <v>0</v>
      </c>
      <c r="J937" s="109"/>
    </row>
    <row r="938" spans="1:10">
      <c r="A938" s="101" t="s">
        <v>54</v>
      </c>
      <c r="B938" s="88" t="s">
        <v>698</v>
      </c>
      <c r="C938" s="102">
        <v>2000</v>
      </c>
      <c r="D938" s="104">
        <v>641780187</v>
      </c>
      <c r="E938" s="104">
        <v>1019551159</v>
      </c>
      <c r="F938" s="104">
        <v>1409656259</v>
      </c>
      <c r="G938" s="104">
        <v>0</v>
      </c>
      <c r="H938" s="105">
        <f t="shared" si="28"/>
        <v>3070987605</v>
      </c>
      <c r="I938" s="103">
        <v>0</v>
      </c>
      <c r="J938" s="109"/>
    </row>
    <row r="939" spans="1:10">
      <c r="A939" s="101" t="s">
        <v>54</v>
      </c>
      <c r="B939" s="88" t="s">
        <v>698</v>
      </c>
      <c r="C939" s="102">
        <v>2001</v>
      </c>
      <c r="D939" s="104">
        <v>699068536</v>
      </c>
      <c r="E939" s="104">
        <v>1057962159</v>
      </c>
      <c r="F939" s="104">
        <v>1548095887</v>
      </c>
      <c r="G939" s="104">
        <v>0</v>
      </c>
      <c r="H939" s="105">
        <f t="shared" si="28"/>
        <v>3305126582</v>
      </c>
      <c r="I939" s="103">
        <v>0</v>
      </c>
      <c r="J939" s="109"/>
    </row>
    <row r="940" spans="1:10">
      <c r="A940" s="101" t="s">
        <v>54</v>
      </c>
      <c r="B940" s="88" t="s">
        <v>698</v>
      </c>
      <c r="C940" s="102">
        <v>2002</v>
      </c>
      <c r="D940" s="104">
        <v>627399997</v>
      </c>
      <c r="E940" s="104">
        <v>1179581157</v>
      </c>
      <c r="F940" s="104">
        <v>1593082767</v>
      </c>
      <c r="G940" s="104">
        <v>0</v>
      </c>
      <c r="H940" s="105">
        <f t="shared" si="28"/>
        <v>3400063921</v>
      </c>
      <c r="I940" s="103">
        <v>0</v>
      </c>
      <c r="J940" s="109"/>
    </row>
    <row r="941" spans="1:10">
      <c r="A941" s="101" t="s">
        <v>54</v>
      </c>
      <c r="B941" s="88" t="s">
        <v>698</v>
      </c>
      <c r="C941" s="102">
        <v>2003</v>
      </c>
      <c r="D941" s="106">
        <v>664892755</v>
      </c>
      <c r="E941" s="106">
        <v>1082884777</v>
      </c>
      <c r="F941" s="106">
        <v>1690586227</v>
      </c>
      <c r="G941" s="104">
        <v>0</v>
      </c>
      <c r="H941" s="105">
        <f t="shared" si="28"/>
        <v>3438363759</v>
      </c>
      <c r="I941" s="103">
        <v>0</v>
      </c>
      <c r="J941" s="109"/>
    </row>
    <row r="942" spans="1:10">
      <c r="A942" s="101" t="s">
        <v>54</v>
      </c>
      <c r="B942" s="88" t="s">
        <v>698</v>
      </c>
      <c r="C942" s="102">
        <v>2004</v>
      </c>
      <c r="D942" s="106">
        <v>641792476</v>
      </c>
      <c r="E942" s="106">
        <v>1226532114</v>
      </c>
      <c r="F942" s="106">
        <v>1547901181</v>
      </c>
      <c r="G942" s="104">
        <v>0</v>
      </c>
      <c r="H942" s="105">
        <f t="shared" si="28"/>
        <v>3416225771</v>
      </c>
      <c r="I942" s="103">
        <v>0</v>
      </c>
      <c r="J942" s="109"/>
    </row>
    <row r="943" spans="1:10">
      <c r="A943" s="101" t="s">
        <v>54</v>
      </c>
      <c r="B943" s="88" t="s">
        <v>698</v>
      </c>
      <c r="C943" s="102">
        <v>2005</v>
      </c>
      <c r="D943" s="106">
        <v>650727258</v>
      </c>
      <c r="E943" s="106">
        <v>876832903</v>
      </c>
      <c r="F943" s="106">
        <v>1772020498.4300001</v>
      </c>
      <c r="G943" s="104">
        <v>0</v>
      </c>
      <c r="H943" s="105">
        <f t="shared" si="28"/>
        <v>3299580659.4300003</v>
      </c>
      <c r="I943" s="103">
        <v>0</v>
      </c>
      <c r="J943" s="109"/>
    </row>
    <row r="944" spans="1:10">
      <c r="A944" s="101" t="s">
        <v>54</v>
      </c>
      <c r="B944" s="88" t="s">
        <v>698</v>
      </c>
      <c r="C944" s="102">
        <v>2006</v>
      </c>
      <c r="D944" s="103">
        <v>704163418</v>
      </c>
      <c r="E944" s="103">
        <v>991369457</v>
      </c>
      <c r="F944" s="103">
        <v>1960362202</v>
      </c>
      <c r="G944" s="103">
        <v>0</v>
      </c>
      <c r="H944" s="105">
        <f t="shared" si="28"/>
        <v>3655895077</v>
      </c>
      <c r="I944" s="103">
        <v>0</v>
      </c>
      <c r="J944" s="109"/>
    </row>
    <row r="945" spans="1:11">
      <c r="A945" s="101" t="s">
        <v>54</v>
      </c>
      <c r="B945" s="88" t="s">
        <v>698</v>
      </c>
      <c r="C945" s="102">
        <v>2007</v>
      </c>
      <c r="D945" s="103">
        <v>736930696</v>
      </c>
      <c r="E945" s="103">
        <v>873263967</v>
      </c>
      <c r="F945" s="103">
        <v>2072492924</v>
      </c>
      <c r="G945" s="103">
        <v>0</v>
      </c>
      <c r="H945" s="105">
        <f t="shared" si="28"/>
        <v>3682687587</v>
      </c>
      <c r="I945" s="103">
        <v>0</v>
      </c>
      <c r="J945" s="109"/>
    </row>
    <row r="946" spans="1:11">
      <c r="A946" s="101" t="s">
        <v>54</v>
      </c>
      <c r="B946" s="88" t="s">
        <v>698</v>
      </c>
      <c r="C946" s="102">
        <v>2008</v>
      </c>
      <c r="D946" s="103">
        <v>783140776</v>
      </c>
      <c r="E946" s="103">
        <v>1104225894</v>
      </c>
      <c r="F946" s="103">
        <v>2159142526</v>
      </c>
      <c r="G946" s="103">
        <v>0</v>
      </c>
      <c r="H946" s="105">
        <f t="shared" si="28"/>
        <v>4046509196</v>
      </c>
      <c r="I946" s="103">
        <v>0</v>
      </c>
      <c r="J946" s="109"/>
    </row>
    <row r="947" spans="1:11">
      <c r="A947" s="101" t="s">
        <v>54</v>
      </c>
      <c r="B947" s="88" t="s">
        <v>698</v>
      </c>
      <c r="C947" s="102">
        <v>2009</v>
      </c>
      <c r="D947" s="103">
        <v>805922664</v>
      </c>
      <c r="E947" s="103">
        <v>1108297962</v>
      </c>
      <c r="F947" s="103">
        <v>2266273577</v>
      </c>
      <c r="G947" s="103">
        <v>0</v>
      </c>
      <c r="H947" s="105">
        <f t="shared" si="28"/>
        <v>4180494203</v>
      </c>
      <c r="I947" s="103">
        <v>0</v>
      </c>
      <c r="J947" s="109"/>
    </row>
    <row r="948" spans="1:11">
      <c r="A948" s="101" t="s">
        <v>54</v>
      </c>
      <c r="B948" s="88" t="s">
        <v>698</v>
      </c>
      <c r="C948" s="102">
        <v>2010</v>
      </c>
      <c r="D948" s="103">
        <v>851417024</v>
      </c>
      <c r="E948" s="103">
        <v>1019033620</v>
      </c>
      <c r="F948" s="103">
        <v>2401331471</v>
      </c>
      <c r="G948" s="103">
        <v>0</v>
      </c>
      <c r="H948" s="105">
        <f t="shared" si="28"/>
        <v>4271782115</v>
      </c>
      <c r="I948" s="103">
        <v>0</v>
      </c>
      <c r="J948" s="109"/>
    </row>
    <row r="949" spans="1:11">
      <c r="A949" s="101" t="s">
        <v>54</v>
      </c>
      <c r="B949" s="88" t="s">
        <v>698</v>
      </c>
      <c r="C949" s="102">
        <v>2011</v>
      </c>
      <c r="D949" s="103">
        <v>864540536</v>
      </c>
      <c r="E949" s="103">
        <v>1099749707</v>
      </c>
      <c r="F949" s="103">
        <v>2455119787.7600002</v>
      </c>
      <c r="G949" s="103">
        <v>0</v>
      </c>
      <c r="H949" s="105">
        <f t="shared" si="28"/>
        <v>4419410030.7600002</v>
      </c>
      <c r="I949" s="103">
        <v>0</v>
      </c>
      <c r="J949" s="109"/>
    </row>
    <row r="950" spans="1:11">
      <c r="A950" s="101" t="s">
        <v>54</v>
      </c>
      <c r="B950" s="88" t="s">
        <v>698</v>
      </c>
      <c r="C950" s="102">
        <v>2012</v>
      </c>
      <c r="D950" s="103">
        <v>930217473</v>
      </c>
      <c r="E950" s="103">
        <v>898697200</v>
      </c>
      <c r="F950" s="103">
        <v>2412900067</v>
      </c>
      <c r="G950" s="103">
        <v>0</v>
      </c>
      <c r="H950" s="105">
        <f t="shared" si="28"/>
        <v>4241814740</v>
      </c>
      <c r="I950" s="103">
        <v>0</v>
      </c>
      <c r="J950" s="109"/>
    </row>
    <row r="951" spans="1:11">
      <c r="A951" s="101" t="s">
        <v>54</v>
      </c>
      <c r="B951" s="88" t="s">
        <v>698</v>
      </c>
      <c r="C951" s="102">
        <v>2013</v>
      </c>
      <c r="D951" s="103">
        <v>906317422</v>
      </c>
      <c r="E951" s="103">
        <v>851131864</v>
      </c>
      <c r="F951" s="103">
        <v>2465916726</v>
      </c>
      <c r="G951" s="103">
        <v>0</v>
      </c>
      <c r="H951" s="105">
        <f t="shared" si="28"/>
        <v>4223366012</v>
      </c>
      <c r="I951" s="103">
        <v>0</v>
      </c>
      <c r="J951" s="109"/>
    </row>
    <row r="952" spans="1:11">
      <c r="A952" s="101" t="s">
        <v>54</v>
      </c>
      <c r="B952" s="88" t="s">
        <v>698</v>
      </c>
      <c r="C952" s="102">
        <v>2014</v>
      </c>
      <c r="D952" s="103">
        <v>948029009</v>
      </c>
      <c r="E952" s="103">
        <v>1018352993</v>
      </c>
      <c r="F952" s="103">
        <v>2468984554.7600002</v>
      </c>
      <c r="G952" s="103">
        <v>0</v>
      </c>
      <c r="H952" s="105">
        <f t="shared" si="28"/>
        <v>4435366556.7600002</v>
      </c>
      <c r="I952" s="103">
        <v>0</v>
      </c>
      <c r="J952" s="109"/>
    </row>
    <row r="953" spans="1:11">
      <c r="A953" s="101" t="s">
        <v>54</v>
      </c>
      <c r="B953" s="88" t="s">
        <v>698</v>
      </c>
      <c r="C953" s="102">
        <v>2015</v>
      </c>
      <c r="D953" s="103">
        <v>978933371</v>
      </c>
      <c r="E953" s="103">
        <v>989867901</v>
      </c>
      <c r="F953" s="103">
        <v>2541284799</v>
      </c>
      <c r="G953" s="103">
        <v>0</v>
      </c>
      <c r="H953" s="105">
        <f t="shared" si="28"/>
        <v>4510086071</v>
      </c>
      <c r="I953" s="103">
        <v>0</v>
      </c>
      <c r="J953" s="109"/>
    </row>
    <row r="954" spans="1:11">
      <c r="A954" s="101" t="s">
        <v>54</v>
      </c>
      <c r="B954" s="88" t="s">
        <v>698</v>
      </c>
      <c r="C954" s="102">
        <v>2016</v>
      </c>
      <c r="D954" s="103">
        <v>1043260936</v>
      </c>
      <c r="E954" s="103">
        <v>1171672215</v>
      </c>
      <c r="F954" s="103">
        <v>2690599497</v>
      </c>
      <c r="G954" s="103">
        <v>0</v>
      </c>
      <c r="H954" s="105">
        <f t="shared" si="28"/>
        <v>4905532648</v>
      </c>
      <c r="I954" s="103">
        <v>0</v>
      </c>
      <c r="J954" s="109"/>
    </row>
    <row r="955" spans="1:11">
      <c r="A955" s="101" t="s">
        <v>54</v>
      </c>
      <c r="B955" s="88" t="s">
        <v>698</v>
      </c>
      <c r="C955" s="102">
        <v>2017</v>
      </c>
      <c r="D955" s="103">
        <v>1024974737</v>
      </c>
      <c r="E955" s="103">
        <v>1108814595</v>
      </c>
      <c r="F955" s="103">
        <v>3020478333.0599999</v>
      </c>
      <c r="G955" s="103">
        <v>0</v>
      </c>
      <c r="H955" s="105">
        <f t="shared" si="28"/>
        <v>5154267665.0599995</v>
      </c>
      <c r="I955" s="103">
        <v>0</v>
      </c>
      <c r="J955" s="109" t="s">
        <v>623</v>
      </c>
    </row>
    <row r="956" spans="1:11">
      <c r="A956" s="101" t="s">
        <v>54</v>
      </c>
      <c r="B956" s="88" t="s">
        <v>698</v>
      </c>
      <c r="C956" s="102">
        <v>2018</v>
      </c>
      <c r="D956" s="103">
        <v>1067148065</v>
      </c>
      <c r="E956" s="103">
        <v>1451857371</v>
      </c>
      <c r="F956" s="103">
        <v>3549062413.7200003</v>
      </c>
      <c r="G956" s="103">
        <v>0</v>
      </c>
      <c r="H956" s="105">
        <f t="shared" si="28"/>
        <v>6068067849.7200003</v>
      </c>
      <c r="I956" s="103">
        <v>0</v>
      </c>
      <c r="J956" s="109" t="s">
        <v>623</v>
      </c>
    </row>
    <row r="957" spans="1:11">
      <c r="A957" s="101" t="s">
        <v>54</v>
      </c>
      <c r="B957" s="88" t="s">
        <v>698</v>
      </c>
      <c r="C957" s="102">
        <v>2019</v>
      </c>
      <c r="D957" s="103">
        <v>1093035605</v>
      </c>
      <c r="E957" s="103">
        <v>1545186481</v>
      </c>
      <c r="F957" s="103">
        <v>3548852976.8200002</v>
      </c>
      <c r="G957" s="103">
        <v>0</v>
      </c>
      <c r="H957" s="105">
        <f t="shared" si="28"/>
        <v>6187075062.8199997</v>
      </c>
      <c r="I957" s="103">
        <v>0</v>
      </c>
      <c r="J957" s="109" t="s">
        <v>689</v>
      </c>
      <c r="K957" s="52" t="s">
        <v>677</v>
      </c>
    </row>
    <row r="958" spans="1:11">
      <c r="A958" s="101" t="s">
        <v>54</v>
      </c>
      <c r="B958" s="88" t="s">
        <v>698</v>
      </c>
      <c r="C958" s="102">
        <v>2020</v>
      </c>
      <c r="D958" s="103">
        <v>1071199535</v>
      </c>
      <c r="E958" s="103">
        <v>1411190559</v>
      </c>
      <c r="F958" s="103">
        <v>3481573416</v>
      </c>
      <c r="G958" s="103">
        <v>0</v>
      </c>
      <c r="H958" s="105">
        <f t="shared" si="28"/>
        <v>5963963510</v>
      </c>
      <c r="I958" s="103">
        <v>0</v>
      </c>
      <c r="J958" s="109" t="s">
        <v>680</v>
      </c>
    </row>
    <row r="959" spans="1:11">
      <c r="A959" s="101"/>
      <c r="B959" s="107"/>
      <c r="D959" s="104"/>
      <c r="E959" s="104"/>
      <c r="F959" s="104"/>
      <c r="G959" s="104"/>
      <c r="H959" s="103"/>
      <c r="I959" s="103"/>
      <c r="J959" s="109"/>
    </row>
    <row r="960" spans="1:11">
      <c r="A960" s="101" t="s">
        <v>55</v>
      </c>
      <c r="B960" s="88" t="s">
        <v>699</v>
      </c>
      <c r="C960" s="102">
        <v>1988</v>
      </c>
      <c r="D960" s="104">
        <v>188056206</v>
      </c>
      <c r="E960" s="104">
        <v>159617086</v>
      </c>
      <c r="F960" s="104">
        <v>239835297</v>
      </c>
      <c r="G960" s="104">
        <v>0</v>
      </c>
      <c r="H960" s="105">
        <f>SUM(D960:G960)</f>
        <v>587508589</v>
      </c>
      <c r="I960" s="103">
        <v>0</v>
      </c>
      <c r="J960" s="109"/>
    </row>
    <row r="961" spans="1:10">
      <c r="A961" s="101" t="s">
        <v>55</v>
      </c>
      <c r="B961" s="88" t="s">
        <v>699</v>
      </c>
      <c r="C961" s="102">
        <v>1989</v>
      </c>
      <c r="D961" s="104">
        <v>187685850</v>
      </c>
      <c r="E961" s="104">
        <v>179579717</v>
      </c>
      <c r="F961" s="104">
        <v>278227085</v>
      </c>
      <c r="G961" s="104">
        <v>0</v>
      </c>
      <c r="H961" s="105">
        <f t="shared" ref="H961:H992" si="29">SUM(D961:G961)</f>
        <v>645492652</v>
      </c>
      <c r="I961" s="103">
        <v>0</v>
      </c>
      <c r="J961" s="109"/>
    </row>
    <row r="962" spans="1:10">
      <c r="A962" s="101" t="s">
        <v>55</v>
      </c>
      <c r="B962" s="88" t="s">
        <v>699</v>
      </c>
      <c r="C962" s="102">
        <v>1990</v>
      </c>
      <c r="D962" s="104">
        <v>211526018</v>
      </c>
      <c r="E962" s="104">
        <v>209381798.28</v>
      </c>
      <c r="F962" s="104">
        <v>329258460</v>
      </c>
      <c r="G962" s="104">
        <v>0</v>
      </c>
      <c r="H962" s="105">
        <f t="shared" si="29"/>
        <v>750166276.27999997</v>
      </c>
      <c r="I962" s="103">
        <v>0</v>
      </c>
      <c r="J962" s="109"/>
    </row>
    <row r="963" spans="1:10">
      <c r="A963" s="101" t="s">
        <v>55</v>
      </c>
      <c r="B963" s="88" t="s">
        <v>699</v>
      </c>
      <c r="C963" s="102">
        <v>1991</v>
      </c>
      <c r="D963" s="104">
        <v>235029695</v>
      </c>
      <c r="E963" s="104">
        <v>257079113</v>
      </c>
      <c r="F963" s="104">
        <v>347250712</v>
      </c>
      <c r="G963" s="104">
        <v>0</v>
      </c>
      <c r="H963" s="105">
        <f t="shared" si="29"/>
        <v>839359520</v>
      </c>
      <c r="I963" s="103">
        <v>0</v>
      </c>
      <c r="J963" s="109"/>
    </row>
    <row r="964" spans="1:10">
      <c r="A964" s="101" t="s">
        <v>55</v>
      </c>
      <c r="B964" s="88" t="s">
        <v>699</v>
      </c>
      <c r="C964" s="102">
        <v>1992</v>
      </c>
      <c r="D964" s="104">
        <v>252421794</v>
      </c>
      <c r="E964" s="104">
        <v>228215561.12</v>
      </c>
      <c r="F964" s="104">
        <v>354132389</v>
      </c>
      <c r="G964" s="104">
        <v>0</v>
      </c>
      <c r="H964" s="105">
        <f t="shared" si="29"/>
        <v>834769744.12</v>
      </c>
      <c r="I964" s="103">
        <v>0</v>
      </c>
      <c r="J964" s="109"/>
    </row>
    <row r="965" spans="1:10">
      <c r="A965" s="101" t="s">
        <v>55</v>
      </c>
      <c r="B965" s="88" t="s">
        <v>699</v>
      </c>
      <c r="C965" s="102">
        <v>1993</v>
      </c>
      <c r="D965" s="104">
        <v>259412256</v>
      </c>
      <c r="E965" s="104">
        <v>224454266</v>
      </c>
      <c r="F965" s="104">
        <v>382539332</v>
      </c>
      <c r="G965" s="104">
        <v>0</v>
      </c>
      <c r="H965" s="105">
        <f t="shared" si="29"/>
        <v>866405854</v>
      </c>
      <c r="I965" s="103">
        <v>0</v>
      </c>
      <c r="J965" s="109"/>
    </row>
    <row r="966" spans="1:10">
      <c r="A966" s="101" t="s">
        <v>55</v>
      </c>
      <c r="B966" s="88" t="s">
        <v>699</v>
      </c>
      <c r="C966" s="102">
        <v>1994</v>
      </c>
      <c r="D966" s="104">
        <v>303621694</v>
      </c>
      <c r="E966" s="104">
        <v>330815670</v>
      </c>
      <c r="F966" s="104">
        <v>398438708</v>
      </c>
      <c r="G966" s="104">
        <v>0</v>
      </c>
      <c r="H966" s="105">
        <f t="shared" si="29"/>
        <v>1032876072</v>
      </c>
      <c r="I966" s="103">
        <v>0</v>
      </c>
      <c r="J966" s="109"/>
    </row>
    <row r="967" spans="1:10">
      <c r="A967" s="101" t="s">
        <v>55</v>
      </c>
      <c r="B967" s="88" t="s">
        <v>699</v>
      </c>
      <c r="C967" s="102">
        <v>1995</v>
      </c>
      <c r="D967" s="104">
        <v>328707652</v>
      </c>
      <c r="E967" s="104">
        <v>331575221</v>
      </c>
      <c r="F967" s="104">
        <v>423068962</v>
      </c>
      <c r="G967" s="104">
        <v>0</v>
      </c>
      <c r="H967" s="105">
        <f t="shared" si="29"/>
        <v>1083351835</v>
      </c>
      <c r="I967" s="103">
        <v>0</v>
      </c>
      <c r="J967" s="109"/>
    </row>
    <row r="968" spans="1:10">
      <c r="A968" s="101" t="s">
        <v>55</v>
      </c>
      <c r="B968" s="88" t="s">
        <v>699</v>
      </c>
      <c r="C968" s="102">
        <v>1996</v>
      </c>
      <c r="D968" s="104">
        <v>339210804</v>
      </c>
      <c r="E968" s="104">
        <v>329511360</v>
      </c>
      <c r="F968" s="104">
        <v>455923916</v>
      </c>
      <c r="G968" s="104">
        <v>0</v>
      </c>
      <c r="H968" s="105">
        <f t="shared" si="29"/>
        <v>1124646080</v>
      </c>
      <c r="I968" s="103">
        <v>0</v>
      </c>
      <c r="J968" s="109"/>
    </row>
    <row r="969" spans="1:10">
      <c r="A969" s="101" t="s">
        <v>55</v>
      </c>
      <c r="B969" s="88" t="s">
        <v>699</v>
      </c>
      <c r="C969" s="102">
        <v>1997</v>
      </c>
      <c r="D969" s="104">
        <v>364319447</v>
      </c>
      <c r="E969" s="104">
        <v>347039518</v>
      </c>
      <c r="F969" s="104">
        <v>477837146</v>
      </c>
      <c r="G969" s="104">
        <v>0</v>
      </c>
      <c r="H969" s="105">
        <f t="shared" si="29"/>
        <v>1189196111</v>
      </c>
      <c r="I969" s="103">
        <v>0</v>
      </c>
      <c r="J969" s="109"/>
    </row>
    <row r="970" spans="1:10">
      <c r="A970" s="101" t="s">
        <v>55</v>
      </c>
      <c r="B970" s="88" t="s">
        <v>699</v>
      </c>
      <c r="C970" s="102">
        <v>1998</v>
      </c>
      <c r="D970" s="104">
        <v>383955521</v>
      </c>
      <c r="E970" s="104">
        <v>303351906</v>
      </c>
      <c r="F970" s="104">
        <v>501685748</v>
      </c>
      <c r="G970" s="104">
        <v>0</v>
      </c>
      <c r="H970" s="105">
        <f t="shared" si="29"/>
        <v>1188993175</v>
      </c>
      <c r="I970" s="103">
        <v>0</v>
      </c>
      <c r="J970" s="109"/>
    </row>
    <row r="971" spans="1:10">
      <c r="A971" s="101" t="s">
        <v>55</v>
      </c>
      <c r="B971" s="88" t="s">
        <v>699</v>
      </c>
      <c r="C971" s="102">
        <v>1999</v>
      </c>
      <c r="D971" s="104">
        <v>393472325</v>
      </c>
      <c r="E971" s="104">
        <v>397510883</v>
      </c>
      <c r="F971" s="104">
        <v>577477196</v>
      </c>
      <c r="G971" s="104">
        <v>0</v>
      </c>
      <c r="H971" s="105">
        <f t="shared" si="29"/>
        <v>1368460404</v>
      </c>
      <c r="I971" s="103">
        <v>0</v>
      </c>
      <c r="J971" s="109"/>
    </row>
    <row r="972" spans="1:10">
      <c r="A972" s="101" t="s">
        <v>55</v>
      </c>
      <c r="B972" s="88" t="s">
        <v>699</v>
      </c>
      <c r="C972" s="102">
        <v>2000</v>
      </c>
      <c r="D972" s="104">
        <v>457675253</v>
      </c>
      <c r="E972" s="104">
        <v>589727264</v>
      </c>
      <c r="F972" s="104">
        <v>630109657</v>
      </c>
      <c r="G972" s="104">
        <v>0</v>
      </c>
      <c r="H972" s="105">
        <f t="shared" si="29"/>
        <v>1677512174</v>
      </c>
      <c r="I972" s="103">
        <v>0</v>
      </c>
      <c r="J972" s="109"/>
    </row>
    <row r="973" spans="1:10">
      <c r="A973" s="101" t="s">
        <v>55</v>
      </c>
      <c r="B973" s="88" t="s">
        <v>699</v>
      </c>
      <c r="C973" s="102">
        <v>2001</v>
      </c>
      <c r="D973" s="104">
        <v>439636288</v>
      </c>
      <c r="E973" s="104">
        <v>661926690</v>
      </c>
      <c r="F973" s="104">
        <v>674107946</v>
      </c>
      <c r="G973" s="104">
        <v>0</v>
      </c>
      <c r="H973" s="105">
        <f t="shared" si="29"/>
        <v>1775670924</v>
      </c>
      <c r="I973" s="103">
        <v>0</v>
      </c>
      <c r="J973" s="109"/>
    </row>
    <row r="974" spans="1:10">
      <c r="A974" s="101" t="s">
        <v>55</v>
      </c>
      <c r="B974" s="88" t="s">
        <v>699</v>
      </c>
      <c r="C974" s="102">
        <v>2002</v>
      </c>
      <c r="D974" s="104">
        <v>500708457</v>
      </c>
      <c r="E974" s="104">
        <v>1287227807</v>
      </c>
      <c r="F974" s="104">
        <v>657280614</v>
      </c>
      <c r="G974" s="104">
        <v>0</v>
      </c>
      <c r="H974" s="105">
        <f t="shared" si="29"/>
        <v>2445216878</v>
      </c>
      <c r="I974" s="103">
        <v>0</v>
      </c>
      <c r="J974" s="109"/>
    </row>
    <row r="975" spans="1:10">
      <c r="A975" s="101" t="s">
        <v>55</v>
      </c>
      <c r="B975" s="88" t="s">
        <v>699</v>
      </c>
      <c r="C975" s="102">
        <v>2003</v>
      </c>
      <c r="D975" s="106">
        <v>560244756</v>
      </c>
      <c r="E975" s="106">
        <v>1002487503</v>
      </c>
      <c r="F975" s="106">
        <v>715662888</v>
      </c>
      <c r="G975" s="104">
        <v>0</v>
      </c>
      <c r="H975" s="105">
        <f t="shared" si="29"/>
        <v>2278395147</v>
      </c>
      <c r="I975" s="103">
        <v>0</v>
      </c>
      <c r="J975" s="109"/>
    </row>
    <row r="976" spans="1:10">
      <c r="A976" s="101" t="s">
        <v>55</v>
      </c>
      <c r="B976" s="88" t="s">
        <v>699</v>
      </c>
      <c r="C976" s="102">
        <v>2004</v>
      </c>
      <c r="D976" s="106">
        <v>621862008</v>
      </c>
      <c r="E976" s="106">
        <v>783868243</v>
      </c>
      <c r="F976" s="106">
        <v>775448499</v>
      </c>
      <c r="G976" s="104">
        <v>0</v>
      </c>
      <c r="H976" s="105">
        <f t="shared" si="29"/>
        <v>2181178750</v>
      </c>
      <c r="I976" s="103">
        <v>0</v>
      </c>
      <c r="J976" s="109"/>
    </row>
    <row r="977" spans="1:11">
      <c r="A977" s="101" t="s">
        <v>55</v>
      </c>
      <c r="B977" s="88" t="s">
        <v>699</v>
      </c>
      <c r="C977" s="102">
        <v>2005</v>
      </c>
      <c r="D977" s="106">
        <v>616220934</v>
      </c>
      <c r="E977" s="106">
        <v>766485503</v>
      </c>
      <c r="F977" s="106">
        <v>823325958.17999995</v>
      </c>
      <c r="G977" s="104">
        <v>0</v>
      </c>
      <c r="H977" s="105">
        <f t="shared" si="29"/>
        <v>2206032395.1799998</v>
      </c>
      <c r="I977" s="103">
        <v>0</v>
      </c>
      <c r="J977" s="109"/>
    </row>
    <row r="978" spans="1:11">
      <c r="A978" s="101" t="s">
        <v>55</v>
      </c>
      <c r="B978" s="88" t="s">
        <v>699</v>
      </c>
      <c r="C978" s="102">
        <v>2006</v>
      </c>
      <c r="D978" s="103">
        <v>692636351</v>
      </c>
      <c r="E978" s="103">
        <v>702024818</v>
      </c>
      <c r="F978" s="103">
        <v>912982468</v>
      </c>
      <c r="G978" s="103">
        <v>0</v>
      </c>
      <c r="H978" s="105">
        <f t="shared" si="29"/>
        <v>2307643637</v>
      </c>
      <c r="I978" s="103">
        <v>0</v>
      </c>
      <c r="J978" s="109"/>
    </row>
    <row r="979" spans="1:11">
      <c r="A979" s="101" t="s">
        <v>55</v>
      </c>
      <c r="B979" s="88" t="s">
        <v>699</v>
      </c>
      <c r="C979" s="102">
        <v>2007</v>
      </c>
      <c r="D979" s="103">
        <v>712200556</v>
      </c>
      <c r="E979" s="103">
        <v>824604506</v>
      </c>
      <c r="F979" s="103">
        <v>1322286110</v>
      </c>
      <c r="G979" s="103">
        <v>0</v>
      </c>
      <c r="H979" s="105">
        <f t="shared" si="29"/>
        <v>2859091172</v>
      </c>
      <c r="I979" s="103">
        <v>0</v>
      </c>
      <c r="J979" s="109"/>
    </row>
    <row r="980" spans="1:11">
      <c r="A980" s="101" t="s">
        <v>55</v>
      </c>
      <c r="B980" s="88" t="s">
        <v>699</v>
      </c>
      <c r="C980" s="102">
        <v>2008</v>
      </c>
      <c r="D980" s="103">
        <v>739912500</v>
      </c>
      <c r="E980" s="103">
        <v>1096212102</v>
      </c>
      <c r="F980" s="103">
        <v>1498313802</v>
      </c>
      <c r="G980" s="103">
        <v>0</v>
      </c>
      <c r="H980" s="105">
        <f t="shared" si="29"/>
        <v>3334438404</v>
      </c>
      <c r="I980" s="103">
        <v>0</v>
      </c>
      <c r="J980" s="109"/>
    </row>
    <row r="981" spans="1:11">
      <c r="A981" s="101" t="s">
        <v>55</v>
      </c>
      <c r="B981" s="88" t="s">
        <v>699</v>
      </c>
      <c r="C981" s="102">
        <v>2009</v>
      </c>
      <c r="D981" s="103">
        <v>769949241</v>
      </c>
      <c r="E981" s="103">
        <v>1071481528</v>
      </c>
      <c r="F981" s="103">
        <v>1653824373</v>
      </c>
      <c r="G981" s="103">
        <v>0</v>
      </c>
      <c r="H981" s="105">
        <f t="shared" si="29"/>
        <v>3495255142</v>
      </c>
      <c r="I981" s="103">
        <v>0</v>
      </c>
      <c r="J981" s="109"/>
    </row>
    <row r="982" spans="1:11">
      <c r="A982" s="101" t="s">
        <v>55</v>
      </c>
      <c r="B982" s="88" t="s">
        <v>699</v>
      </c>
      <c r="C982" s="102">
        <v>2010</v>
      </c>
      <c r="D982" s="103">
        <v>748015631</v>
      </c>
      <c r="E982" s="103">
        <v>1008581875</v>
      </c>
      <c r="F982" s="103">
        <v>1620890080</v>
      </c>
      <c r="G982" s="103">
        <v>0</v>
      </c>
      <c r="H982" s="105">
        <f t="shared" si="29"/>
        <v>3377487586</v>
      </c>
      <c r="I982" s="103">
        <v>0</v>
      </c>
      <c r="J982" s="109"/>
    </row>
    <row r="983" spans="1:11">
      <c r="A983" s="101" t="s">
        <v>55</v>
      </c>
      <c r="B983" s="88" t="s">
        <v>699</v>
      </c>
      <c r="C983" s="102">
        <v>2011</v>
      </c>
      <c r="D983" s="103">
        <v>790601447</v>
      </c>
      <c r="E983" s="103">
        <v>803896979</v>
      </c>
      <c r="F983" s="103">
        <v>1705079369</v>
      </c>
      <c r="G983" s="103">
        <v>0</v>
      </c>
      <c r="H983" s="105">
        <f t="shared" si="29"/>
        <v>3299577795</v>
      </c>
      <c r="I983" s="103">
        <v>0</v>
      </c>
      <c r="J983" s="109"/>
    </row>
    <row r="984" spans="1:11">
      <c r="A984" s="101" t="s">
        <v>55</v>
      </c>
      <c r="B984" s="88" t="s">
        <v>699</v>
      </c>
      <c r="C984" s="102">
        <v>2012</v>
      </c>
      <c r="D984" s="103">
        <v>825350559</v>
      </c>
      <c r="E984" s="103">
        <v>945278895</v>
      </c>
      <c r="F984" s="103">
        <v>1788245669</v>
      </c>
      <c r="G984" s="103">
        <v>0</v>
      </c>
      <c r="H984" s="105">
        <f t="shared" si="29"/>
        <v>3558875123</v>
      </c>
      <c r="I984" s="103">
        <v>0</v>
      </c>
      <c r="J984" s="109"/>
    </row>
    <row r="985" spans="1:11">
      <c r="A985" s="101" t="s">
        <v>55</v>
      </c>
      <c r="B985" s="88" t="s">
        <v>699</v>
      </c>
      <c r="C985" s="102">
        <v>2013</v>
      </c>
      <c r="D985" s="103">
        <v>866612021</v>
      </c>
      <c r="E985" s="103">
        <v>895473195</v>
      </c>
      <c r="F985" s="103">
        <v>1654068269</v>
      </c>
      <c r="G985" s="103">
        <v>0</v>
      </c>
      <c r="H985" s="105">
        <f t="shared" si="29"/>
        <v>3416153485</v>
      </c>
      <c r="I985" s="103">
        <v>1858845</v>
      </c>
      <c r="J985" s="109" t="s">
        <v>675</v>
      </c>
    </row>
    <row r="986" spans="1:11">
      <c r="A986" s="101" t="s">
        <v>55</v>
      </c>
      <c r="B986" s="88" t="s">
        <v>699</v>
      </c>
      <c r="C986" s="102">
        <v>2014</v>
      </c>
      <c r="D986" s="103">
        <v>901653618</v>
      </c>
      <c r="E986" s="103">
        <v>1256518516</v>
      </c>
      <c r="F986" s="103">
        <v>1735155742.1199999</v>
      </c>
      <c r="G986" s="103">
        <v>0</v>
      </c>
      <c r="H986" s="105">
        <f t="shared" si="29"/>
        <v>3893327876.1199999</v>
      </c>
      <c r="I986" s="103">
        <v>7877785</v>
      </c>
      <c r="J986" s="109" t="s">
        <v>675</v>
      </c>
    </row>
    <row r="987" spans="1:11">
      <c r="A987" s="101" t="s">
        <v>55</v>
      </c>
      <c r="B987" s="88" t="s">
        <v>699</v>
      </c>
      <c r="C987" s="102">
        <v>2015</v>
      </c>
      <c r="D987" s="103">
        <v>957451253</v>
      </c>
      <c r="E987" s="103">
        <v>1326216717</v>
      </c>
      <c r="F987" s="103">
        <v>1785726696</v>
      </c>
      <c r="G987" s="103">
        <v>0</v>
      </c>
      <c r="H987" s="105">
        <f t="shared" si="29"/>
        <v>4069394666</v>
      </c>
      <c r="I987" s="103">
        <v>4948634</v>
      </c>
      <c r="J987" s="109" t="s">
        <v>675</v>
      </c>
    </row>
    <row r="988" spans="1:11">
      <c r="A988" s="101" t="s">
        <v>55</v>
      </c>
      <c r="B988" s="88" t="s">
        <v>699</v>
      </c>
      <c r="C988" s="102">
        <v>2016</v>
      </c>
      <c r="D988" s="103">
        <v>1032137820</v>
      </c>
      <c r="E988" s="103">
        <v>1255112293</v>
      </c>
      <c r="F988" s="103">
        <v>1892633503</v>
      </c>
      <c r="G988" s="103">
        <v>0</v>
      </c>
      <c r="H988" s="105">
        <f t="shared" si="29"/>
        <v>4179883616</v>
      </c>
      <c r="I988" s="103">
        <v>7323300</v>
      </c>
      <c r="J988" s="109" t="s">
        <v>675</v>
      </c>
    </row>
    <row r="989" spans="1:11">
      <c r="A989" s="101" t="s">
        <v>55</v>
      </c>
      <c r="B989" s="88" t="s">
        <v>699</v>
      </c>
      <c r="C989" s="102">
        <v>2017</v>
      </c>
      <c r="D989" s="103">
        <v>1195561044</v>
      </c>
      <c r="E989" s="103">
        <v>1186738308</v>
      </c>
      <c r="F989" s="103">
        <v>1809716037.98</v>
      </c>
      <c r="G989" s="103">
        <v>0</v>
      </c>
      <c r="H989" s="105">
        <f t="shared" si="29"/>
        <v>4192015389.98</v>
      </c>
      <c r="I989" s="103">
        <v>3704804</v>
      </c>
      <c r="J989" s="109" t="s">
        <v>675</v>
      </c>
    </row>
    <row r="990" spans="1:11">
      <c r="A990" s="101" t="s">
        <v>55</v>
      </c>
      <c r="B990" s="88" t="s">
        <v>699</v>
      </c>
      <c r="C990" s="102">
        <v>2018</v>
      </c>
      <c r="D990" s="103">
        <v>1172990773</v>
      </c>
      <c r="E990" s="103">
        <v>1475720935</v>
      </c>
      <c r="F990" s="103">
        <v>1833870315.45</v>
      </c>
      <c r="G990" s="103">
        <v>0</v>
      </c>
      <c r="H990" s="105">
        <f t="shared" si="29"/>
        <v>4482582023.4499998</v>
      </c>
      <c r="I990" s="103">
        <v>5661889</v>
      </c>
      <c r="J990" s="109" t="s">
        <v>675</v>
      </c>
    </row>
    <row r="991" spans="1:11">
      <c r="A991" s="101" t="s">
        <v>55</v>
      </c>
      <c r="B991" s="88" t="s">
        <v>699</v>
      </c>
      <c r="C991" s="102">
        <v>2019</v>
      </c>
      <c r="D991" s="103">
        <v>1210349914</v>
      </c>
      <c r="E991" s="103">
        <v>1521500884</v>
      </c>
      <c r="F991" s="103">
        <v>1899828444.3367</v>
      </c>
      <c r="G991" s="103">
        <v>0</v>
      </c>
      <c r="H991" s="105">
        <f t="shared" si="29"/>
        <v>4631679242.3367004</v>
      </c>
      <c r="I991" s="103">
        <v>10159548</v>
      </c>
      <c r="J991" s="109" t="s">
        <v>675</v>
      </c>
    </row>
    <row r="992" spans="1:11">
      <c r="A992" s="101" t="s">
        <v>55</v>
      </c>
      <c r="B992" s="88" t="s">
        <v>699</v>
      </c>
      <c r="C992" s="102">
        <v>2020</v>
      </c>
      <c r="D992" s="103">
        <v>1275742342</v>
      </c>
      <c r="E992" s="103">
        <v>1704634149</v>
      </c>
      <c r="F992" s="103">
        <v>3412390700</v>
      </c>
      <c r="G992" s="103">
        <v>0</v>
      </c>
      <c r="H992" s="105">
        <f t="shared" si="29"/>
        <v>6392767191</v>
      </c>
      <c r="I992" s="103">
        <v>117263048</v>
      </c>
      <c r="J992" s="109" t="s">
        <v>696</v>
      </c>
      <c r="K992" s="52" t="s">
        <v>677</v>
      </c>
    </row>
    <row r="993" spans="1:10">
      <c r="A993" s="101"/>
      <c r="B993" s="107"/>
      <c r="D993" s="104"/>
      <c r="E993" s="104"/>
      <c r="F993" s="104"/>
      <c r="G993" s="104"/>
      <c r="H993" s="103"/>
      <c r="I993" s="103"/>
      <c r="J993" s="109"/>
    </row>
    <row r="994" spans="1:10">
      <c r="A994" s="101" t="s">
        <v>56</v>
      </c>
      <c r="B994" s="88" t="s">
        <v>700</v>
      </c>
      <c r="C994" s="102">
        <v>1988</v>
      </c>
      <c r="D994" s="104">
        <v>252803488</v>
      </c>
      <c r="E994" s="104">
        <v>119901061</v>
      </c>
      <c r="F994" s="104">
        <v>203345399</v>
      </c>
      <c r="G994" s="104">
        <v>87655124</v>
      </c>
      <c r="H994" s="105">
        <f>SUM(D994:G994)</f>
        <v>663705072</v>
      </c>
      <c r="I994" s="103">
        <v>0</v>
      </c>
      <c r="J994" s="109"/>
    </row>
    <row r="995" spans="1:10">
      <c r="A995" s="101" t="s">
        <v>56</v>
      </c>
      <c r="B995" s="88" t="s">
        <v>700</v>
      </c>
      <c r="C995" s="102">
        <v>1989</v>
      </c>
      <c r="D995" s="104">
        <v>234946765</v>
      </c>
      <c r="E995" s="104">
        <v>217312983</v>
      </c>
      <c r="F995" s="104">
        <v>235348015</v>
      </c>
      <c r="G995" s="104">
        <v>75157619</v>
      </c>
      <c r="H995" s="105">
        <f t="shared" ref="H995:H1026" si="30">SUM(D995:G995)</f>
        <v>762765382</v>
      </c>
      <c r="I995" s="103">
        <v>0</v>
      </c>
      <c r="J995" s="109"/>
    </row>
    <row r="996" spans="1:10">
      <c r="A996" s="101" t="s">
        <v>56</v>
      </c>
      <c r="B996" s="88" t="s">
        <v>700</v>
      </c>
      <c r="C996" s="102">
        <v>1990</v>
      </c>
      <c r="D996" s="104">
        <v>241536221</v>
      </c>
      <c r="E996" s="104">
        <v>259760502.19999999</v>
      </c>
      <c r="F996" s="104">
        <v>240900345</v>
      </c>
      <c r="G996" s="104">
        <v>92438242</v>
      </c>
      <c r="H996" s="105">
        <f t="shared" si="30"/>
        <v>834635310.20000005</v>
      </c>
      <c r="I996" s="103">
        <v>0</v>
      </c>
      <c r="J996" s="109"/>
    </row>
    <row r="997" spans="1:10">
      <c r="A997" s="101" t="s">
        <v>56</v>
      </c>
      <c r="B997" s="88" t="s">
        <v>700</v>
      </c>
      <c r="C997" s="102">
        <v>1991</v>
      </c>
      <c r="D997" s="104">
        <v>260141719</v>
      </c>
      <c r="E997" s="104">
        <v>205080765</v>
      </c>
      <c r="F997" s="104">
        <v>241177952</v>
      </c>
      <c r="G997" s="104">
        <v>82311078</v>
      </c>
      <c r="H997" s="105">
        <f t="shared" si="30"/>
        <v>788711514</v>
      </c>
      <c r="I997" s="103">
        <v>0</v>
      </c>
      <c r="J997" s="109"/>
    </row>
    <row r="998" spans="1:10">
      <c r="A998" s="101" t="s">
        <v>56</v>
      </c>
      <c r="B998" s="88" t="s">
        <v>700</v>
      </c>
      <c r="C998" s="102">
        <v>1992</v>
      </c>
      <c r="D998" s="104">
        <v>285808181</v>
      </c>
      <c r="E998" s="104">
        <v>265144968.36000001</v>
      </c>
      <c r="F998" s="104">
        <v>253737165</v>
      </c>
      <c r="G998" s="104">
        <v>41944650</v>
      </c>
      <c r="H998" s="105">
        <f t="shared" si="30"/>
        <v>846634964.36000001</v>
      </c>
      <c r="I998" s="103">
        <v>0</v>
      </c>
      <c r="J998" s="109"/>
    </row>
    <row r="999" spans="1:10">
      <c r="A999" s="101" t="s">
        <v>56</v>
      </c>
      <c r="B999" s="88" t="s">
        <v>700</v>
      </c>
      <c r="C999" s="102">
        <v>1993</v>
      </c>
      <c r="D999" s="104">
        <v>279493617</v>
      </c>
      <c r="E999" s="104">
        <v>264027730</v>
      </c>
      <c r="F999" s="104">
        <v>283496014</v>
      </c>
      <c r="G999" s="104">
        <v>74308335</v>
      </c>
      <c r="H999" s="105">
        <f t="shared" si="30"/>
        <v>901325696</v>
      </c>
      <c r="I999" s="103">
        <v>0</v>
      </c>
      <c r="J999" s="109"/>
    </row>
    <row r="1000" spans="1:10">
      <c r="A1000" s="101" t="s">
        <v>56</v>
      </c>
      <c r="B1000" s="88" t="s">
        <v>700</v>
      </c>
      <c r="C1000" s="102">
        <v>1994</v>
      </c>
      <c r="D1000" s="104">
        <v>314086073</v>
      </c>
      <c r="E1000" s="104">
        <v>284405162</v>
      </c>
      <c r="F1000" s="104">
        <v>286147819</v>
      </c>
      <c r="G1000" s="104">
        <v>42554564</v>
      </c>
      <c r="H1000" s="105">
        <f t="shared" si="30"/>
        <v>927193618</v>
      </c>
      <c r="I1000" s="103">
        <v>0</v>
      </c>
      <c r="J1000" s="109"/>
    </row>
    <row r="1001" spans="1:10">
      <c r="A1001" s="101" t="s">
        <v>56</v>
      </c>
      <c r="B1001" s="88" t="s">
        <v>700</v>
      </c>
      <c r="C1001" s="102">
        <v>1995</v>
      </c>
      <c r="D1001" s="104">
        <v>332373812</v>
      </c>
      <c r="E1001" s="104">
        <v>272400511</v>
      </c>
      <c r="F1001" s="104">
        <v>298025547</v>
      </c>
      <c r="G1001" s="104">
        <v>28369697</v>
      </c>
      <c r="H1001" s="105">
        <f t="shared" si="30"/>
        <v>931169567</v>
      </c>
      <c r="I1001" s="103">
        <v>0</v>
      </c>
      <c r="J1001" s="109"/>
    </row>
    <row r="1002" spans="1:10">
      <c r="A1002" s="101" t="s">
        <v>56</v>
      </c>
      <c r="B1002" s="88" t="s">
        <v>700</v>
      </c>
      <c r="C1002" s="102">
        <v>1996</v>
      </c>
      <c r="D1002" s="104">
        <v>356329729</v>
      </c>
      <c r="E1002" s="104">
        <v>202957008</v>
      </c>
      <c r="F1002" s="104">
        <v>306213178</v>
      </c>
      <c r="G1002" s="104">
        <v>38576938</v>
      </c>
      <c r="H1002" s="105">
        <f t="shared" si="30"/>
        <v>904076853</v>
      </c>
      <c r="I1002" s="103">
        <v>0</v>
      </c>
      <c r="J1002" s="109"/>
    </row>
    <row r="1003" spans="1:10">
      <c r="A1003" s="101" t="s">
        <v>56</v>
      </c>
      <c r="B1003" s="88" t="s">
        <v>700</v>
      </c>
      <c r="C1003" s="102">
        <v>1997</v>
      </c>
      <c r="D1003" s="104">
        <v>327085853</v>
      </c>
      <c r="E1003" s="104">
        <v>269116727</v>
      </c>
      <c r="F1003" s="104">
        <v>295343014</v>
      </c>
      <c r="G1003" s="104">
        <v>66111619</v>
      </c>
      <c r="H1003" s="105">
        <f t="shared" si="30"/>
        <v>957657213</v>
      </c>
      <c r="I1003" s="103">
        <v>0</v>
      </c>
      <c r="J1003" s="109"/>
    </row>
    <row r="1004" spans="1:10">
      <c r="A1004" s="101" t="s">
        <v>56</v>
      </c>
      <c r="B1004" s="88" t="s">
        <v>700</v>
      </c>
      <c r="C1004" s="102">
        <v>1998</v>
      </c>
      <c r="D1004" s="104">
        <v>379340368</v>
      </c>
      <c r="E1004" s="104">
        <v>273163517</v>
      </c>
      <c r="F1004" s="104">
        <v>296275080</v>
      </c>
      <c r="G1004" s="104">
        <v>102922212</v>
      </c>
      <c r="H1004" s="105">
        <f t="shared" si="30"/>
        <v>1051701177</v>
      </c>
      <c r="I1004" s="103">
        <v>0</v>
      </c>
      <c r="J1004" s="109"/>
    </row>
    <row r="1005" spans="1:10">
      <c r="A1005" s="101" t="s">
        <v>56</v>
      </c>
      <c r="B1005" s="88" t="s">
        <v>700</v>
      </c>
      <c r="C1005" s="102">
        <v>1999</v>
      </c>
      <c r="D1005" s="104">
        <v>383399884</v>
      </c>
      <c r="E1005" s="104">
        <v>353550676</v>
      </c>
      <c r="F1005" s="104">
        <v>311830778</v>
      </c>
      <c r="G1005" s="104">
        <v>85811125</v>
      </c>
      <c r="H1005" s="105">
        <f t="shared" si="30"/>
        <v>1134592463</v>
      </c>
      <c r="I1005" s="103">
        <v>0</v>
      </c>
      <c r="J1005" s="109"/>
    </row>
    <row r="1006" spans="1:10">
      <c r="A1006" s="101" t="s">
        <v>56</v>
      </c>
      <c r="B1006" s="88" t="s">
        <v>700</v>
      </c>
      <c r="C1006" s="102">
        <v>2000</v>
      </c>
      <c r="D1006" s="104">
        <v>371612555</v>
      </c>
      <c r="E1006" s="104">
        <v>356810727</v>
      </c>
      <c r="F1006" s="104">
        <v>327324467</v>
      </c>
      <c r="G1006" s="104">
        <v>49837913</v>
      </c>
      <c r="H1006" s="105">
        <f t="shared" si="30"/>
        <v>1105585662</v>
      </c>
      <c r="I1006" s="103">
        <v>0</v>
      </c>
      <c r="J1006" s="109"/>
    </row>
    <row r="1007" spans="1:10">
      <c r="A1007" s="101" t="s">
        <v>56</v>
      </c>
      <c r="B1007" s="88" t="s">
        <v>700</v>
      </c>
      <c r="C1007" s="102">
        <v>2001</v>
      </c>
      <c r="D1007" s="104">
        <v>363577918</v>
      </c>
      <c r="E1007" s="104">
        <v>493492136</v>
      </c>
      <c r="F1007" s="104">
        <v>327779405</v>
      </c>
      <c r="G1007" s="104">
        <v>39427603</v>
      </c>
      <c r="H1007" s="105">
        <f t="shared" si="30"/>
        <v>1224277062</v>
      </c>
      <c r="I1007" s="103">
        <v>0</v>
      </c>
      <c r="J1007" s="109"/>
    </row>
    <row r="1008" spans="1:10">
      <c r="A1008" s="101" t="s">
        <v>56</v>
      </c>
      <c r="B1008" s="88" t="s">
        <v>700</v>
      </c>
      <c r="C1008" s="102">
        <v>2002</v>
      </c>
      <c r="D1008" s="104">
        <v>346960375</v>
      </c>
      <c r="E1008" s="104">
        <v>774499331</v>
      </c>
      <c r="F1008" s="104">
        <v>339227506</v>
      </c>
      <c r="G1008" s="104">
        <v>110238020</v>
      </c>
      <c r="H1008" s="105">
        <f t="shared" si="30"/>
        <v>1570925232</v>
      </c>
      <c r="I1008" s="103">
        <v>0</v>
      </c>
      <c r="J1008" s="109"/>
    </row>
    <row r="1009" spans="1:10">
      <c r="A1009" s="101" t="s">
        <v>56</v>
      </c>
      <c r="B1009" s="88" t="s">
        <v>700</v>
      </c>
      <c r="C1009" s="102">
        <v>2003</v>
      </c>
      <c r="D1009" s="106">
        <v>383633208</v>
      </c>
      <c r="E1009" s="106">
        <v>686958663</v>
      </c>
      <c r="F1009" s="106">
        <v>358910278</v>
      </c>
      <c r="G1009" s="106">
        <v>74796393</v>
      </c>
      <c r="H1009" s="105">
        <f t="shared" si="30"/>
        <v>1504298542</v>
      </c>
      <c r="I1009" s="103">
        <v>0</v>
      </c>
      <c r="J1009" s="109"/>
    </row>
    <row r="1010" spans="1:10">
      <c r="A1010" s="101" t="s">
        <v>56</v>
      </c>
      <c r="B1010" s="88" t="s">
        <v>700</v>
      </c>
      <c r="C1010" s="102">
        <v>2004</v>
      </c>
      <c r="D1010" s="106">
        <v>381166967</v>
      </c>
      <c r="E1010" s="106">
        <v>641007904</v>
      </c>
      <c r="F1010" s="106">
        <v>394769423</v>
      </c>
      <c r="G1010" s="106">
        <v>91170299</v>
      </c>
      <c r="H1010" s="105">
        <f t="shared" si="30"/>
        <v>1508114593</v>
      </c>
      <c r="I1010" s="103">
        <v>0</v>
      </c>
      <c r="J1010" s="109"/>
    </row>
    <row r="1011" spans="1:10">
      <c r="A1011" s="101" t="s">
        <v>56</v>
      </c>
      <c r="B1011" s="88" t="s">
        <v>700</v>
      </c>
      <c r="C1011" s="102">
        <v>2005</v>
      </c>
      <c r="D1011" s="106">
        <v>412156500</v>
      </c>
      <c r="E1011" s="106">
        <v>593862991</v>
      </c>
      <c r="F1011" s="106">
        <v>428512325.73000002</v>
      </c>
      <c r="G1011" s="106">
        <v>129230456</v>
      </c>
      <c r="H1011" s="105">
        <f t="shared" si="30"/>
        <v>1563762272.73</v>
      </c>
      <c r="I1011" s="103">
        <v>0</v>
      </c>
      <c r="J1011" s="109"/>
    </row>
    <row r="1012" spans="1:10">
      <c r="A1012" s="101" t="s">
        <v>56</v>
      </c>
      <c r="B1012" s="88" t="s">
        <v>700</v>
      </c>
      <c r="C1012" s="102">
        <v>2006</v>
      </c>
      <c r="D1012" s="103">
        <v>444502774</v>
      </c>
      <c r="E1012" s="103">
        <v>558130092</v>
      </c>
      <c r="F1012" s="103">
        <v>496838075</v>
      </c>
      <c r="G1012" s="103">
        <v>168348202</v>
      </c>
      <c r="H1012" s="105">
        <f t="shared" si="30"/>
        <v>1667819143</v>
      </c>
      <c r="I1012" s="103">
        <v>0</v>
      </c>
      <c r="J1012" s="109"/>
    </row>
    <row r="1013" spans="1:10">
      <c r="A1013" s="101" t="s">
        <v>56</v>
      </c>
      <c r="B1013" s="88" t="s">
        <v>700</v>
      </c>
      <c r="C1013" s="102">
        <v>2007</v>
      </c>
      <c r="D1013" s="103">
        <v>477497084</v>
      </c>
      <c r="E1013" s="103">
        <v>559526907</v>
      </c>
      <c r="F1013" s="103">
        <v>868271880</v>
      </c>
      <c r="G1013" s="103">
        <v>80082857</v>
      </c>
      <c r="H1013" s="105">
        <f t="shared" si="30"/>
        <v>1985378728</v>
      </c>
      <c r="I1013" s="103">
        <v>0</v>
      </c>
      <c r="J1013" s="109"/>
    </row>
    <row r="1014" spans="1:10">
      <c r="A1014" s="101" t="s">
        <v>56</v>
      </c>
      <c r="B1014" s="88" t="s">
        <v>700</v>
      </c>
      <c r="C1014" s="102">
        <v>2008</v>
      </c>
      <c r="D1014" s="103">
        <v>471342822</v>
      </c>
      <c r="E1014" s="103">
        <v>795665312</v>
      </c>
      <c r="F1014" s="103">
        <v>1037783684</v>
      </c>
      <c r="G1014" s="103">
        <v>261653876</v>
      </c>
      <c r="H1014" s="105">
        <f t="shared" si="30"/>
        <v>2566445694</v>
      </c>
      <c r="I1014" s="103">
        <v>0</v>
      </c>
      <c r="J1014" s="109"/>
    </row>
    <row r="1015" spans="1:10">
      <c r="A1015" s="101" t="s">
        <v>56</v>
      </c>
      <c r="B1015" s="88" t="s">
        <v>700</v>
      </c>
      <c r="C1015" s="102">
        <v>2009</v>
      </c>
      <c r="D1015" s="103">
        <v>501259480</v>
      </c>
      <c r="E1015" s="103">
        <v>828000435</v>
      </c>
      <c r="F1015" s="103">
        <v>1097122149</v>
      </c>
      <c r="G1015" s="103">
        <v>282328023</v>
      </c>
      <c r="H1015" s="105">
        <f t="shared" si="30"/>
        <v>2708710087</v>
      </c>
      <c r="I1015" s="103">
        <v>0</v>
      </c>
      <c r="J1015" s="109"/>
    </row>
    <row r="1016" spans="1:10">
      <c r="A1016" s="101" t="s">
        <v>56</v>
      </c>
      <c r="B1016" s="88" t="s">
        <v>700</v>
      </c>
      <c r="C1016" s="102">
        <v>2010</v>
      </c>
      <c r="D1016" s="103">
        <v>513799242</v>
      </c>
      <c r="E1016" s="103">
        <v>763154173</v>
      </c>
      <c r="F1016" s="103">
        <v>1173877203</v>
      </c>
      <c r="G1016" s="103">
        <v>494814110</v>
      </c>
      <c r="H1016" s="105">
        <f t="shared" si="30"/>
        <v>2945644728</v>
      </c>
      <c r="I1016" s="103">
        <v>0</v>
      </c>
      <c r="J1016" s="109"/>
    </row>
    <row r="1017" spans="1:10">
      <c r="A1017" s="101" t="s">
        <v>56</v>
      </c>
      <c r="B1017" s="88" t="s">
        <v>700</v>
      </c>
      <c r="C1017" s="102">
        <v>2011</v>
      </c>
      <c r="D1017" s="103">
        <v>522619402</v>
      </c>
      <c r="E1017" s="103">
        <v>606420884</v>
      </c>
      <c r="F1017" s="103">
        <v>1356175416.9400001</v>
      </c>
      <c r="G1017" s="103">
        <v>482548453</v>
      </c>
      <c r="H1017" s="105">
        <f t="shared" si="30"/>
        <v>2967764155.9400001</v>
      </c>
      <c r="I1017" s="103">
        <v>0</v>
      </c>
      <c r="J1017" s="109"/>
    </row>
    <row r="1018" spans="1:10">
      <c r="A1018" s="101" t="s">
        <v>56</v>
      </c>
      <c r="B1018" s="88" t="s">
        <v>700</v>
      </c>
      <c r="C1018" s="102">
        <v>2012</v>
      </c>
      <c r="D1018" s="103">
        <v>593175594</v>
      </c>
      <c r="E1018" s="103">
        <v>849596896</v>
      </c>
      <c r="F1018" s="103">
        <v>1086540751</v>
      </c>
      <c r="G1018" s="103">
        <v>167588601</v>
      </c>
      <c r="H1018" s="105">
        <f t="shared" si="30"/>
        <v>2696901842</v>
      </c>
      <c r="I1018" s="103">
        <v>0</v>
      </c>
      <c r="J1018" s="109"/>
    </row>
    <row r="1019" spans="1:10">
      <c r="A1019" s="101" t="s">
        <v>56</v>
      </c>
      <c r="B1019" s="88" t="s">
        <v>700</v>
      </c>
      <c r="C1019" s="102">
        <v>2013</v>
      </c>
      <c r="D1019" s="103">
        <v>546481681</v>
      </c>
      <c r="E1019" s="103">
        <v>870464239</v>
      </c>
      <c r="F1019" s="103">
        <v>1105719793</v>
      </c>
      <c r="G1019" s="103">
        <v>582879699</v>
      </c>
      <c r="H1019" s="105">
        <f t="shared" si="30"/>
        <v>3105545412</v>
      </c>
      <c r="I1019" s="103">
        <v>0</v>
      </c>
      <c r="J1019" s="109"/>
    </row>
    <row r="1020" spans="1:10">
      <c r="A1020" s="101" t="s">
        <v>56</v>
      </c>
      <c r="B1020" s="88" t="s">
        <v>700</v>
      </c>
      <c r="C1020" s="102">
        <v>2014</v>
      </c>
      <c r="D1020" s="103">
        <v>560684666</v>
      </c>
      <c r="E1020" s="103">
        <v>923133517</v>
      </c>
      <c r="F1020" s="103">
        <v>1071736115.95</v>
      </c>
      <c r="G1020" s="103">
        <v>409692612</v>
      </c>
      <c r="H1020" s="105">
        <f t="shared" si="30"/>
        <v>2965246910.9499998</v>
      </c>
      <c r="I1020" s="103">
        <v>0</v>
      </c>
      <c r="J1020" s="109"/>
    </row>
    <row r="1021" spans="1:10">
      <c r="A1021" s="101" t="s">
        <v>56</v>
      </c>
      <c r="B1021" s="88" t="s">
        <v>700</v>
      </c>
      <c r="C1021" s="102">
        <v>2015</v>
      </c>
      <c r="D1021" s="103">
        <v>582507540</v>
      </c>
      <c r="E1021" s="103">
        <v>1644751861</v>
      </c>
      <c r="F1021" s="103">
        <v>910142634</v>
      </c>
      <c r="G1021" s="103">
        <v>19433854</v>
      </c>
      <c r="H1021" s="105">
        <f t="shared" si="30"/>
        <v>3156835889</v>
      </c>
      <c r="I1021" s="103">
        <v>357523045</v>
      </c>
      <c r="J1021" s="109" t="s">
        <v>675</v>
      </c>
    </row>
    <row r="1022" spans="1:10">
      <c r="A1022" s="101" t="s">
        <v>56</v>
      </c>
      <c r="B1022" s="88" t="s">
        <v>700</v>
      </c>
      <c r="C1022" s="102">
        <v>2016</v>
      </c>
      <c r="D1022" s="103">
        <v>585963246</v>
      </c>
      <c r="E1022" s="103">
        <v>2842885065</v>
      </c>
      <c r="F1022" s="103">
        <v>971656243</v>
      </c>
      <c r="G1022" s="103">
        <v>35871328</v>
      </c>
      <c r="H1022" s="105">
        <f t="shared" si="30"/>
        <v>4436375882</v>
      </c>
      <c r="I1022" s="103">
        <v>1112223913</v>
      </c>
      <c r="J1022" s="109" t="s">
        <v>675</v>
      </c>
    </row>
    <row r="1023" spans="1:10">
      <c r="A1023" s="101" t="s">
        <v>56</v>
      </c>
      <c r="B1023" s="88" t="s">
        <v>700</v>
      </c>
      <c r="C1023" s="102">
        <v>2017</v>
      </c>
      <c r="D1023" s="103">
        <v>615949350</v>
      </c>
      <c r="E1023" s="103">
        <v>1587534776</v>
      </c>
      <c r="F1023" s="103">
        <v>1032567372.05</v>
      </c>
      <c r="G1023" s="103">
        <v>25842955</v>
      </c>
      <c r="H1023" s="105">
        <f t="shared" si="30"/>
        <v>3261894453.0500002</v>
      </c>
      <c r="I1023" s="103">
        <v>68593659</v>
      </c>
      <c r="J1023" s="109" t="s">
        <v>675</v>
      </c>
    </row>
    <row r="1024" spans="1:10">
      <c r="A1024" s="101" t="s">
        <v>56</v>
      </c>
      <c r="B1024" s="88" t="s">
        <v>700</v>
      </c>
      <c r="C1024" s="102">
        <v>2018</v>
      </c>
      <c r="D1024" s="103">
        <v>604866184</v>
      </c>
      <c r="E1024" s="103">
        <v>2102923927</v>
      </c>
      <c r="F1024" s="103">
        <v>1187734254.23</v>
      </c>
      <c r="G1024" s="103">
        <v>17998315</v>
      </c>
      <c r="H1024" s="105">
        <f t="shared" si="30"/>
        <v>3913522680.23</v>
      </c>
      <c r="I1024" s="103">
        <v>56794683</v>
      </c>
      <c r="J1024" s="109" t="s">
        <v>675</v>
      </c>
    </row>
    <row r="1025" spans="1:11">
      <c r="A1025" s="101" t="s">
        <v>56</v>
      </c>
      <c r="B1025" s="88" t="s">
        <v>700</v>
      </c>
      <c r="C1025" s="102">
        <v>2019</v>
      </c>
      <c r="D1025" s="103">
        <v>621693544</v>
      </c>
      <c r="E1025" s="103">
        <v>1748911845</v>
      </c>
      <c r="F1025" s="103">
        <v>1130072575.75</v>
      </c>
      <c r="G1025" s="103">
        <v>21552986</v>
      </c>
      <c r="H1025" s="105">
        <f t="shared" si="30"/>
        <v>3522230950.75</v>
      </c>
      <c r="I1025" s="103">
        <v>9573430</v>
      </c>
      <c r="J1025" s="109" t="s">
        <v>675</v>
      </c>
    </row>
    <row r="1026" spans="1:11">
      <c r="A1026" s="101" t="s">
        <v>56</v>
      </c>
      <c r="B1026" s="88" t="s">
        <v>700</v>
      </c>
      <c r="C1026" s="102">
        <v>2020</v>
      </c>
      <c r="D1026" s="103">
        <v>643762230</v>
      </c>
      <c r="E1026" s="103">
        <v>2105994542</v>
      </c>
      <c r="F1026" s="103">
        <v>2110548885</v>
      </c>
      <c r="G1026" s="103">
        <v>182987978</v>
      </c>
      <c r="H1026" s="105">
        <f t="shared" si="30"/>
        <v>5043293635</v>
      </c>
      <c r="I1026" s="103">
        <v>119097179</v>
      </c>
      <c r="J1026" s="109" t="s">
        <v>696</v>
      </c>
      <c r="K1026" s="52" t="s">
        <v>677</v>
      </c>
    </row>
    <row r="1027" spans="1:11">
      <c r="A1027" s="101"/>
      <c r="B1027" s="107"/>
      <c r="D1027" s="104"/>
      <c r="E1027" s="104"/>
      <c r="F1027" s="104"/>
      <c r="G1027" s="104"/>
      <c r="H1027" s="103"/>
      <c r="I1027" s="103"/>
      <c r="J1027" s="109"/>
    </row>
    <row r="1028" spans="1:11">
      <c r="A1028" s="101" t="s">
        <v>57</v>
      </c>
      <c r="B1028" s="88" t="s">
        <v>266</v>
      </c>
      <c r="C1028" s="102">
        <v>1988</v>
      </c>
      <c r="D1028" s="104">
        <v>2073109199</v>
      </c>
      <c r="E1028" s="104">
        <v>1731834873</v>
      </c>
      <c r="F1028" s="104">
        <v>4227426164</v>
      </c>
      <c r="G1028" s="104">
        <v>1108412108</v>
      </c>
      <c r="H1028" s="105">
        <f>SUM(D1028:G1028)</f>
        <v>9140782344</v>
      </c>
      <c r="I1028" s="103">
        <v>0</v>
      </c>
      <c r="J1028" s="109"/>
    </row>
    <row r="1029" spans="1:11">
      <c r="A1029" s="101" t="s">
        <v>57</v>
      </c>
      <c r="B1029" s="88" t="s">
        <v>266</v>
      </c>
      <c r="C1029" s="102">
        <v>1989</v>
      </c>
      <c r="D1029" s="104">
        <v>2183764728</v>
      </c>
      <c r="E1029" s="104">
        <v>1974007514</v>
      </c>
      <c r="F1029" s="104">
        <v>4745054555</v>
      </c>
      <c r="G1029" s="104">
        <v>969808889</v>
      </c>
      <c r="H1029" s="105">
        <f t="shared" ref="H1029:H1060" si="31">SUM(D1029:G1029)</f>
        <v>9872635686</v>
      </c>
      <c r="I1029" s="103">
        <v>0</v>
      </c>
      <c r="J1029" s="109"/>
    </row>
    <row r="1030" spans="1:11">
      <c r="A1030" s="101" t="s">
        <v>57</v>
      </c>
      <c r="B1030" s="88" t="s">
        <v>266</v>
      </c>
      <c r="C1030" s="102">
        <v>1990</v>
      </c>
      <c r="D1030" s="104">
        <v>2364265442</v>
      </c>
      <c r="E1030" s="104">
        <v>2550437378.9200001</v>
      </c>
      <c r="F1030" s="104">
        <v>4888106724</v>
      </c>
      <c r="G1030" s="104">
        <v>1133655124</v>
      </c>
      <c r="H1030" s="105">
        <f t="shared" si="31"/>
        <v>10936464668.92</v>
      </c>
      <c r="I1030" s="103">
        <v>0</v>
      </c>
      <c r="J1030" s="109"/>
    </row>
    <row r="1031" spans="1:11">
      <c r="A1031" s="101" t="s">
        <v>57</v>
      </c>
      <c r="B1031" s="88" t="s">
        <v>266</v>
      </c>
      <c r="C1031" s="102">
        <v>1991</v>
      </c>
      <c r="D1031" s="104">
        <v>2444151278</v>
      </c>
      <c r="E1031" s="104">
        <v>2481827275</v>
      </c>
      <c r="F1031" s="104">
        <v>4397986945</v>
      </c>
      <c r="G1031" s="104">
        <v>877253188</v>
      </c>
      <c r="H1031" s="105">
        <f t="shared" si="31"/>
        <v>10201218686</v>
      </c>
      <c r="I1031" s="103">
        <v>0</v>
      </c>
      <c r="J1031" s="109"/>
    </row>
    <row r="1032" spans="1:11">
      <c r="A1032" s="101" t="s">
        <v>57</v>
      </c>
      <c r="B1032" s="88" t="s">
        <v>266</v>
      </c>
      <c r="C1032" s="102">
        <v>1992</v>
      </c>
      <c r="D1032" s="104">
        <v>2689828543</v>
      </c>
      <c r="E1032" s="104">
        <v>2929192389.8000002</v>
      </c>
      <c r="F1032" s="104">
        <v>4327663715</v>
      </c>
      <c r="G1032" s="104">
        <v>575311765</v>
      </c>
      <c r="H1032" s="105">
        <f t="shared" si="31"/>
        <v>10521996412.799999</v>
      </c>
      <c r="I1032" s="103">
        <v>0</v>
      </c>
      <c r="J1032" s="109"/>
    </row>
    <row r="1033" spans="1:11">
      <c r="A1033" s="101" t="s">
        <v>57</v>
      </c>
      <c r="B1033" s="88" t="s">
        <v>266</v>
      </c>
      <c r="C1033" s="102">
        <v>1993</v>
      </c>
      <c r="D1033" s="104">
        <v>2996718589</v>
      </c>
      <c r="E1033" s="104">
        <v>2532350985</v>
      </c>
      <c r="F1033" s="104">
        <v>4245833860</v>
      </c>
      <c r="G1033" s="104">
        <v>593521279</v>
      </c>
      <c r="H1033" s="105">
        <f t="shared" si="31"/>
        <v>10368424713</v>
      </c>
      <c r="I1033" s="103">
        <v>0</v>
      </c>
      <c r="J1033" s="109"/>
    </row>
    <row r="1034" spans="1:11">
      <c r="A1034" s="101" t="s">
        <v>57</v>
      </c>
      <c r="B1034" s="88" t="s">
        <v>266</v>
      </c>
      <c r="C1034" s="102">
        <v>1994</v>
      </c>
      <c r="D1034" s="104">
        <v>3231932887</v>
      </c>
      <c r="E1034" s="104">
        <v>2957910836</v>
      </c>
      <c r="F1034" s="104">
        <v>4269926095</v>
      </c>
      <c r="G1034" s="104">
        <v>639234053</v>
      </c>
      <c r="H1034" s="105">
        <f t="shared" si="31"/>
        <v>11099003871</v>
      </c>
      <c r="I1034" s="103">
        <v>0</v>
      </c>
      <c r="J1034" s="109"/>
    </row>
    <row r="1035" spans="1:11">
      <c r="A1035" s="101" t="s">
        <v>57</v>
      </c>
      <c r="B1035" s="88" t="s">
        <v>266</v>
      </c>
      <c r="C1035" s="102">
        <v>1995</v>
      </c>
      <c r="D1035" s="104">
        <v>3175155312</v>
      </c>
      <c r="E1035" s="104">
        <v>2682124713</v>
      </c>
      <c r="F1035" s="104">
        <v>4157029058</v>
      </c>
      <c r="G1035" s="104">
        <v>491233902</v>
      </c>
      <c r="H1035" s="105">
        <f t="shared" si="31"/>
        <v>10505542985</v>
      </c>
      <c r="I1035" s="103">
        <v>0</v>
      </c>
      <c r="J1035" s="109"/>
    </row>
    <row r="1036" spans="1:11">
      <c r="A1036" s="101" t="s">
        <v>57</v>
      </c>
      <c r="B1036" s="88" t="s">
        <v>266</v>
      </c>
      <c r="C1036" s="102">
        <v>1996</v>
      </c>
      <c r="D1036" s="104">
        <v>2999224711</v>
      </c>
      <c r="E1036" s="104">
        <v>2302871125</v>
      </c>
      <c r="F1036" s="104">
        <v>4252812116</v>
      </c>
      <c r="G1036" s="104">
        <v>640455344</v>
      </c>
      <c r="H1036" s="105">
        <f t="shared" si="31"/>
        <v>10195363296</v>
      </c>
      <c r="I1036" s="103">
        <v>0</v>
      </c>
      <c r="J1036" s="109"/>
    </row>
    <row r="1037" spans="1:11">
      <c r="A1037" s="101" t="s">
        <v>57</v>
      </c>
      <c r="B1037" s="88" t="s">
        <v>266</v>
      </c>
      <c r="C1037" s="102">
        <v>1997</v>
      </c>
      <c r="D1037" s="104">
        <v>3196860901</v>
      </c>
      <c r="E1037" s="104">
        <v>2545256440</v>
      </c>
      <c r="F1037" s="104">
        <v>4294005693</v>
      </c>
      <c r="G1037" s="104">
        <v>479246708</v>
      </c>
      <c r="H1037" s="105">
        <f t="shared" si="31"/>
        <v>10515369742</v>
      </c>
      <c r="I1037" s="103">
        <v>0</v>
      </c>
      <c r="J1037" s="109"/>
    </row>
    <row r="1038" spans="1:11">
      <c r="A1038" s="101" t="s">
        <v>57</v>
      </c>
      <c r="B1038" s="88" t="s">
        <v>266</v>
      </c>
      <c r="C1038" s="102">
        <v>1998</v>
      </c>
      <c r="D1038" s="104">
        <v>3594018956</v>
      </c>
      <c r="E1038" s="104">
        <v>2346820388</v>
      </c>
      <c r="F1038" s="104">
        <v>4391742488</v>
      </c>
      <c r="G1038" s="104">
        <v>303854623</v>
      </c>
      <c r="H1038" s="105">
        <f t="shared" si="31"/>
        <v>10636436455</v>
      </c>
      <c r="I1038" s="103">
        <v>0</v>
      </c>
      <c r="J1038" s="109"/>
    </row>
    <row r="1039" spans="1:11">
      <c r="A1039" s="101" t="s">
        <v>57</v>
      </c>
      <c r="B1039" s="88" t="s">
        <v>266</v>
      </c>
      <c r="C1039" s="102">
        <v>1999</v>
      </c>
      <c r="D1039" s="104">
        <v>3131582842</v>
      </c>
      <c r="E1039" s="104">
        <v>2744233755</v>
      </c>
      <c r="F1039" s="104">
        <v>4524544981</v>
      </c>
      <c r="G1039" s="104">
        <v>643538393</v>
      </c>
      <c r="H1039" s="105">
        <f t="shared" si="31"/>
        <v>11043899971</v>
      </c>
      <c r="I1039" s="103">
        <v>0</v>
      </c>
      <c r="J1039" s="109"/>
    </row>
    <row r="1040" spans="1:11">
      <c r="A1040" s="101" t="s">
        <v>57</v>
      </c>
      <c r="B1040" s="88" t="s">
        <v>266</v>
      </c>
      <c r="C1040" s="102">
        <v>2000</v>
      </c>
      <c r="D1040" s="104">
        <v>3336450761</v>
      </c>
      <c r="E1040" s="104">
        <v>3602748260</v>
      </c>
      <c r="F1040" s="104">
        <v>4697743590</v>
      </c>
      <c r="G1040" s="104">
        <v>667276739</v>
      </c>
      <c r="H1040" s="105">
        <f t="shared" si="31"/>
        <v>12304219350</v>
      </c>
      <c r="I1040" s="103">
        <v>0</v>
      </c>
      <c r="J1040" s="109"/>
    </row>
    <row r="1041" spans="1:10">
      <c r="A1041" s="101" t="s">
        <v>57</v>
      </c>
      <c r="B1041" s="88" t="s">
        <v>266</v>
      </c>
      <c r="C1041" s="102">
        <v>2001</v>
      </c>
      <c r="D1041" s="104">
        <v>3254615957</v>
      </c>
      <c r="E1041" s="104">
        <v>5163369591</v>
      </c>
      <c r="F1041" s="104">
        <v>5059968369</v>
      </c>
      <c r="G1041" s="104">
        <v>470562350</v>
      </c>
      <c r="H1041" s="105">
        <f t="shared" si="31"/>
        <v>13948516267</v>
      </c>
      <c r="I1041" s="103">
        <v>0</v>
      </c>
      <c r="J1041" s="109"/>
    </row>
    <row r="1042" spans="1:10">
      <c r="A1042" s="101" t="s">
        <v>57</v>
      </c>
      <c r="B1042" s="88" t="s">
        <v>266</v>
      </c>
      <c r="C1042" s="102">
        <v>2002</v>
      </c>
      <c r="D1042" s="104">
        <v>3524610093</v>
      </c>
      <c r="E1042" s="104">
        <v>6900012912</v>
      </c>
      <c r="F1042" s="104">
        <v>5110299481</v>
      </c>
      <c r="G1042" s="104">
        <v>379130839</v>
      </c>
      <c r="H1042" s="105">
        <f t="shared" si="31"/>
        <v>15914053325</v>
      </c>
      <c r="I1042" s="103">
        <v>0</v>
      </c>
      <c r="J1042" s="109"/>
    </row>
    <row r="1043" spans="1:10">
      <c r="A1043" s="101" t="s">
        <v>57</v>
      </c>
      <c r="B1043" s="88" t="s">
        <v>266</v>
      </c>
      <c r="C1043" s="102">
        <v>2003</v>
      </c>
      <c r="D1043" s="106">
        <v>3772083713</v>
      </c>
      <c r="E1043" s="106">
        <v>6399872712</v>
      </c>
      <c r="F1043" s="106">
        <v>5390004672</v>
      </c>
      <c r="G1043" s="106">
        <v>634576551</v>
      </c>
      <c r="H1043" s="105">
        <f t="shared" si="31"/>
        <v>16196537648</v>
      </c>
      <c r="I1043" s="103">
        <v>0</v>
      </c>
      <c r="J1043" s="109"/>
    </row>
    <row r="1044" spans="1:10">
      <c r="A1044" s="101" t="s">
        <v>57</v>
      </c>
      <c r="B1044" s="88" t="s">
        <v>266</v>
      </c>
      <c r="C1044" s="102">
        <v>2004</v>
      </c>
      <c r="D1044" s="106">
        <v>4204052289</v>
      </c>
      <c r="E1044" s="106">
        <v>5294540755</v>
      </c>
      <c r="F1044" s="106">
        <v>5722735424</v>
      </c>
      <c r="G1044" s="106">
        <v>815329692</v>
      </c>
      <c r="H1044" s="105">
        <f t="shared" si="31"/>
        <v>16036658160</v>
      </c>
      <c r="I1044" s="103">
        <v>0</v>
      </c>
      <c r="J1044" s="109"/>
    </row>
    <row r="1045" spans="1:10">
      <c r="A1045" s="101" t="s">
        <v>57</v>
      </c>
      <c r="B1045" s="88" t="s">
        <v>266</v>
      </c>
      <c r="C1045" s="102">
        <v>2005</v>
      </c>
      <c r="D1045" s="106">
        <v>4002026439</v>
      </c>
      <c r="E1045" s="106">
        <v>4959483318</v>
      </c>
      <c r="F1045" s="106">
        <v>6161664883.3599997</v>
      </c>
      <c r="G1045" s="106">
        <v>1319921261</v>
      </c>
      <c r="H1045" s="105">
        <f t="shared" si="31"/>
        <v>16443095901.360001</v>
      </c>
      <c r="I1045" s="103">
        <v>0</v>
      </c>
      <c r="J1045" s="109"/>
    </row>
    <row r="1046" spans="1:10">
      <c r="A1046" s="101" t="s">
        <v>57</v>
      </c>
      <c r="B1046" s="88" t="s">
        <v>266</v>
      </c>
      <c r="C1046" s="102">
        <v>2006</v>
      </c>
      <c r="D1046" s="103">
        <v>4547140561</v>
      </c>
      <c r="E1046" s="103">
        <v>5470434982</v>
      </c>
      <c r="F1046" s="103">
        <v>7343310219</v>
      </c>
      <c r="G1046" s="103">
        <v>1214023392</v>
      </c>
      <c r="H1046" s="105">
        <f t="shared" si="31"/>
        <v>18574909154</v>
      </c>
      <c r="I1046" s="103">
        <v>0</v>
      </c>
      <c r="J1046" s="109"/>
    </row>
    <row r="1047" spans="1:10">
      <c r="A1047" s="101" t="s">
        <v>57</v>
      </c>
      <c r="B1047" s="88" t="s">
        <v>266</v>
      </c>
      <c r="C1047" s="102">
        <v>2007</v>
      </c>
      <c r="D1047" s="103">
        <v>4441444134</v>
      </c>
      <c r="E1047" s="103">
        <v>5079390399</v>
      </c>
      <c r="F1047" s="103">
        <v>9335690450</v>
      </c>
      <c r="G1047" s="103">
        <v>836012711</v>
      </c>
      <c r="H1047" s="105">
        <f t="shared" si="31"/>
        <v>19692537694</v>
      </c>
      <c r="I1047" s="103">
        <v>0</v>
      </c>
      <c r="J1047" s="109"/>
    </row>
    <row r="1048" spans="1:10">
      <c r="A1048" s="101" t="s">
        <v>57</v>
      </c>
      <c r="B1048" s="88" t="s">
        <v>266</v>
      </c>
      <c r="C1048" s="102">
        <v>2008</v>
      </c>
      <c r="D1048" s="103">
        <v>4338367211</v>
      </c>
      <c r="E1048" s="103">
        <v>7272418925</v>
      </c>
      <c r="F1048" s="103">
        <v>9853696947</v>
      </c>
      <c r="G1048" s="103">
        <v>846436484</v>
      </c>
      <c r="H1048" s="105">
        <f t="shared" si="31"/>
        <v>22310919567</v>
      </c>
      <c r="I1048" s="103">
        <v>0</v>
      </c>
      <c r="J1048" s="109"/>
    </row>
    <row r="1049" spans="1:10">
      <c r="A1049" s="101" t="s">
        <v>57</v>
      </c>
      <c r="B1049" s="88" t="s">
        <v>266</v>
      </c>
      <c r="C1049" s="102">
        <v>2009</v>
      </c>
      <c r="D1049" s="103">
        <v>4569693896</v>
      </c>
      <c r="E1049" s="103">
        <v>7571069258</v>
      </c>
      <c r="F1049" s="103">
        <v>10028229272</v>
      </c>
      <c r="G1049" s="103">
        <v>390155994</v>
      </c>
      <c r="H1049" s="105">
        <f t="shared" si="31"/>
        <v>22559148420</v>
      </c>
      <c r="I1049" s="103">
        <v>0</v>
      </c>
      <c r="J1049" s="109"/>
    </row>
    <row r="1050" spans="1:10">
      <c r="A1050" s="101" t="s">
        <v>57</v>
      </c>
      <c r="B1050" s="88" t="s">
        <v>266</v>
      </c>
      <c r="C1050" s="102">
        <v>2010</v>
      </c>
      <c r="D1050" s="103">
        <v>5113558117</v>
      </c>
      <c r="E1050" s="103">
        <v>7355793524</v>
      </c>
      <c r="F1050" s="103">
        <v>10197728285</v>
      </c>
      <c r="G1050" s="103">
        <v>329361195</v>
      </c>
      <c r="H1050" s="105">
        <f t="shared" si="31"/>
        <v>22996441121</v>
      </c>
      <c r="I1050" s="103">
        <v>0</v>
      </c>
      <c r="J1050" s="109"/>
    </row>
    <row r="1051" spans="1:10">
      <c r="A1051" s="101" t="s">
        <v>57</v>
      </c>
      <c r="B1051" s="88" t="s">
        <v>266</v>
      </c>
      <c r="C1051" s="102">
        <v>2011</v>
      </c>
      <c r="D1051" s="103">
        <v>5103001172</v>
      </c>
      <c r="E1051" s="103">
        <v>6408280560</v>
      </c>
      <c r="F1051" s="103">
        <v>10012552908.869999</v>
      </c>
      <c r="G1051" s="103">
        <v>835585846</v>
      </c>
      <c r="H1051" s="105">
        <f t="shared" si="31"/>
        <v>22359420486.869999</v>
      </c>
      <c r="I1051" s="103">
        <v>0</v>
      </c>
      <c r="J1051" s="109"/>
    </row>
    <row r="1052" spans="1:10">
      <c r="A1052" s="101" t="s">
        <v>57</v>
      </c>
      <c r="B1052" s="88" t="s">
        <v>266</v>
      </c>
      <c r="C1052" s="102">
        <v>2012</v>
      </c>
      <c r="D1052" s="103">
        <v>5352968466</v>
      </c>
      <c r="E1052" s="103">
        <v>7067272327</v>
      </c>
      <c r="F1052" s="103">
        <v>10800997005</v>
      </c>
      <c r="G1052" s="103">
        <v>1436345116</v>
      </c>
      <c r="H1052" s="105">
        <f t="shared" si="31"/>
        <v>24657582914</v>
      </c>
      <c r="I1052" s="103">
        <v>0</v>
      </c>
      <c r="J1052" s="109"/>
    </row>
    <row r="1053" spans="1:10">
      <c r="A1053" s="101" t="s">
        <v>57</v>
      </c>
      <c r="B1053" s="88" t="s">
        <v>266</v>
      </c>
      <c r="C1053" s="102">
        <v>2013</v>
      </c>
      <c r="D1053" s="103">
        <v>5341790634</v>
      </c>
      <c r="E1053" s="103">
        <v>6099173020</v>
      </c>
      <c r="F1053" s="103">
        <v>11613834126</v>
      </c>
      <c r="G1053" s="103">
        <v>1147324864</v>
      </c>
      <c r="H1053" s="105">
        <f t="shared" si="31"/>
        <v>24202122644</v>
      </c>
      <c r="I1053" s="103">
        <v>0</v>
      </c>
      <c r="J1053" s="109"/>
    </row>
    <row r="1054" spans="1:10">
      <c r="A1054" s="101" t="s">
        <v>57</v>
      </c>
      <c r="B1054" s="88" t="s">
        <v>266</v>
      </c>
      <c r="C1054" s="102">
        <v>2014</v>
      </c>
      <c r="D1054" s="103">
        <v>5777934813</v>
      </c>
      <c r="E1054" s="103">
        <v>6862035694</v>
      </c>
      <c r="F1054" s="103">
        <v>13776185262.459999</v>
      </c>
      <c r="G1054" s="103">
        <v>723722493</v>
      </c>
      <c r="H1054" s="105">
        <f t="shared" si="31"/>
        <v>27139878262.459999</v>
      </c>
      <c r="I1054" s="103">
        <v>0</v>
      </c>
      <c r="J1054" s="109"/>
    </row>
    <row r="1055" spans="1:10">
      <c r="A1055" s="101" t="s">
        <v>57</v>
      </c>
      <c r="B1055" s="88" t="s">
        <v>266</v>
      </c>
      <c r="C1055" s="102">
        <v>2015</v>
      </c>
      <c r="D1055" s="103">
        <v>5865691132</v>
      </c>
      <c r="E1055" s="103">
        <v>7830102790</v>
      </c>
      <c r="F1055" s="103">
        <v>15209260591</v>
      </c>
      <c r="G1055" s="103">
        <v>529223102</v>
      </c>
      <c r="H1055" s="105">
        <f t="shared" si="31"/>
        <v>29434277615</v>
      </c>
      <c r="I1055" s="103">
        <v>0</v>
      </c>
      <c r="J1055" s="109"/>
    </row>
    <row r="1056" spans="1:10">
      <c r="A1056" s="101" t="s">
        <v>57</v>
      </c>
      <c r="B1056" s="88" t="s">
        <v>266</v>
      </c>
      <c r="C1056" s="102">
        <v>2016</v>
      </c>
      <c r="D1056" s="103">
        <v>5944666518</v>
      </c>
      <c r="E1056" s="103">
        <v>7648289245</v>
      </c>
      <c r="F1056" s="103">
        <v>15921741881</v>
      </c>
      <c r="G1056" s="103">
        <v>435299380</v>
      </c>
      <c r="H1056" s="105">
        <f t="shared" si="31"/>
        <v>29949997024</v>
      </c>
      <c r="I1056" s="103">
        <v>0</v>
      </c>
      <c r="J1056" s="109"/>
    </row>
    <row r="1057" spans="1:10">
      <c r="A1057" s="101" t="s">
        <v>57</v>
      </c>
      <c r="B1057" s="88" t="s">
        <v>266</v>
      </c>
      <c r="C1057" s="102">
        <v>2017</v>
      </c>
      <c r="D1057" s="103">
        <v>6403695519</v>
      </c>
      <c r="E1057" s="103">
        <v>7795921347</v>
      </c>
      <c r="F1057" s="103">
        <v>13660955868.889999</v>
      </c>
      <c r="G1057" s="103">
        <v>469491409</v>
      </c>
      <c r="H1057" s="105">
        <f t="shared" si="31"/>
        <v>28330064143.889999</v>
      </c>
      <c r="I1057" s="103">
        <v>0</v>
      </c>
      <c r="J1057" s="109"/>
    </row>
    <row r="1058" spans="1:10">
      <c r="A1058" s="101" t="s">
        <v>57</v>
      </c>
      <c r="B1058" s="88" t="s">
        <v>266</v>
      </c>
      <c r="C1058" s="102">
        <v>2018</v>
      </c>
      <c r="D1058" s="103">
        <v>6250222990</v>
      </c>
      <c r="E1058" s="103">
        <v>9855656320</v>
      </c>
      <c r="F1058" s="103">
        <v>13589645403.41</v>
      </c>
      <c r="G1058" s="103">
        <v>519412755</v>
      </c>
      <c r="H1058" s="105">
        <f t="shared" si="31"/>
        <v>30214937468.41</v>
      </c>
      <c r="I1058" s="103">
        <v>0</v>
      </c>
      <c r="J1058" s="109"/>
    </row>
    <row r="1059" spans="1:10">
      <c r="A1059" s="101" t="s">
        <v>57</v>
      </c>
      <c r="B1059" s="88" t="s">
        <v>266</v>
      </c>
      <c r="C1059" s="102">
        <v>2019</v>
      </c>
      <c r="D1059" s="103">
        <v>6540927269</v>
      </c>
      <c r="E1059" s="103">
        <v>10895249636</v>
      </c>
      <c r="F1059" s="103">
        <v>13617600875.023001</v>
      </c>
      <c r="G1059" s="103">
        <v>830446394</v>
      </c>
      <c r="H1059" s="105">
        <f t="shared" si="31"/>
        <v>31884224174.023003</v>
      </c>
      <c r="I1059" s="103">
        <v>0</v>
      </c>
      <c r="J1059" s="109"/>
    </row>
    <row r="1060" spans="1:10">
      <c r="A1060" s="101" t="s">
        <v>57</v>
      </c>
      <c r="B1060" s="88" t="s">
        <v>266</v>
      </c>
      <c r="C1060" s="102">
        <v>2020</v>
      </c>
      <c r="D1060" s="103">
        <v>6613642363</v>
      </c>
      <c r="E1060" s="103">
        <v>9966243723</v>
      </c>
      <c r="F1060" s="103">
        <v>13720050889</v>
      </c>
      <c r="G1060" s="103">
        <v>908884723</v>
      </c>
      <c r="H1060" s="105">
        <f t="shared" si="31"/>
        <v>31208821698</v>
      </c>
      <c r="I1060" s="103">
        <v>0</v>
      </c>
      <c r="J1060" s="109"/>
    </row>
    <row r="1061" spans="1:10">
      <c r="A1061" s="101"/>
      <c r="B1061" s="107"/>
      <c r="D1061" s="104"/>
      <c r="E1061" s="104"/>
      <c r="F1061" s="104"/>
      <c r="G1061" s="104"/>
      <c r="H1061" s="103"/>
      <c r="I1061" s="103"/>
      <c r="J1061" s="109"/>
    </row>
    <row r="1062" spans="1:10">
      <c r="A1062" s="101" t="s">
        <v>58</v>
      </c>
      <c r="B1062" s="88" t="s">
        <v>701</v>
      </c>
      <c r="C1062" s="102">
        <v>1988</v>
      </c>
      <c r="D1062" s="104">
        <v>263207485</v>
      </c>
      <c r="E1062" s="104">
        <v>499770760</v>
      </c>
      <c r="F1062" s="104">
        <v>260588388</v>
      </c>
      <c r="G1062" s="104">
        <v>0</v>
      </c>
      <c r="H1062" s="105">
        <f>SUM(D1062:G1062)</f>
        <v>1023566633</v>
      </c>
      <c r="I1062" s="103">
        <v>0</v>
      </c>
      <c r="J1062" s="109"/>
    </row>
    <row r="1063" spans="1:10">
      <c r="A1063" s="101" t="s">
        <v>58</v>
      </c>
      <c r="B1063" s="88" t="s">
        <v>701</v>
      </c>
      <c r="C1063" s="102">
        <v>1989</v>
      </c>
      <c r="D1063" s="104">
        <v>254044968</v>
      </c>
      <c r="E1063" s="104">
        <v>531730200</v>
      </c>
      <c r="F1063" s="104">
        <v>288935513</v>
      </c>
      <c r="G1063" s="104">
        <v>0</v>
      </c>
      <c r="H1063" s="105">
        <f t="shared" ref="H1063:H1094" si="32">SUM(D1063:G1063)</f>
        <v>1074710681</v>
      </c>
      <c r="I1063" s="103">
        <v>0</v>
      </c>
      <c r="J1063" s="109"/>
    </row>
    <row r="1064" spans="1:10">
      <c r="A1064" s="101" t="s">
        <v>58</v>
      </c>
      <c r="B1064" s="88" t="s">
        <v>701</v>
      </c>
      <c r="C1064" s="102">
        <v>1990</v>
      </c>
      <c r="D1064" s="104">
        <v>266559874</v>
      </c>
      <c r="E1064" s="104">
        <v>614125627.08000004</v>
      </c>
      <c r="F1064" s="104">
        <v>298043034</v>
      </c>
      <c r="G1064" s="104">
        <v>0</v>
      </c>
      <c r="H1064" s="105">
        <f t="shared" si="32"/>
        <v>1178728535.0799999</v>
      </c>
      <c r="I1064" s="103">
        <v>0</v>
      </c>
      <c r="J1064" s="109"/>
    </row>
    <row r="1065" spans="1:10">
      <c r="A1065" s="101" t="s">
        <v>58</v>
      </c>
      <c r="B1065" s="88" t="s">
        <v>701</v>
      </c>
      <c r="C1065" s="102">
        <v>1991</v>
      </c>
      <c r="D1065" s="104">
        <v>290120028</v>
      </c>
      <c r="E1065" s="104">
        <v>544216464</v>
      </c>
      <c r="F1065" s="104">
        <v>313454917</v>
      </c>
      <c r="G1065" s="104">
        <v>0</v>
      </c>
      <c r="H1065" s="105">
        <f t="shared" si="32"/>
        <v>1147791409</v>
      </c>
      <c r="I1065" s="103">
        <v>0</v>
      </c>
      <c r="J1065" s="109"/>
    </row>
    <row r="1066" spans="1:10">
      <c r="A1066" s="101" t="s">
        <v>58</v>
      </c>
      <c r="B1066" s="88" t="s">
        <v>701</v>
      </c>
      <c r="C1066" s="102">
        <v>1992</v>
      </c>
      <c r="D1066" s="104">
        <v>307678533</v>
      </c>
      <c r="E1066" s="104">
        <v>564487300.03999996</v>
      </c>
      <c r="F1066" s="104">
        <v>321008873</v>
      </c>
      <c r="G1066" s="104">
        <v>0</v>
      </c>
      <c r="H1066" s="105">
        <f t="shared" si="32"/>
        <v>1193174706.04</v>
      </c>
      <c r="I1066" s="103">
        <v>0</v>
      </c>
      <c r="J1066" s="109"/>
    </row>
    <row r="1067" spans="1:10">
      <c r="A1067" s="101" t="s">
        <v>58</v>
      </c>
      <c r="B1067" s="88" t="s">
        <v>701</v>
      </c>
      <c r="C1067" s="102">
        <v>1993</v>
      </c>
      <c r="D1067" s="104">
        <v>320672161</v>
      </c>
      <c r="E1067" s="104">
        <v>645253299</v>
      </c>
      <c r="F1067" s="104">
        <v>296303291</v>
      </c>
      <c r="G1067" s="104">
        <v>0</v>
      </c>
      <c r="H1067" s="105">
        <f t="shared" si="32"/>
        <v>1262228751</v>
      </c>
      <c r="I1067" s="103">
        <v>0</v>
      </c>
      <c r="J1067" s="109"/>
    </row>
    <row r="1068" spans="1:10">
      <c r="A1068" s="101" t="s">
        <v>58</v>
      </c>
      <c r="B1068" s="88" t="s">
        <v>701</v>
      </c>
      <c r="C1068" s="102">
        <v>1994</v>
      </c>
      <c r="D1068" s="104">
        <v>371393695</v>
      </c>
      <c r="E1068" s="104">
        <v>547626406</v>
      </c>
      <c r="F1068" s="104">
        <v>307732891</v>
      </c>
      <c r="G1068" s="104">
        <v>0</v>
      </c>
      <c r="H1068" s="105">
        <f t="shared" si="32"/>
        <v>1226752992</v>
      </c>
      <c r="I1068" s="103">
        <v>0</v>
      </c>
      <c r="J1068" s="109"/>
    </row>
    <row r="1069" spans="1:10">
      <c r="A1069" s="101" t="s">
        <v>58</v>
      </c>
      <c r="B1069" s="88" t="s">
        <v>701</v>
      </c>
      <c r="C1069" s="102">
        <v>1995</v>
      </c>
      <c r="D1069" s="104">
        <v>370546476</v>
      </c>
      <c r="E1069" s="104">
        <v>640618306</v>
      </c>
      <c r="F1069" s="104">
        <v>316965441</v>
      </c>
      <c r="G1069" s="104">
        <v>0</v>
      </c>
      <c r="H1069" s="105">
        <f t="shared" si="32"/>
        <v>1328130223</v>
      </c>
      <c r="I1069" s="103">
        <v>0</v>
      </c>
      <c r="J1069" s="109"/>
    </row>
    <row r="1070" spans="1:10">
      <c r="A1070" s="101" t="s">
        <v>58</v>
      </c>
      <c r="B1070" s="88" t="s">
        <v>701</v>
      </c>
      <c r="C1070" s="102">
        <v>1996</v>
      </c>
      <c r="D1070" s="104">
        <v>381363681</v>
      </c>
      <c r="E1070" s="104">
        <v>444425140</v>
      </c>
      <c r="F1070" s="104">
        <v>342582739</v>
      </c>
      <c r="G1070" s="104">
        <v>0</v>
      </c>
      <c r="H1070" s="105">
        <f t="shared" si="32"/>
        <v>1168371560</v>
      </c>
      <c r="I1070" s="103">
        <v>0</v>
      </c>
      <c r="J1070" s="109"/>
    </row>
    <row r="1071" spans="1:10">
      <c r="A1071" s="101" t="s">
        <v>58</v>
      </c>
      <c r="B1071" s="88" t="s">
        <v>701</v>
      </c>
      <c r="C1071" s="102">
        <v>1997</v>
      </c>
      <c r="D1071" s="104">
        <v>315623262</v>
      </c>
      <c r="E1071" s="104">
        <v>375216289</v>
      </c>
      <c r="F1071" s="104">
        <v>325511693</v>
      </c>
      <c r="G1071" s="104">
        <v>0</v>
      </c>
      <c r="H1071" s="105">
        <f t="shared" si="32"/>
        <v>1016351244</v>
      </c>
      <c r="I1071" s="103">
        <v>0</v>
      </c>
      <c r="J1071" s="109"/>
    </row>
    <row r="1072" spans="1:10">
      <c r="A1072" s="101" t="s">
        <v>58</v>
      </c>
      <c r="B1072" s="88" t="s">
        <v>701</v>
      </c>
      <c r="C1072" s="102">
        <v>1998</v>
      </c>
      <c r="D1072" s="104">
        <v>372791582</v>
      </c>
      <c r="E1072" s="104">
        <v>259460467</v>
      </c>
      <c r="F1072" s="104">
        <v>321391930</v>
      </c>
      <c r="G1072" s="104">
        <v>0</v>
      </c>
      <c r="H1072" s="105">
        <f t="shared" si="32"/>
        <v>953643979</v>
      </c>
      <c r="I1072" s="103">
        <v>0</v>
      </c>
      <c r="J1072" s="109"/>
    </row>
    <row r="1073" spans="1:10">
      <c r="A1073" s="101" t="s">
        <v>58</v>
      </c>
      <c r="B1073" s="88" t="s">
        <v>701</v>
      </c>
      <c r="C1073" s="102">
        <v>1999</v>
      </c>
      <c r="D1073" s="104">
        <v>369365242</v>
      </c>
      <c r="E1073" s="104">
        <v>298302823</v>
      </c>
      <c r="F1073" s="104">
        <v>341133219</v>
      </c>
      <c r="G1073" s="104">
        <v>0</v>
      </c>
      <c r="H1073" s="105">
        <f t="shared" si="32"/>
        <v>1008801284</v>
      </c>
      <c r="I1073" s="103">
        <v>0</v>
      </c>
      <c r="J1073" s="109"/>
    </row>
    <row r="1074" spans="1:10">
      <c r="A1074" s="101" t="s">
        <v>58</v>
      </c>
      <c r="B1074" s="88" t="s">
        <v>701</v>
      </c>
      <c r="C1074" s="102">
        <v>2000</v>
      </c>
      <c r="D1074" s="104">
        <v>401247610</v>
      </c>
      <c r="E1074" s="104">
        <v>308241290</v>
      </c>
      <c r="F1074" s="104">
        <v>378298654</v>
      </c>
      <c r="G1074" s="104">
        <v>0</v>
      </c>
      <c r="H1074" s="105">
        <f t="shared" si="32"/>
        <v>1087787554</v>
      </c>
      <c r="I1074" s="103">
        <v>0</v>
      </c>
      <c r="J1074" s="109"/>
    </row>
    <row r="1075" spans="1:10">
      <c r="A1075" s="101" t="s">
        <v>58</v>
      </c>
      <c r="B1075" s="88" t="s">
        <v>701</v>
      </c>
      <c r="C1075" s="102">
        <v>2001</v>
      </c>
      <c r="D1075" s="104">
        <v>399776120</v>
      </c>
      <c r="E1075" s="104">
        <v>419768711</v>
      </c>
      <c r="F1075" s="104">
        <v>442798369</v>
      </c>
      <c r="G1075" s="104">
        <v>0</v>
      </c>
      <c r="H1075" s="105">
        <f t="shared" si="32"/>
        <v>1262343200</v>
      </c>
      <c r="I1075" s="103">
        <v>0</v>
      </c>
      <c r="J1075" s="109"/>
    </row>
    <row r="1076" spans="1:10">
      <c r="A1076" s="101" t="s">
        <v>58</v>
      </c>
      <c r="B1076" s="88" t="s">
        <v>701</v>
      </c>
      <c r="C1076" s="102">
        <v>2002</v>
      </c>
      <c r="D1076" s="104">
        <v>395877531</v>
      </c>
      <c r="E1076" s="104">
        <v>514913400</v>
      </c>
      <c r="F1076" s="104">
        <v>513015519</v>
      </c>
      <c r="G1076" s="104">
        <v>0</v>
      </c>
      <c r="H1076" s="105">
        <f t="shared" si="32"/>
        <v>1423806450</v>
      </c>
      <c r="I1076" s="103">
        <v>0</v>
      </c>
      <c r="J1076" s="109"/>
    </row>
    <row r="1077" spans="1:10">
      <c r="A1077" s="101" t="s">
        <v>58</v>
      </c>
      <c r="B1077" s="88" t="s">
        <v>701</v>
      </c>
      <c r="C1077" s="102">
        <v>2003</v>
      </c>
      <c r="D1077" s="106">
        <v>416199293</v>
      </c>
      <c r="E1077" s="106">
        <v>490942012</v>
      </c>
      <c r="F1077" s="106">
        <v>522800002</v>
      </c>
      <c r="G1077" s="104">
        <v>0</v>
      </c>
      <c r="H1077" s="105">
        <f t="shared" si="32"/>
        <v>1429941307</v>
      </c>
      <c r="I1077" s="103">
        <v>0</v>
      </c>
      <c r="J1077" s="109"/>
    </row>
    <row r="1078" spans="1:10">
      <c r="A1078" s="101" t="s">
        <v>58</v>
      </c>
      <c r="B1078" s="88" t="s">
        <v>701</v>
      </c>
      <c r="C1078" s="102">
        <v>2004</v>
      </c>
      <c r="D1078" s="106">
        <v>424722865</v>
      </c>
      <c r="E1078" s="106">
        <v>439336806</v>
      </c>
      <c r="F1078" s="106">
        <v>525965504</v>
      </c>
      <c r="G1078" s="104">
        <v>0</v>
      </c>
      <c r="H1078" s="105">
        <f t="shared" si="32"/>
        <v>1390025175</v>
      </c>
      <c r="I1078" s="103">
        <v>0</v>
      </c>
      <c r="J1078" s="109"/>
    </row>
    <row r="1079" spans="1:10">
      <c r="A1079" s="101" t="s">
        <v>58</v>
      </c>
      <c r="B1079" s="88" t="s">
        <v>701</v>
      </c>
      <c r="C1079" s="102">
        <v>2005</v>
      </c>
      <c r="D1079" s="106">
        <v>448972517</v>
      </c>
      <c r="E1079" s="106">
        <v>412759260</v>
      </c>
      <c r="F1079" s="106">
        <v>573230872.63</v>
      </c>
      <c r="G1079" s="104">
        <v>0</v>
      </c>
      <c r="H1079" s="105">
        <f t="shared" si="32"/>
        <v>1434962649.6300001</v>
      </c>
      <c r="I1079" s="103">
        <v>0</v>
      </c>
      <c r="J1079" s="109"/>
    </row>
    <row r="1080" spans="1:10">
      <c r="A1080" s="101" t="s">
        <v>58</v>
      </c>
      <c r="B1080" s="88" t="s">
        <v>701</v>
      </c>
      <c r="C1080" s="102">
        <v>2006</v>
      </c>
      <c r="D1080" s="103">
        <v>476542909</v>
      </c>
      <c r="E1080" s="103">
        <v>453719971</v>
      </c>
      <c r="F1080" s="103">
        <v>699489440</v>
      </c>
      <c r="G1080" s="103">
        <v>0</v>
      </c>
      <c r="H1080" s="105">
        <f t="shared" si="32"/>
        <v>1629752320</v>
      </c>
      <c r="I1080" s="103">
        <v>0</v>
      </c>
      <c r="J1080" s="109"/>
    </row>
    <row r="1081" spans="1:10">
      <c r="A1081" s="101" t="s">
        <v>58</v>
      </c>
      <c r="B1081" s="88" t="s">
        <v>701</v>
      </c>
      <c r="C1081" s="102">
        <v>2007</v>
      </c>
      <c r="D1081" s="103">
        <v>496065345</v>
      </c>
      <c r="E1081" s="103">
        <v>439507333</v>
      </c>
      <c r="F1081" s="103">
        <v>858165100</v>
      </c>
      <c r="G1081" s="103">
        <v>0</v>
      </c>
      <c r="H1081" s="105">
        <f t="shared" si="32"/>
        <v>1793737778</v>
      </c>
      <c r="I1081" s="103">
        <v>0</v>
      </c>
      <c r="J1081" s="109"/>
    </row>
    <row r="1082" spans="1:10">
      <c r="A1082" s="101" t="s">
        <v>58</v>
      </c>
      <c r="B1082" s="88" t="s">
        <v>701</v>
      </c>
      <c r="C1082" s="102">
        <v>2008</v>
      </c>
      <c r="D1082" s="103">
        <v>504550468</v>
      </c>
      <c r="E1082" s="103">
        <v>556534610</v>
      </c>
      <c r="F1082" s="103">
        <v>1295299338</v>
      </c>
      <c r="G1082" s="103">
        <v>0</v>
      </c>
      <c r="H1082" s="105">
        <f t="shared" si="32"/>
        <v>2356384416</v>
      </c>
      <c r="I1082" s="103">
        <v>0</v>
      </c>
      <c r="J1082" s="109"/>
    </row>
    <row r="1083" spans="1:10">
      <c r="A1083" s="101" t="s">
        <v>58</v>
      </c>
      <c r="B1083" s="88" t="s">
        <v>701</v>
      </c>
      <c r="C1083" s="102">
        <v>2009</v>
      </c>
      <c r="D1083" s="106">
        <v>578469695</v>
      </c>
      <c r="E1083" s="103">
        <v>581539791</v>
      </c>
      <c r="F1083" s="103">
        <v>1385110720</v>
      </c>
      <c r="G1083" s="103">
        <v>0</v>
      </c>
      <c r="H1083" s="105">
        <f t="shared" si="32"/>
        <v>2545120206</v>
      </c>
      <c r="I1083" s="103">
        <v>0</v>
      </c>
      <c r="J1083" s="109"/>
    </row>
    <row r="1084" spans="1:10">
      <c r="A1084" s="101" t="s">
        <v>58</v>
      </c>
      <c r="B1084" s="88" t="s">
        <v>701</v>
      </c>
      <c r="C1084" s="102">
        <v>2010</v>
      </c>
      <c r="D1084" s="106">
        <v>598295452</v>
      </c>
      <c r="E1084" s="103">
        <v>500597871</v>
      </c>
      <c r="F1084" s="103">
        <v>1327280737</v>
      </c>
      <c r="G1084" s="103">
        <v>0</v>
      </c>
      <c r="H1084" s="105">
        <f t="shared" si="32"/>
        <v>2426174060</v>
      </c>
      <c r="I1084" s="103">
        <v>0</v>
      </c>
      <c r="J1084" s="109"/>
    </row>
    <row r="1085" spans="1:10">
      <c r="A1085" s="101" t="s">
        <v>58</v>
      </c>
      <c r="B1085" s="88" t="s">
        <v>701</v>
      </c>
      <c r="C1085" s="102">
        <v>2011</v>
      </c>
      <c r="D1085" s="106">
        <v>608966980</v>
      </c>
      <c r="E1085" s="103">
        <v>519299365</v>
      </c>
      <c r="F1085" s="103">
        <v>1469603606.9200001</v>
      </c>
      <c r="G1085" s="103">
        <v>0</v>
      </c>
      <c r="H1085" s="105">
        <f t="shared" si="32"/>
        <v>2597869951.9200001</v>
      </c>
      <c r="I1085" s="103">
        <v>0</v>
      </c>
      <c r="J1085" s="109"/>
    </row>
    <row r="1086" spans="1:10">
      <c r="A1086" s="101" t="s">
        <v>58</v>
      </c>
      <c r="B1086" s="88" t="s">
        <v>701</v>
      </c>
      <c r="C1086" s="102">
        <v>2012</v>
      </c>
      <c r="D1086" s="106">
        <v>638070785</v>
      </c>
      <c r="E1086" s="103">
        <v>590553977</v>
      </c>
      <c r="F1086" s="103">
        <v>1505448760</v>
      </c>
      <c r="G1086" s="103">
        <v>24715538</v>
      </c>
      <c r="H1086" s="105">
        <f t="shared" si="32"/>
        <v>2758789060</v>
      </c>
      <c r="I1086" s="103">
        <v>1860970</v>
      </c>
      <c r="J1086" s="109" t="s">
        <v>675</v>
      </c>
    </row>
    <row r="1087" spans="1:10">
      <c r="A1087" s="101" t="s">
        <v>58</v>
      </c>
      <c r="B1087" s="88" t="s">
        <v>701</v>
      </c>
      <c r="C1087" s="102">
        <v>2013</v>
      </c>
      <c r="D1087" s="106">
        <v>655677042</v>
      </c>
      <c r="E1087" s="103">
        <v>593082126</v>
      </c>
      <c r="F1087" s="103">
        <v>1369852557</v>
      </c>
      <c r="G1087" s="103">
        <v>33023776</v>
      </c>
      <c r="H1087" s="105">
        <f t="shared" si="32"/>
        <v>2651635501</v>
      </c>
      <c r="I1087" s="103">
        <v>1277965</v>
      </c>
      <c r="J1087" s="109" t="s">
        <v>675</v>
      </c>
    </row>
    <row r="1088" spans="1:10">
      <c r="A1088" s="101" t="s">
        <v>58</v>
      </c>
      <c r="B1088" s="88" t="s">
        <v>701</v>
      </c>
      <c r="C1088" s="102">
        <v>2014</v>
      </c>
      <c r="D1088" s="103">
        <v>645822640</v>
      </c>
      <c r="E1088" s="103">
        <v>690778862</v>
      </c>
      <c r="F1088" s="103">
        <v>1686194410</v>
      </c>
      <c r="G1088" s="103">
        <v>32508659</v>
      </c>
      <c r="H1088" s="105">
        <f t="shared" si="32"/>
        <v>3055304571</v>
      </c>
      <c r="I1088" s="103">
        <v>26363846</v>
      </c>
      <c r="J1088" s="109" t="s">
        <v>675</v>
      </c>
    </row>
    <row r="1089" spans="1:10">
      <c r="A1089" s="101" t="s">
        <v>58</v>
      </c>
      <c r="B1089" s="88" t="s">
        <v>701</v>
      </c>
      <c r="C1089" s="102">
        <v>2015</v>
      </c>
      <c r="D1089" s="103">
        <v>656402675</v>
      </c>
      <c r="E1089" s="103">
        <v>701163890</v>
      </c>
      <c r="F1089" s="103">
        <v>1858055338</v>
      </c>
      <c r="G1089" s="103">
        <v>18771174</v>
      </c>
      <c r="H1089" s="105">
        <f t="shared" si="32"/>
        <v>3234393077</v>
      </c>
      <c r="I1089" s="103">
        <v>12544821</v>
      </c>
      <c r="J1089" s="109" t="s">
        <v>675</v>
      </c>
    </row>
    <row r="1090" spans="1:10">
      <c r="A1090" s="101" t="s">
        <v>58</v>
      </c>
      <c r="B1090" s="88" t="s">
        <v>701</v>
      </c>
      <c r="C1090" s="102">
        <v>2016</v>
      </c>
      <c r="D1090" s="103">
        <v>708441165</v>
      </c>
      <c r="E1090" s="103">
        <v>793513382</v>
      </c>
      <c r="F1090" s="103">
        <v>892718175</v>
      </c>
      <c r="G1090" s="103">
        <v>24593014</v>
      </c>
      <c r="H1090" s="105">
        <f t="shared" si="32"/>
        <v>2419265736</v>
      </c>
      <c r="I1090" s="103">
        <v>8242847</v>
      </c>
      <c r="J1090" s="109" t="s">
        <v>675</v>
      </c>
    </row>
    <row r="1091" spans="1:10">
      <c r="A1091" s="101" t="s">
        <v>58</v>
      </c>
      <c r="B1091" s="88" t="s">
        <v>701</v>
      </c>
      <c r="C1091" s="102">
        <v>2017</v>
      </c>
      <c r="D1091" s="103">
        <v>713796158</v>
      </c>
      <c r="E1091" s="103">
        <v>738550467</v>
      </c>
      <c r="F1091" s="103">
        <v>933882300</v>
      </c>
      <c r="G1091" s="103">
        <v>25973661</v>
      </c>
      <c r="H1091" s="105">
        <f t="shared" si="32"/>
        <v>2412202586</v>
      </c>
      <c r="I1091" s="103">
        <v>5062155</v>
      </c>
      <c r="J1091" s="109" t="s">
        <v>675</v>
      </c>
    </row>
    <row r="1092" spans="1:10">
      <c r="A1092" s="101" t="s">
        <v>58</v>
      </c>
      <c r="B1092" s="88" t="s">
        <v>701</v>
      </c>
      <c r="C1092" s="102">
        <v>2018</v>
      </c>
      <c r="D1092" s="103">
        <v>697636445</v>
      </c>
      <c r="E1092" s="103">
        <v>908266078</v>
      </c>
      <c r="F1092" s="103">
        <v>1056109714.98</v>
      </c>
      <c r="G1092" s="103">
        <v>21076379</v>
      </c>
      <c r="H1092" s="105">
        <f t="shared" si="32"/>
        <v>2683088616.98</v>
      </c>
      <c r="I1092" s="103">
        <v>3853744</v>
      </c>
      <c r="J1092" s="109" t="s">
        <v>675</v>
      </c>
    </row>
    <row r="1093" spans="1:10">
      <c r="A1093" s="101" t="s">
        <v>58</v>
      </c>
      <c r="B1093" s="88" t="s">
        <v>701</v>
      </c>
      <c r="C1093" s="102">
        <v>2019</v>
      </c>
      <c r="D1093" s="103">
        <v>700362508</v>
      </c>
      <c r="E1093" s="103">
        <v>944160783</v>
      </c>
      <c r="F1093" s="103">
        <v>975431583</v>
      </c>
      <c r="G1093" s="103">
        <v>29616613</v>
      </c>
      <c r="H1093" s="105">
        <f t="shared" si="32"/>
        <v>2649571487</v>
      </c>
      <c r="I1093" s="103">
        <v>7609220</v>
      </c>
      <c r="J1093" s="109" t="s">
        <v>675</v>
      </c>
    </row>
    <row r="1094" spans="1:10">
      <c r="A1094" s="101" t="s">
        <v>58</v>
      </c>
      <c r="B1094" s="88" t="s">
        <v>701</v>
      </c>
      <c r="C1094" s="102">
        <v>2020</v>
      </c>
      <c r="D1094" s="103">
        <v>726987826</v>
      </c>
      <c r="E1094" s="103">
        <v>1031892193</v>
      </c>
      <c r="F1094" s="103">
        <v>975507551</v>
      </c>
      <c r="G1094" s="103">
        <v>27479861</v>
      </c>
      <c r="H1094" s="105">
        <f t="shared" si="32"/>
        <v>2761867431</v>
      </c>
      <c r="I1094" s="103">
        <v>8436940</v>
      </c>
      <c r="J1094" s="109" t="s">
        <v>675</v>
      </c>
    </row>
    <row r="1095" spans="1:10">
      <c r="A1095" s="101"/>
      <c r="B1095" s="107"/>
      <c r="D1095" s="104"/>
      <c r="E1095" s="104"/>
      <c r="F1095" s="104"/>
      <c r="G1095" s="104"/>
      <c r="H1095" s="103"/>
      <c r="I1095" s="103"/>
      <c r="J1095" s="109"/>
    </row>
    <row r="1096" spans="1:10">
      <c r="A1096" s="101" t="s">
        <v>59</v>
      </c>
      <c r="B1096" s="88" t="s">
        <v>252</v>
      </c>
      <c r="C1096" s="102">
        <v>1988</v>
      </c>
      <c r="D1096" s="104">
        <v>4446025393</v>
      </c>
      <c r="E1096" s="104">
        <v>4568377805</v>
      </c>
      <c r="F1096" s="104">
        <v>4742304311</v>
      </c>
      <c r="G1096" s="104">
        <v>1632565849</v>
      </c>
      <c r="H1096" s="105">
        <f>SUM(D1096:G1096)</f>
        <v>15389273358</v>
      </c>
      <c r="I1096" s="103">
        <v>0</v>
      </c>
      <c r="J1096" s="109"/>
    </row>
    <row r="1097" spans="1:10">
      <c r="A1097" s="101" t="s">
        <v>59</v>
      </c>
      <c r="B1097" s="88" t="s">
        <v>252</v>
      </c>
      <c r="C1097" s="102">
        <v>1989</v>
      </c>
      <c r="D1097" s="104">
        <v>4509186013</v>
      </c>
      <c r="E1097" s="104">
        <v>4812919847</v>
      </c>
      <c r="F1097" s="104">
        <v>5149446770</v>
      </c>
      <c r="G1097" s="104">
        <v>1639511338</v>
      </c>
      <c r="H1097" s="105">
        <f t="shared" ref="H1097:H1128" si="33">SUM(D1097:G1097)</f>
        <v>16111063968</v>
      </c>
      <c r="I1097" s="103">
        <v>0</v>
      </c>
      <c r="J1097" s="109"/>
    </row>
    <row r="1098" spans="1:10">
      <c r="A1098" s="101" t="s">
        <v>59</v>
      </c>
      <c r="B1098" s="88" t="s">
        <v>252</v>
      </c>
      <c r="C1098" s="102">
        <v>1990</v>
      </c>
      <c r="D1098" s="104">
        <v>4765779478</v>
      </c>
      <c r="E1098" s="104">
        <v>5726596587.96</v>
      </c>
      <c r="F1098" s="104">
        <v>5267075151</v>
      </c>
      <c r="G1098" s="104">
        <v>1388082664</v>
      </c>
      <c r="H1098" s="105">
        <f t="shared" si="33"/>
        <v>17147533880.959999</v>
      </c>
      <c r="I1098" s="103">
        <v>0</v>
      </c>
      <c r="J1098" s="109"/>
    </row>
    <row r="1099" spans="1:10">
      <c r="A1099" s="101" t="s">
        <v>59</v>
      </c>
      <c r="B1099" s="88" t="s">
        <v>252</v>
      </c>
      <c r="C1099" s="102">
        <v>1991</v>
      </c>
      <c r="D1099" s="104">
        <v>5073975953</v>
      </c>
      <c r="E1099" s="104">
        <v>5829948814</v>
      </c>
      <c r="F1099" s="104">
        <v>5573432664</v>
      </c>
      <c r="G1099" s="104">
        <v>1313616365</v>
      </c>
      <c r="H1099" s="105">
        <f t="shared" si="33"/>
        <v>17790973796</v>
      </c>
      <c r="I1099" s="103">
        <v>0</v>
      </c>
      <c r="J1099" s="109"/>
    </row>
    <row r="1100" spans="1:10">
      <c r="A1100" s="101" t="s">
        <v>59</v>
      </c>
      <c r="B1100" s="88" t="s">
        <v>252</v>
      </c>
      <c r="C1100" s="102">
        <v>1992</v>
      </c>
      <c r="D1100" s="104">
        <v>5423692378</v>
      </c>
      <c r="E1100" s="104">
        <v>6077931582.5600004</v>
      </c>
      <c r="F1100" s="104">
        <v>5692188109</v>
      </c>
      <c r="G1100" s="104">
        <v>749635505</v>
      </c>
      <c r="H1100" s="105">
        <f t="shared" si="33"/>
        <v>17943447574.560001</v>
      </c>
      <c r="I1100" s="103">
        <v>0</v>
      </c>
      <c r="J1100" s="109"/>
    </row>
    <row r="1101" spans="1:10">
      <c r="A1101" s="101" t="s">
        <v>59</v>
      </c>
      <c r="B1101" s="88" t="s">
        <v>252</v>
      </c>
      <c r="C1101" s="102">
        <v>1993</v>
      </c>
      <c r="D1101" s="104">
        <v>5564000618</v>
      </c>
      <c r="E1101" s="104">
        <v>4539803629</v>
      </c>
      <c r="F1101" s="104">
        <v>5895008131</v>
      </c>
      <c r="G1101" s="104">
        <v>741223678</v>
      </c>
      <c r="H1101" s="105">
        <f t="shared" si="33"/>
        <v>16740036056</v>
      </c>
      <c r="I1101" s="103">
        <v>0</v>
      </c>
      <c r="J1101" s="109"/>
    </row>
    <row r="1102" spans="1:10">
      <c r="A1102" s="101" t="s">
        <v>59</v>
      </c>
      <c r="B1102" s="88" t="s">
        <v>252</v>
      </c>
      <c r="C1102" s="102">
        <v>1994</v>
      </c>
      <c r="D1102" s="104">
        <v>5682942116</v>
      </c>
      <c r="E1102" s="104">
        <v>5925954151</v>
      </c>
      <c r="F1102" s="104">
        <v>5687164985</v>
      </c>
      <c r="G1102" s="104">
        <v>-20828161</v>
      </c>
      <c r="H1102" s="105">
        <f t="shared" si="33"/>
        <v>17275233091</v>
      </c>
      <c r="I1102" s="103">
        <v>0</v>
      </c>
      <c r="J1102" s="109"/>
    </row>
    <row r="1103" spans="1:10">
      <c r="A1103" s="101" t="s">
        <v>59</v>
      </c>
      <c r="B1103" s="88" t="s">
        <v>252</v>
      </c>
      <c r="C1103" s="102">
        <v>1995</v>
      </c>
      <c r="D1103" s="104">
        <v>6540894447</v>
      </c>
      <c r="E1103" s="104">
        <v>6077855541</v>
      </c>
      <c r="F1103" s="104">
        <v>5463297233</v>
      </c>
      <c r="G1103" s="104">
        <v>711370555</v>
      </c>
      <c r="H1103" s="105">
        <f t="shared" si="33"/>
        <v>18793417776</v>
      </c>
      <c r="I1103" s="103">
        <v>0</v>
      </c>
      <c r="J1103" s="109"/>
    </row>
    <row r="1104" spans="1:10">
      <c r="A1104" s="101" t="s">
        <v>59</v>
      </c>
      <c r="B1104" s="88" t="s">
        <v>252</v>
      </c>
      <c r="C1104" s="102">
        <v>1996</v>
      </c>
      <c r="D1104" s="104">
        <v>5865473390</v>
      </c>
      <c r="E1104" s="104">
        <v>4961870011</v>
      </c>
      <c r="F1104" s="104">
        <v>5378899201</v>
      </c>
      <c r="G1104" s="104">
        <v>505529008</v>
      </c>
      <c r="H1104" s="105">
        <f t="shared" si="33"/>
        <v>16711771610</v>
      </c>
      <c r="I1104" s="103">
        <v>0</v>
      </c>
      <c r="J1104" s="109"/>
    </row>
    <row r="1105" spans="1:10">
      <c r="A1105" s="101" t="s">
        <v>59</v>
      </c>
      <c r="B1105" s="88" t="s">
        <v>252</v>
      </c>
      <c r="C1105" s="102">
        <v>1997</v>
      </c>
      <c r="D1105" s="104">
        <v>6237127269</v>
      </c>
      <c r="E1105" s="104">
        <v>5624309462</v>
      </c>
      <c r="F1105" s="104">
        <v>5951408523</v>
      </c>
      <c r="G1105" s="104">
        <v>456203706</v>
      </c>
      <c r="H1105" s="105">
        <f t="shared" si="33"/>
        <v>18269048960</v>
      </c>
      <c r="I1105" s="103">
        <v>0</v>
      </c>
      <c r="J1105" s="109"/>
    </row>
    <row r="1106" spans="1:10">
      <c r="A1106" s="101" t="s">
        <v>59</v>
      </c>
      <c r="B1106" s="88" t="s">
        <v>252</v>
      </c>
      <c r="C1106" s="102">
        <v>1998</v>
      </c>
      <c r="D1106" s="104">
        <v>6671375041</v>
      </c>
      <c r="E1106" s="104">
        <v>4921252456</v>
      </c>
      <c r="F1106" s="104">
        <v>5865800022</v>
      </c>
      <c r="G1106" s="104">
        <v>878698579</v>
      </c>
      <c r="H1106" s="105">
        <f t="shared" si="33"/>
        <v>18337126098</v>
      </c>
      <c r="I1106" s="103">
        <v>0</v>
      </c>
      <c r="J1106" s="109"/>
    </row>
    <row r="1107" spans="1:10">
      <c r="A1107" s="101" t="s">
        <v>59</v>
      </c>
      <c r="B1107" s="88" t="s">
        <v>252</v>
      </c>
      <c r="C1107" s="102">
        <v>1999</v>
      </c>
      <c r="D1107" s="104">
        <v>6274814732</v>
      </c>
      <c r="E1107" s="104">
        <v>5878277911</v>
      </c>
      <c r="F1107" s="104">
        <v>6370923275</v>
      </c>
      <c r="G1107" s="104">
        <v>663704996</v>
      </c>
      <c r="H1107" s="105">
        <f t="shared" si="33"/>
        <v>19187720914</v>
      </c>
      <c r="I1107" s="103">
        <v>0</v>
      </c>
      <c r="J1107" s="109"/>
    </row>
    <row r="1108" spans="1:10">
      <c r="A1108" s="101" t="s">
        <v>59</v>
      </c>
      <c r="B1108" s="88" t="s">
        <v>252</v>
      </c>
      <c r="C1108" s="102">
        <v>2000</v>
      </c>
      <c r="D1108" s="104">
        <v>6349579179</v>
      </c>
      <c r="E1108" s="104">
        <v>7613325320</v>
      </c>
      <c r="F1108" s="104">
        <v>7206223650</v>
      </c>
      <c r="G1108" s="104">
        <v>680144164</v>
      </c>
      <c r="H1108" s="105">
        <f t="shared" si="33"/>
        <v>21849272313</v>
      </c>
      <c r="I1108" s="103">
        <v>0</v>
      </c>
      <c r="J1108" s="109"/>
    </row>
    <row r="1109" spans="1:10">
      <c r="A1109" s="101" t="s">
        <v>59</v>
      </c>
      <c r="B1109" s="88" t="s">
        <v>252</v>
      </c>
      <c r="C1109" s="102">
        <v>2001</v>
      </c>
      <c r="D1109" s="104">
        <v>6372678143</v>
      </c>
      <c r="E1109" s="104">
        <v>10572064049</v>
      </c>
      <c r="F1109" s="104">
        <v>6848297092</v>
      </c>
      <c r="G1109" s="104">
        <v>912651400</v>
      </c>
      <c r="H1109" s="105">
        <f t="shared" si="33"/>
        <v>24705690684</v>
      </c>
      <c r="I1109" s="103">
        <v>0</v>
      </c>
      <c r="J1109" s="109"/>
    </row>
    <row r="1110" spans="1:10">
      <c r="A1110" s="101" t="s">
        <v>59</v>
      </c>
      <c r="B1110" s="88" t="s">
        <v>252</v>
      </c>
      <c r="C1110" s="102">
        <v>2002</v>
      </c>
      <c r="D1110" s="104">
        <v>6683022346</v>
      </c>
      <c r="E1110" s="104">
        <v>14288214828</v>
      </c>
      <c r="F1110" s="104">
        <v>7434052485</v>
      </c>
      <c r="G1110" s="104">
        <v>460435693</v>
      </c>
      <c r="H1110" s="105">
        <f t="shared" si="33"/>
        <v>28865725352</v>
      </c>
      <c r="I1110" s="103">
        <v>0</v>
      </c>
      <c r="J1110" s="109"/>
    </row>
    <row r="1111" spans="1:10">
      <c r="A1111" s="101" t="s">
        <v>59</v>
      </c>
      <c r="B1111" s="88" t="s">
        <v>252</v>
      </c>
      <c r="C1111" s="102">
        <v>2003</v>
      </c>
      <c r="D1111" s="106">
        <v>7093177608</v>
      </c>
      <c r="E1111" s="106">
        <v>12339386483</v>
      </c>
      <c r="F1111" s="106">
        <v>7851903600</v>
      </c>
      <c r="G1111" s="106">
        <v>631846092</v>
      </c>
      <c r="H1111" s="105">
        <f t="shared" si="33"/>
        <v>27916313783</v>
      </c>
      <c r="I1111" s="103">
        <v>0</v>
      </c>
      <c r="J1111" s="109"/>
    </row>
    <row r="1112" spans="1:10">
      <c r="A1112" s="101" t="s">
        <v>59</v>
      </c>
      <c r="B1112" s="88" t="s">
        <v>252</v>
      </c>
      <c r="C1112" s="102">
        <v>2004</v>
      </c>
      <c r="D1112" s="106">
        <v>7635497556</v>
      </c>
      <c r="E1112" s="106">
        <v>10723207047</v>
      </c>
      <c r="F1112" s="106">
        <v>8800931777</v>
      </c>
      <c r="G1112" s="106">
        <v>942362774</v>
      </c>
      <c r="H1112" s="105">
        <f t="shared" si="33"/>
        <v>28101999154</v>
      </c>
      <c r="I1112" s="103">
        <v>0</v>
      </c>
      <c r="J1112" s="109"/>
    </row>
    <row r="1113" spans="1:10">
      <c r="A1113" s="101" t="s">
        <v>59</v>
      </c>
      <c r="B1113" s="88" t="s">
        <v>252</v>
      </c>
      <c r="C1113" s="102">
        <v>2005</v>
      </c>
      <c r="D1113" s="106">
        <v>7699921709</v>
      </c>
      <c r="E1113" s="106">
        <v>9442568288</v>
      </c>
      <c r="F1113" s="106">
        <v>9104872358.4300003</v>
      </c>
      <c r="G1113" s="106">
        <v>1326022439</v>
      </c>
      <c r="H1113" s="105">
        <f t="shared" si="33"/>
        <v>27573384794.43</v>
      </c>
      <c r="I1113" s="103">
        <v>0</v>
      </c>
      <c r="J1113" s="109"/>
    </row>
    <row r="1114" spans="1:10">
      <c r="A1114" s="101" t="s">
        <v>59</v>
      </c>
      <c r="B1114" s="88" t="s">
        <v>252</v>
      </c>
      <c r="C1114" s="102">
        <v>2006</v>
      </c>
      <c r="D1114" s="103">
        <v>8202674363</v>
      </c>
      <c r="E1114" s="103">
        <v>10976356560</v>
      </c>
      <c r="F1114" s="103">
        <v>8662114950</v>
      </c>
      <c r="G1114" s="103">
        <v>1468048338</v>
      </c>
      <c r="H1114" s="105">
        <f t="shared" si="33"/>
        <v>29309194211</v>
      </c>
      <c r="I1114" s="103">
        <v>0</v>
      </c>
      <c r="J1114" s="109"/>
    </row>
    <row r="1115" spans="1:10">
      <c r="A1115" s="101" t="s">
        <v>59</v>
      </c>
      <c r="B1115" s="88" t="s">
        <v>252</v>
      </c>
      <c r="C1115" s="102">
        <v>2007</v>
      </c>
      <c r="D1115" s="103">
        <v>8538356100</v>
      </c>
      <c r="E1115" s="103">
        <v>10777659214</v>
      </c>
      <c r="F1115" s="103">
        <v>13303773763</v>
      </c>
      <c r="G1115" s="103">
        <v>1110537877</v>
      </c>
      <c r="H1115" s="105">
        <f t="shared" si="33"/>
        <v>33730326954</v>
      </c>
      <c r="I1115" s="103">
        <v>0</v>
      </c>
      <c r="J1115" s="109"/>
    </row>
    <row r="1116" spans="1:10">
      <c r="A1116" s="101" t="s">
        <v>59</v>
      </c>
      <c r="B1116" s="88" t="s">
        <v>252</v>
      </c>
      <c r="C1116" s="102">
        <v>2008</v>
      </c>
      <c r="D1116" s="103">
        <v>8891375084</v>
      </c>
      <c r="E1116" s="103">
        <v>14798276605</v>
      </c>
      <c r="F1116" s="103">
        <v>15717395126</v>
      </c>
      <c r="G1116" s="103">
        <v>1701438893</v>
      </c>
      <c r="H1116" s="105">
        <f t="shared" si="33"/>
        <v>41108485708</v>
      </c>
      <c r="I1116" s="103">
        <v>0</v>
      </c>
      <c r="J1116" s="109"/>
    </row>
    <row r="1117" spans="1:10">
      <c r="A1117" s="101" t="s">
        <v>59</v>
      </c>
      <c r="B1117" s="88" t="s">
        <v>252</v>
      </c>
      <c r="C1117" s="102">
        <v>2009</v>
      </c>
      <c r="D1117" s="103">
        <v>9136279389</v>
      </c>
      <c r="E1117" s="103">
        <v>12795184044</v>
      </c>
      <c r="F1117" s="103">
        <v>17059951581</v>
      </c>
      <c r="G1117" s="103">
        <v>882632693</v>
      </c>
      <c r="H1117" s="105">
        <f t="shared" si="33"/>
        <v>39874047707</v>
      </c>
      <c r="I1117" s="103">
        <v>0</v>
      </c>
      <c r="J1117" s="109"/>
    </row>
    <row r="1118" spans="1:10">
      <c r="A1118" s="101" t="s">
        <v>59</v>
      </c>
      <c r="B1118" s="88" t="s">
        <v>252</v>
      </c>
      <c r="C1118" s="102">
        <v>2010</v>
      </c>
      <c r="D1118" s="103">
        <v>9544372938</v>
      </c>
      <c r="E1118" s="103">
        <v>9912269203</v>
      </c>
      <c r="F1118" s="103">
        <v>17918052852</v>
      </c>
      <c r="G1118" s="103">
        <v>954446598</v>
      </c>
      <c r="H1118" s="105">
        <f t="shared" si="33"/>
        <v>38329141591</v>
      </c>
      <c r="I1118" s="103">
        <v>0</v>
      </c>
      <c r="J1118" s="109"/>
    </row>
    <row r="1119" spans="1:10">
      <c r="A1119" s="101" t="s">
        <v>59</v>
      </c>
      <c r="B1119" s="88" t="s">
        <v>252</v>
      </c>
      <c r="C1119" s="102">
        <v>2011</v>
      </c>
      <c r="D1119" s="103">
        <v>9479565517</v>
      </c>
      <c r="E1119" s="103">
        <v>9851073462</v>
      </c>
      <c r="F1119" s="103">
        <v>19322720141.060001</v>
      </c>
      <c r="G1119" s="103">
        <v>891791285</v>
      </c>
      <c r="H1119" s="105">
        <f t="shared" si="33"/>
        <v>39545150405.059998</v>
      </c>
      <c r="I1119" s="103">
        <v>0</v>
      </c>
      <c r="J1119" s="109"/>
    </row>
    <row r="1120" spans="1:10">
      <c r="A1120" s="101" t="s">
        <v>59</v>
      </c>
      <c r="B1120" s="88" t="s">
        <v>252</v>
      </c>
      <c r="C1120" s="102">
        <v>2012</v>
      </c>
      <c r="D1120" s="103">
        <v>9901794357</v>
      </c>
      <c r="E1120" s="103">
        <v>11873451449</v>
      </c>
      <c r="F1120" s="103">
        <v>19093858928</v>
      </c>
      <c r="G1120" s="103">
        <v>2294245562</v>
      </c>
      <c r="H1120" s="105">
        <f t="shared" si="33"/>
        <v>43163350296</v>
      </c>
      <c r="I1120" s="103">
        <v>0</v>
      </c>
      <c r="J1120" s="109"/>
    </row>
    <row r="1121" spans="1:10">
      <c r="A1121" s="101" t="s">
        <v>59</v>
      </c>
      <c r="B1121" s="88" t="s">
        <v>252</v>
      </c>
      <c r="C1121" s="102">
        <v>2013</v>
      </c>
      <c r="D1121" s="103">
        <v>9973283595</v>
      </c>
      <c r="E1121" s="103">
        <v>9345013476</v>
      </c>
      <c r="F1121" s="103">
        <v>18104957299</v>
      </c>
      <c r="G1121" s="103">
        <v>892088370</v>
      </c>
      <c r="H1121" s="105">
        <f t="shared" si="33"/>
        <v>38315342740</v>
      </c>
      <c r="I1121" s="103">
        <v>0</v>
      </c>
      <c r="J1121" s="109"/>
    </row>
    <row r="1122" spans="1:10">
      <c r="A1122" s="101" t="s">
        <v>59</v>
      </c>
      <c r="B1122" s="88" t="s">
        <v>252</v>
      </c>
      <c r="C1122" s="102">
        <v>2014</v>
      </c>
      <c r="D1122" s="103">
        <v>10073987164</v>
      </c>
      <c r="E1122" s="103">
        <v>10001285137</v>
      </c>
      <c r="F1122" s="103">
        <v>16824064778.09</v>
      </c>
      <c r="G1122" s="103">
        <v>2129188195</v>
      </c>
      <c r="H1122" s="105">
        <f t="shared" si="33"/>
        <v>39028525274.089996</v>
      </c>
      <c r="I1122" s="103">
        <v>0</v>
      </c>
      <c r="J1122" s="109"/>
    </row>
    <row r="1123" spans="1:10">
      <c r="A1123" s="101" t="s">
        <v>59</v>
      </c>
      <c r="B1123" s="88" t="s">
        <v>252</v>
      </c>
      <c r="C1123" s="102">
        <v>2015</v>
      </c>
      <c r="D1123" s="103">
        <v>10326932415</v>
      </c>
      <c r="E1123" s="103">
        <v>10201881234</v>
      </c>
      <c r="F1123" s="103">
        <v>8095019819</v>
      </c>
      <c r="G1123" s="103">
        <v>1446921940</v>
      </c>
      <c r="H1123" s="105">
        <f t="shared" si="33"/>
        <v>30070755408</v>
      </c>
      <c r="I1123" s="103">
        <v>0</v>
      </c>
      <c r="J1123" s="109"/>
    </row>
    <row r="1124" spans="1:10">
      <c r="A1124" s="101" t="s">
        <v>59</v>
      </c>
      <c r="B1124" s="88" t="s">
        <v>252</v>
      </c>
      <c r="C1124" s="102">
        <v>2016</v>
      </c>
      <c r="D1124" s="103">
        <v>10757891925</v>
      </c>
      <c r="E1124" s="103">
        <v>11323366528</v>
      </c>
      <c r="F1124" s="103">
        <v>8299220333</v>
      </c>
      <c r="G1124" s="103">
        <v>2026555358</v>
      </c>
      <c r="H1124" s="105">
        <f t="shared" si="33"/>
        <v>32407034144</v>
      </c>
      <c r="I1124" s="103">
        <v>0</v>
      </c>
      <c r="J1124" s="109"/>
    </row>
    <row r="1125" spans="1:10">
      <c r="A1125" s="101" t="s">
        <v>59</v>
      </c>
      <c r="B1125" s="88" t="s">
        <v>252</v>
      </c>
      <c r="C1125" s="102">
        <v>2017</v>
      </c>
      <c r="D1125" s="103">
        <v>10926246265</v>
      </c>
      <c r="E1125" s="103">
        <v>12234665227</v>
      </c>
      <c r="F1125" s="103">
        <v>8374680381</v>
      </c>
      <c r="G1125" s="103">
        <v>1878487204</v>
      </c>
      <c r="H1125" s="105">
        <f t="shared" si="33"/>
        <v>33414079077</v>
      </c>
      <c r="I1125" s="103">
        <v>0</v>
      </c>
      <c r="J1125" s="109"/>
    </row>
    <row r="1126" spans="1:10">
      <c r="A1126" s="101" t="s">
        <v>59</v>
      </c>
      <c r="B1126" s="88" t="s">
        <v>252</v>
      </c>
      <c r="C1126" s="102">
        <v>2018</v>
      </c>
      <c r="D1126" s="103">
        <v>11187783920</v>
      </c>
      <c r="E1126" s="103">
        <v>13567713949</v>
      </c>
      <c r="F1126" s="103">
        <v>8772216798</v>
      </c>
      <c r="G1126" s="103">
        <v>913431596</v>
      </c>
      <c r="H1126" s="105">
        <f t="shared" si="33"/>
        <v>34441146263</v>
      </c>
      <c r="I1126" s="103">
        <v>0</v>
      </c>
      <c r="J1126" s="109"/>
    </row>
    <row r="1127" spans="1:10">
      <c r="A1127" s="101" t="s">
        <v>59</v>
      </c>
      <c r="B1127" s="88" t="s">
        <v>252</v>
      </c>
      <c r="C1127" s="102">
        <v>2019</v>
      </c>
      <c r="D1127" s="103">
        <v>11563396227</v>
      </c>
      <c r="E1127" s="103">
        <v>12724965868</v>
      </c>
      <c r="F1127" s="103">
        <v>10751690504</v>
      </c>
      <c r="G1127" s="103">
        <v>1047454470</v>
      </c>
      <c r="H1127" s="105">
        <f t="shared" si="33"/>
        <v>36087507069</v>
      </c>
      <c r="I1127" s="103">
        <v>0</v>
      </c>
      <c r="J1127" s="109"/>
    </row>
    <row r="1128" spans="1:10">
      <c r="A1128" s="101" t="s">
        <v>59</v>
      </c>
      <c r="B1128" s="88" t="s">
        <v>252</v>
      </c>
      <c r="C1128" s="102">
        <v>2020</v>
      </c>
      <c r="D1128" s="103">
        <v>11303958757</v>
      </c>
      <c r="E1128" s="103">
        <v>14727333969</v>
      </c>
      <c r="F1128" s="103">
        <v>11199608630</v>
      </c>
      <c r="G1128" s="103">
        <v>1263180320</v>
      </c>
      <c r="H1128" s="105">
        <f t="shared" si="33"/>
        <v>38494081676</v>
      </c>
      <c r="I1128" s="103">
        <v>0</v>
      </c>
      <c r="J1128" s="109"/>
    </row>
    <row r="1129" spans="1:10">
      <c r="A1129" s="101"/>
      <c r="B1129" s="107"/>
      <c r="D1129" s="104"/>
      <c r="E1129" s="104"/>
      <c r="F1129" s="104"/>
      <c r="G1129" s="104"/>
      <c r="H1129" s="103"/>
      <c r="I1129" s="103"/>
      <c r="J1129" s="109"/>
    </row>
    <row r="1130" spans="1:10">
      <c r="A1130" s="101" t="s">
        <v>60</v>
      </c>
      <c r="B1130" s="88" t="s">
        <v>461</v>
      </c>
      <c r="C1130" s="102">
        <v>1988</v>
      </c>
      <c r="D1130" s="104">
        <v>1576211257</v>
      </c>
      <c r="E1130" s="104">
        <v>965244453</v>
      </c>
      <c r="F1130" s="104">
        <v>1169154078</v>
      </c>
      <c r="G1130" s="104">
        <v>297345235</v>
      </c>
      <c r="H1130" s="105">
        <f>SUM(D1130:G1130)</f>
        <v>4007955023</v>
      </c>
      <c r="I1130" s="103">
        <v>0</v>
      </c>
      <c r="J1130" s="109"/>
    </row>
    <row r="1131" spans="1:10">
      <c r="A1131" s="101" t="s">
        <v>60</v>
      </c>
      <c r="B1131" s="88" t="s">
        <v>461</v>
      </c>
      <c r="C1131" s="102">
        <v>1989</v>
      </c>
      <c r="D1131" s="104">
        <v>1623745015</v>
      </c>
      <c r="E1131" s="104">
        <v>999194134</v>
      </c>
      <c r="F1131" s="104">
        <v>1319275033</v>
      </c>
      <c r="G1131" s="104">
        <v>140253076</v>
      </c>
      <c r="H1131" s="105">
        <f t="shared" ref="H1131:H1162" si="34">SUM(D1131:G1131)</f>
        <v>4082467258</v>
      </c>
      <c r="I1131" s="103">
        <v>0</v>
      </c>
      <c r="J1131" s="109"/>
    </row>
    <row r="1132" spans="1:10">
      <c r="A1132" s="101" t="s">
        <v>60</v>
      </c>
      <c r="B1132" s="88" t="s">
        <v>461</v>
      </c>
      <c r="C1132" s="102">
        <v>1990</v>
      </c>
      <c r="D1132" s="104">
        <v>1822113981</v>
      </c>
      <c r="E1132" s="104">
        <v>1187538878.5999999</v>
      </c>
      <c r="F1132" s="104">
        <v>1457270393</v>
      </c>
      <c r="G1132" s="104">
        <v>161054913</v>
      </c>
      <c r="H1132" s="105">
        <f t="shared" si="34"/>
        <v>4627978165.6000004</v>
      </c>
      <c r="I1132" s="103">
        <v>0</v>
      </c>
      <c r="J1132" s="109"/>
    </row>
    <row r="1133" spans="1:10">
      <c r="A1133" s="101" t="s">
        <v>60</v>
      </c>
      <c r="B1133" s="88" t="s">
        <v>461</v>
      </c>
      <c r="C1133" s="102">
        <v>1991</v>
      </c>
      <c r="D1133" s="104">
        <v>1890224150</v>
      </c>
      <c r="E1133" s="104">
        <v>1009419304</v>
      </c>
      <c r="F1133" s="104">
        <v>1575306222</v>
      </c>
      <c r="G1133" s="104">
        <v>985271351</v>
      </c>
      <c r="H1133" s="105">
        <f t="shared" si="34"/>
        <v>5460221027</v>
      </c>
      <c r="I1133" s="103">
        <v>0</v>
      </c>
      <c r="J1133" s="109"/>
    </row>
    <row r="1134" spans="1:10">
      <c r="A1134" s="101" t="s">
        <v>60</v>
      </c>
      <c r="B1134" s="88" t="s">
        <v>461</v>
      </c>
      <c r="C1134" s="102">
        <v>1992</v>
      </c>
      <c r="D1134" s="104">
        <v>2005947831</v>
      </c>
      <c r="E1134" s="104">
        <v>1053287642.4</v>
      </c>
      <c r="F1134" s="104">
        <v>1674492275</v>
      </c>
      <c r="G1134" s="104">
        <v>646822015</v>
      </c>
      <c r="H1134" s="105">
        <f t="shared" si="34"/>
        <v>5380549763.3999996</v>
      </c>
      <c r="I1134" s="103">
        <v>0</v>
      </c>
      <c r="J1134" s="109"/>
    </row>
    <row r="1135" spans="1:10">
      <c r="A1135" s="101" t="s">
        <v>60</v>
      </c>
      <c r="B1135" s="88" t="s">
        <v>461</v>
      </c>
      <c r="C1135" s="102">
        <v>1993</v>
      </c>
      <c r="D1135" s="104">
        <v>2303511574</v>
      </c>
      <c r="E1135" s="104">
        <v>821679848</v>
      </c>
      <c r="F1135" s="104">
        <v>1821947289</v>
      </c>
      <c r="G1135" s="104">
        <v>757431262</v>
      </c>
      <c r="H1135" s="105">
        <f t="shared" si="34"/>
        <v>5704569973</v>
      </c>
      <c r="I1135" s="103">
        <v>0</v>
      </c>
      <c r="J1135" s="109"/>
    </row>
    <row r="1136" spans="1:10">
      <c r="A1136" s="101" t="s">
        <v>60</v>
      </c>
      <c r="B1136" s="88" t="s">
        <v>461</v>
      </c>
      <c r="C1136" s="102">
        <v>1994</v>
      </c>
      <c r="D1136" s="104">
        <v>2436915646</v>
      </c>
      <c r="E1136" s="104">
        <v>1203222295</v>
      </c>
      <c r="F1136" s="104">
        <v>1911502511</v>
      </c>
      <c r="G1136" s="104">
        <v>720045572</v>
      </c>
      <c r="H1136" s="105">
        <f t="shared" si="34"/>
        <v>6271686024</v>
      </c>
      <c r="I1136" s="103">
        <v>0</v>
      </c>
      <c r="J1136" s="109"/>
    </row>
    <row r="1137" spans="1:10">
      <c r="A1137" s="101" t="s">
        <v>60</v>
      </c>
      <c r="B1137" s="88" t="s">
        <v>461</v>
      </c>
      <c r="C1137" s="102">
        <v>1995</v>
      </c>
      <c r="D1137" s="104">
        <v>2534603476</v>
      </c>
      <c r="E1137" s="104">
        <v>1189509137</v>
      </c>
      <c r="F1137" s="104">
        <v>3010616221</v>
      </c>
      <c r="G1137" s="104">
        <v>626791461</v>
      </c>
      <c r="H1137" s="105">
        <f t="shared" si="34"/>
        <v>7361520295</v>
      </c>
      <c r="I1137" s="103">
        <v>0</v>
      </c>
      <c r="J1137" s="109"/>
    </row>
    <row r="1138" spans="1:10">
      <c r="A1138" s="101" t="s">
        <v>60</v>
      </c>
      <c r="B1138" s="88" t="s">
        <v>461</v>
      </c>
      <c r="C1138" s="102">
        <v>1996</v>
      </c>
      <c r="D1138" s="104">
        <v>2610371300</v>
      </c>
      <c r="E1138" s="104">
        <v>1024509545</v>
      </c>
      <c r="F1138" s="104">
        <v>3123139337</v>
      </c>
      <c r="G1138" s="104">
        <v>649527488</v>
      </c>
      <c r="H1138" s="105">
        <f t="shared" si="34"/>
        <v>7407547670</v>
      </c>
      <c r="I1138" s="103">
        <v>0</v>
      </c>
      <c r="J1138" s="109"/>
    </row>
    <row r="1139" spans="1:10">
      <c r="A1139" s="101" t="s">
        <v>60</v>
      </c>
      <c r="B1139" s="88" t="s">
        <v>461</v>
      </c>
      <c r="C1139" s="102">
        <v>1997</v>
      </c>
      <c r="D1139" s="104">
        <v>2549315599</v>
      </c>
      <c r="E1139" s="104">
        <v>1236750477</v>
      </c>
      <c r="F1139" s="104">
        <v>3295674983</v>
      </c>
      <c r="G1139" s="104">
        <v>579634800</v>
      </c>
      <c r="H1139" s="105">
        <f t="shared" si="34"/>
        <v>7661375859</v>
      </c>
      <c r="I1139" s="103">
        <v>0</v>
      </c>
      <c r="J1139" s="109"/>
    </row>
    <row r="1140" spans="1:10">
      <c r="A1140" s="101" t="s">
        <v>60</v>
      </c>
      <c r="B1140" s="88" t="s">
        <v>461</v>
      </c>
      <c r="C1140" s="102">
        <v>1998</v>
      </c>
      <c r="D1140" s="104">
        <v>3102840241</v>
      </c>
      <c r="E1140" s="104">
        <v>1300280894</v>
      </c>
      <c r="F1140" s="104">
        <v>3349075310</v>
      </c>
      <c r="G1140" s="104">
        <v>473111198</v>
      </c>
      <c r="H1140" s="105">
        <f t="shared" si="34"/>
        <v>8225307643</v>
      </c>
      <c r="I1140" s="103">
        <v>0</v>
      </c>
      <c r="J1140" s="109"/>
    </row>
    <row r="1141" spans="1:10">
      <c r="A1141" s="101" t="s">
        <v>60</v>
      </c>
      <c r="B1141" s="88" t="s">
        <v>461</v>
      </c>
      <c r="C1141" s="102">
        <v>1999</v>
      </c>
      <c r="D1141" s="104">
        <v>2696896497</v>
      </c>
      <c r="E1141" s="104">
        <v>1836633077</v>
      </c>
      <c r="F1141" s="104">
        <v>3649778320</v>
      </c>
      <c r="G1141" s="104">
        <v>891843054</v>
      </c>
      <c r="H1141" s="105">
        <f t="shared" si="34"/>
        <v>9075150948</v>
      </c>
      <c r="I1141" s="103">
        <v>0</v>
      </c>
      <c r="J1141" s="109"/>
    </row>
    <row r="1142" spans="1:10">
      <c r="A1142" s="101" t="s">
        <v>60</v>
      </c>
      <c r="B1142" s="88" t="s">
        <v>461</v>
      </c>
      <c r="C1142" s="102">
        <v>2000</v>
      </c>
      <c r="D1142" s="104">
        <v>3336683293</v>
      </c>
      <c r="E1142" s="104">
        <v>2053852555</v>
      </c>
      <c r="F1142" s="104">
        <v>4112063991</v>
      </c>
      <c r="G1142" s="104">
        <v>699776079</v>
      </c>
      <c r="H1142" s="105">
        <f t="shared" si="34"/>
        <v>10202375918</v>
      </c>
      <c r="I1142" s="103">
        <v>0</v>
      </c>
      <c r="J1142" s="109"/>
    </row>
    <row r="1143" spans="1:10">
      <c r="A1143" s="101" t="s">
        <v>60</v>
      </c>
      <c r="B1143" s="88" t="s">
        <v>461</v>
      </c>
      <c r="C1143" s="102">
        <v>2001</v>
      </c>
      <c r="D1143" s="104">
        <v>3045458927</v>
      </c>
      <c r="E1143" s="104">
        <v>2843495265</v>
      </c>
      <c r="F1143" s="104">
        <v>4317663762</v>
      </c>
      <c r="G1143" s="104">
        <v>492959828</v>
      </c>
      <c r="H1143" s="105">
        <f t="shared" si="34"/>
        <v>10699577782</v>
      </c>
      <c r="I1143" s="103">
        <v>0</v>
      </c>
      <c r="J1143" s="109"/>
    </row>
    <row r="1144" spans="1:10">
      <c r="A1144" s="101" t="s">
        <v>60</v>
      </c>
      <c r="B1144" s="88" t="s">
        <v>461</v>
      </c>
      <c r="C1144" s="102">
        <v>2002</v>
      </c>
      <c r="D1144" s="104">
        <v>3135939431</v>
      </c>
      <c r="E1144" s="104">
        <v>3979428122</v>
      </c>
      <c r="F1144" s="104">
        <v>4698009006</v>
      </c>
      <c r="G1144" s="104">
        <v>619625352</v>
      </c>
      <c r="H1144" s="105">
        <f t="shared" si="34"/>
        <v>12433001911</v>
      </c>
      <c r="I1144" s="103">
        <v>0</v>
      </c>
      <c r="J1144" s="109"/>
    </row>
    <row r="1145" spans="1:10">
      <c r="A1145" s="101" t="s">
        <v>60</v>
      </c>
      <c r="B1145" s="88" t="s">
        <v>461</v>
      </c>
      <c r="C1145" s="102">
        <v>2003</v>
      </c>
      <c r="D1145" s="106">
        <v>2983351816</v>
      </c>
      <c r="E1145" s="106">
        <v>3676818985</v>
      </c>
      <c r="F1145" s="106">
        <v>4905869805</v>
      </c>
      <c r="G1145" s="106">
        <v>430790322</v>
      </c>
      <c r="H1145" s="105">
        <f t="shared" si="34"/>
        <v>11996830928</v>
      </c>
      <c r="I1145" s="103">
        <v>0</v>
      </c>
      <c r="J1145" s="109"/>
    </row>
    <row r="1146" spans="1:10">
      <c r="A1146" s="101" t="s">
        <v>60</v>
      </c>
      <c r="B1146" s="88" t="s">
        <v>461</v>
      </c>
      <c r="C1146" s="102">
        <v>2004</v>
      </c>
      <c r="D1146" s="106">
        <v>3017296814</v>
      </c>
      <c r="E1146" s="106">
        <v>3145321138</v>
      </c>
      <c r="F1146" s="106">
        <v>5362292378</v>
      </c>
      <c r="G1146" s="106">
        <v>412138877</v>
      </c>
      <c r="H1146" s="105">
        <f t="shared" si="34"/>
        <v>11937049207</v>
      </c>
      <c r="I1146" s="103">
        <v>0</v>
      </c>
      <c r="J1146" s="109"/>
    </row>
    <row r="1147" spans="1:10">
      <c r="A1147" s="101" t="s">
        <v>60</v>
      </c>
      <c r="B1147" s="88" t="s">
        <v>461</v>
      </c>
      <c r="C1147" s="102">
        <v>2005</v>
      </c>
      <c r="D1147" s="106">
        <v>3115275303</v>
      </c>
      <c r="E1147" s="106">
        <v>3099911047</v>
      </c>
      <c r="F1147" s="106">
        <v>5884210882.1499901</v>
      </c>
      <c r="G1147" s="106">
        <v>817039712</v>
      </c>
      <c r="H1147" s="105">
        <f t="shared" si="34"/>
        <v>12916436944.14999</v>
      </c>
      <c r="I1147" s="103">
        <v>0</v>
      </c>
      <c r="J1147" s="109"/>
    </row>
    <row r="1148" spans="1:10">
      <c r="A1148" s="101" t="s">
        <v>60</v>
      </c>
      <c r="B1148" s="88" t="s">
        <v>461</v>
      </c>
      <c r="C1148" s="102">
        <v>2006</v>
      </c>
      <c r="D1148" s="103">
        <v>3370338158</v>
      </c>
      <c r="E1148" s="103">
        <v>3375914426</v>
      </c>
      <c r="F1148" s="103">
        <v>6752379642</v>
      </c>
      <c r="G1148" s="103">
        <v>442370847</v>
      </c>
      <c r="H1148" s="105">
        <f t="shared" si="34"/>
        <v>13941003073</v>
      </c>
      <c r="I1148" s="103">
        <v>0</v>
      </c>
      <c r="J1148" s="109"/>
    </row>
    <row r="1149" spans="1:10">
      <c r="A1149" s="101" t="s">
        <v>60</v>
      </c>
      <c r="B1149" s="88" t="s">
        <v>461</v>
      </c>
      <c r="C1149" s="102">
        <v>2007</v>
      </c>
      <c r="D1149" s="103">
        <v>3471950313</v>
      </c>
      <c r="E1149" s="103">
        <v>3430752748</v>
      </c>
      <c r="F1149" s="103">
        <v>7751883243</v>
      </c>
      <c r="G1149" s="103">
        <v>526667603</v>
      </c>
      <c r="H1149" s="105">
        <f t="shared" si="34"/>
        <v>15181253907</v>
      </c>
      <c r="I1149" s="103">
        <v>0</v>
      </c>
      <c r="J1149" s="109"/>
    </row>
    <row r="1150" spans="1:10">
      <c r="A1150" s="101" t="s">
        <v>60</v>
      </c>
      <c r="B1150" s="88" t="s">
        <v>461</v>
      </c>
      <c r="C1150" s="102">
        <v>2008</v>
      </c>
      <c r="D1150" s="103">
        <v>3578435894</v>
      </c>
      <c r="E1150" s="103">
        <v>4701898477</v>
      </c>
      <c r="F1150" s="103">
        <v>8283868055</v>
      </c>
      <c r="G1150" s="103">
        <v>642489200</v>
      </c>
      <c r="H1150" s="105">
        <f t="shared" si="34"/>
        <v>17206691626</v>
      </c>
      <c r="I1150" s="103">
        <v>0</v>
      </c>
      <c r="J1150" s="109"/>
    </row>
    <row r="1151" spans="1:10">
      <c r="A1151" s="101" t="s">
        <v>60</v>
      </c>
      <c r="B1151" s="88" t="s">
        <v>461</v>
      </c>
      <c r="C1151" s="102">
        <v>2009</v>
      </c>
      <c r="D1151" s="103">
        <v>3732635087</v>
      </c>
      <c r="E1151" s="103">
        <v>4671091867</v>
      </c>
      <c r="F1151" s="103">
        <v>8403625995</v>
      </c>
      <c r="G1151" s="103">
        <v>757020943</v>
      </c>
      <c r="H1151" s="105">
        <f t="shared" si="34"/>
        <v>17564373892</v>
      </c>
      <c r="I1151" s="103">
        <v>0</v>
      </c>
      <c r="J1151" s="109"/>
    </row>
    <row r="1152" spans="1:10">
      <c r="A1152" s="101" t="s">
        <v>60</v>
      </c>
      <c r="B1152" s="88" t="s">
        <v>461</v>
      </c>
      <c r="C1152" s="102">
        <v>2010</v>
      </c>
      <c r="D1152" s="103">
        <v>3941644362</v>
      </c>
      <c r="E1152" s="103">
        <v>3896747082</v>
      </c>
      <c r="F1152" s="103">
        <v>8847410340</v>
      </c>
      <c r="G1152" s="103">
        <v>522861618</v>
      </c>
      <c r="H1152" s="105">
        <f t="shared" si="34"/>
        <v>17208663402</v>
      </c>
      <c r="I1152" s="103">
        <v>0</v>
      </c>
      <c r="J1152" s="109"/>
    </row>
    <row r="1153" spans="1:11">
      <c r="A1153" s="101" t="s">
        <v>60</v>
      </c>
      <c r="B1153" s="88" t="s">
        <v>461</v>
      </c>
      <c r="C1153" s="102">
        <v>2011</v>
      </c>
      <c r="D1153" s="103">
        <v>4117051619</v>
      </c>
      <c r="E1153" s="103">
        <v>3809439687</v>
      </c>
      <c r="F1153" s="103">
        <v>8915135852.5100002</v>
      </c>
      <c r="G1153" s="103">
        <v>601777807</v>
      </c>
      <c r="H1153" s="105">
        <f t="shared" si="34"/>
        <v>17443404965.510002</v>
      </c>
      <c r="I1153" s="103">
        <v>0</v>
      </c>
      <c r="J1153" s="109"/>
    </row>
    <row r="1154" spans="1:11">
      <c r="A1154" s="101" t="s">
        <v>60</v>
      </c>
      <c r="B1154" s="88" t="s">
        <v>461</v>
      </c>
      <c r="C1154" s="102">
        <v>2012</v>
      </c>
      <c r="D1154" s="103">
        <v>4203464916</v>
      </c>
      <c r="E1154" s="103">
        <v>4254123065</v>
      </c>
      <c r="F1154" s="103">
        <v>9264707784</v>
      </c>
      <c r="G1154" s="103">
        <v>626185615</v>
      </c>
      <c r="H1154" s="105">
        <f t="shared" si="34"/>
        <v>18348481380</v>
      </c>
      <c r="I1154" s="103">
        <v>0</v>
      </c>
      <c r="J1154" s="109"/>
    </row>
    <row r="1155" spans="1:11">
      <c r="A1155" s="101" t="s">
        <v>60</v>
      </c>
      <c r="B1155" s="88" t="s">
        <v>461</v>
      </c>
      <c r="C1155" s="102">
        <v>2013</v>
      </c>
      <c r="D1155" s="103">
        <v>4107216595</v>
      </c>
      <c r="E1155" s="103">
        <v>4599872888</v>
      </c>
      <c r="F1155" s="103">
        <v>8166237292</v>
      </c>
      <c r="G1155" s="103">
        <v>582274089</v>
      </c>
      <c r="H1155" s="105">
        <f t="shared" si="34"/>
        <v>17455600864</v>
      </c>
      <c r="I1155" s="103">
        <v>0</v>
      </c>
      <c r="J1155" s="109"/>
    </row>
    <row r="1156" spans="1:11">
      <c r="A1156" s="101" t="s">
        <v>60</v>
      </c>
      <c r="B1156" s="88" t="s">
        <v>461</v>
      </c>
      <c r="C1156" s="102">
        <v>2014</v>
      </c>
      <c r="D1156" s="103">
        <v>4154424080</v>
      </c>
      <c r="E1156" s="103">
        <v>4440490624</v>
      </c>
      <c r="F1156" s="103">
        <v>9127098739.1599998</v>
      </c>
      <c r="G1156" s="103">
        <v>750616789</v>
      </c>
      <c r="H1156" s="105">
        <f t="shared" si="34"/>
        <v>18472630232.16</v>
      </c>
      <c r="I1156" s="103">
        <v>0</v>
      </c>
      <c r="J1156" s="109"/>
    </row>
    <row r="1157" spans="1:11">
      <c r="A1157" s="101" t="s">
        <v>60</v>
      </c>
      <c r="B1157" s="88" t="s">
        <v>461</v>
      </c>
      <c r="C1157" s="102">
        <v>2015</v>
      </c>
      <c r="D1157" s="103">
        <v>4325330231</v>
      </c>
      <c r="E1157" s="103">
        <v>4985448302</v>
      </c>
      <c r="F1157" s="103">
        <v>9399002542</v>
      </c>
      <c r="G1157" s="103">
        <v>604296142</v>
      </c>
      <c r="H1157" s="105">
        <f t="shared" si="34"/>
        <v>19314077217</v>
      </c>
      <c r="I1157" s="103">
        <v>0</v>
      </c>
      <c r="J1157" s="109"/>
    </row>
    <row r="1158" spans="1:11">
      <c r="A1158" s="101" t="s">
        <v>60</v>
      </c>
      <c r="B1158" s="88" t="s">
        <v>461</v>
      </c>
      <c r="C1158" s="102">
        <v>2016</v>
      </c>
      <c r="D1158" s="103">
        <v>4469531709</v>
      </c>
      <c r="E1158" s="103">
        <v>5357752938</v>
      </c>
      <c r="F1158" s="103">
        <v>9409901862</v>
      </c>
      <c r="G1158" s="103">
        <v>862608231</v>
      </c>
      <c r="H1158" s="105">
        <f t="shared" si="34"/>
        <v>20099794740</v>
      </c>
      <c r="I1158" s="103">
        <v>0</v>
      </c>
      <c r="J1158" s="109"/>
    </row>
    <row r="1159" spans="1:11">
      <c r="A1159" s="101" t="s">
        <v>60</v>
      </c>
      <c r="B1159" s="88" t="s">
        <v>461</v>
      </c>
      <c r="C1159" s="102">
        <v>2017</v>
      </c>
      <c r="D1159" s="103">
        <v>4714555372</v>
      </c>
      <c r="E1159" s="103">
        <v>5723207601</v>
      </c>
      <c r="F1159" s="103">
        <v>11501098601.540001</v>
      </c>
      <c r="G1159" s="103">
        <v>510956399</v>
      </c>
      <c r="H1159" s="105">
        <f t="shared" si="34"/>
        <v>22449817973.540001</v>
      </c>
      <c r="I1159" s="103">
        <v>0</v>
      </c>
      <c r="J1159" s="109"/>
    </row>
    <row r="1160" spans="1:11">
      <c r="A1160" s="101" t="s">
        <v>60</v>
      </c>
      <c r="B1160" s="88" t="s">
        <v>461</v>
      </c>
      <c r="C1160" s="102">
        <v>2018</v>
      </c>
      <c r="D1160" s="103">
        <v>4661514622</v>
      </c>
      <c r="E1160" s="103">
        <v>6397994310</v>
      </c>
      <c r="F1160" s="103">
        <v>12778783116.1</v>
      </c>
      <c r="G1160" s="103">
        <v>599230820</v>
      </c>
      <c r="H1160" s="105">
        <f t="shared" si="34"/>
        <v>24437522868.099998</v>
      </c>
      <c r="I1160" s="103">
        <v>0</v>
      </c>
      <c r="J1160" s="109" t="s">
        <v>679</v>
      </c>
      <c r="K1160" s="52" t="s">
        <v>677</v>
      </c>
    </row>
    <row r="1161" spans="1:11">
      <c r="A1161" s="101" t="s">
        <v>60</v>
      </c>
      <c r="B1161" s="88" t="s">
        <v>461</v>
      </c>
      <c r="C1161" s="102">
        <v>2019</v>
      </c>
      <c r="D1161" s="103">
        <v>4851453359</v>
      </c>
      <c r="E1161" s="103">
        <v>7455723301</v>
      </c>
      <c r="F1161" s="103">
        <v>12802370171.619101</v>
      </c>
      <c r="G1161" s="103">
        <v>259243525</v>
      </c>
      <c r="H1161" s="105">
        <f t="shared" si="34"/>
        <v>25368790356.619102</v>
      </c>
      <c r="I1161" s="103">
        <v>32841798</v>
      </c>
      <c r="J1161" s="109" t="s">
        <v>678</v>
      </c>
    </row>
    <row r="1162" spans="1:11">
      <c r="A1162" s="101" t="s">
        <v>60</v>
      </c>
      <c r="B1162" s="88" t="s">
        <v>461</v>
      </c>
      <c r="C1162" s="102">
        <v>2020</v>
      </c>
      <c r="D1162" s="103">
        <v>4944062712</v>
      </c>
      <c r="E1162" s="103">
        <v>7015864715</v>
      </c>
      <c r="F1162" s="103">
        <v>12535962612</v>
      </c>
      <c r="G1162" s="103">
        <v>340475874</v>
      </c>
      <c r="H1162" s="105">
        <f t="shared" si="34"/>
        <v>24836365913</v>
      </c>
      <c r="I1162" s="103">
        <v>33535968</v>
      </c>
      <c r="J1162" s="109" t="s">
        <v>678</v>
      </c>
    </row>
    <row r="1163" spans="1:11" ht="77.25" customHeight="1">
      <c r="A1163" s="101"/>
      <c r="B1163" s="150" t="s">
        <v>702</v>
      </c>
      <c r="C1163" s="150"/>
      <c r="D1163" s="150"/>
      <c r="E1163" s="150"/>
      <c r="F1163" s="150"/>
      <c r="G1163" s="150"/>
      <c r="H1163" s="150"/>
      <c r="I1163" s="150"/>
      <c r="J1163" s="109"/>
    </row>
    <row r="1164" spans="1:11">
      <c r="A1164" s="101"/>
      <c r="B1164" s="107"/>
      <c r="D1164" s="104"/>
      <c r="E1164" s="104"/>
      <c r="F1164" s="104"/>
      <c r="G1164" s="104"/>
      <c r="H1164" s="103"/>
      <c r="I1164" s="103"/>
    </row>
    <row r="1165" spans="1:11">
      <c r="A1165" s="101" t="s">
        <v>61</v>
      </c>
      <c r="B1165" s="88" t="s">
        <v>703</v>
      </c>
      <c r="C1165" s="102">
        <v>1988</v>
      </c>
      <c r="D1165" s="104">
        <v>149101958</v>
      </c>
      <c r="E1165" s="104">
        <v>150864610</v>
      </c>
      <c r="F1165" s="104">
        <v>117708329</v>
      </c>
      <c r="G1165" s="104">
        <v>20081033</v>
      </c>
      <c r="H1165" s="105">
        <f>SUM(D1165:G1165)</f>
        <v>437755930</v>
      </c>
      <c r="I1165" s="103">
        <v>0</v>
      </c>
    </row>
    <row r="1166" spans="1:11">
      <c r="A1166" s="101" t="s">
        <v>61</v>
      </c>
      <c r="B1166" s="88" t="s">
        <v>703</v>
      </c>
      <c r="C1166" s="102">
        <v>1989</v>
      </c>
      <c r="D1166" s="104">
        <v>147961050</v>
      </c>
      <c r="E1166" s="104">
        <v>144092600</v>
      </c>
      <c r="F1166" s="104">
        <v>118596232</v>
      </c>
      <c r="G1166" s="104">
        <v>23499885</v>
      </c>
      <c r="H1166" s="105">
        <f t="shared" ref="H1166:H1197" si="35">SUM(D1166:G1166)</f>
        <v>434149767</v>
      </c>
      <c r="I1166" s="103">
        <v>0</v>
      </c>
    </row>
    <row r="1167" spans="1:11">
      <c r="A1167" s="101" t="s">
        <v>61</v>
      </c>
      <c r="B1167" s="88" t="s">
        <v>703</v>
      </c>
      <c r="C1167" s="102">
        <v>1990</v>
      </c>
      <c r="D1167" s="104">
        <v>142834709</v>
      </c>
      <c r="E1167" s="104">
        <v>173952838.72</v>
      </c>
      <c r="F1167" s="104">
        <v>125638553</v>
      </c>
      <c r="G1167" s="104">
        <v>21249321</v>
      </c>
      <c r="H1167" s="105">
        <f t="shared" si="35"/>
        <v>463675421.72000003</v>
      </c>
      <c r="I1167" s="103">
        <v>0</v>
      </c>
    </row>
    <row r="1168" spans="1:11">
      <c r="A1168" s="101" t="s">
        <v>61</v>
      </c>
      <c r="B1168" s="88" t="s">
        <v>703</v>
      </c>
      <c r="C1168" s="102">
        <v>1991</v>
      </c>
      <c r="D1168" s="104">
        <v>137922363</v>
      </c>
      <c r="E1168" s="104">
        <v>150360104</v>
      </c>
      <c r="F1168" s="104">
        <v>439549120</v>
      </c>
      <c r="G1168" s="104">
        <v>30874468</v>
      </c>
      <c r="H1168" s="105">
        <f t="shared" si="35"/>
        <v>758706055</v>
      </c>
      <c r="I1168" s="103">
        <v>0</v>
      </c>
    </row>
    <row r="1169" spans="1:10">
      <c r="A1169" s="101" t="s">
        <v>61</v>
      </c>
      <c r="B1169" s="88" t="s">
        <v>703</v>
      </c>
      <c r="C1169" s="102">
        <v>1992</v>
      </c>
      <c r="D1169" s="104">
        <v>152556667</v>
      </c>
      <c r="E1169" s="104">
        <v>137468722.75999999</v>
      </c>
      <c r="F1169" s="104">
        <v>427971629</v>
      </c>
      <c r="G1169" s="104">
        <v>23033145</v>
      </c>
      <c r="H1169" s="105">
        <f t="shared" si="35"/>
        <v>741030163.75999999</v>
      </c>
      <c r="I1169" s="103">
        <v>0</v>
      </c>
    </row>
    <row r="1170" spans="1:10">
      <c r="A1170" s="101" t="s">
        <v>61</v>
      </c>
      <c r="B1170" s="88" t="s">
        <v>703</v>
      </c>
      <c r="C1170" s="102">
        <v>1993</v>
      </c>
      <c r="D1170" s="104">
        <v>150416311</v>
      </c>
      <c r="E1170" s="104">
        <v>131286055</v>
      </c>
      <c r="F1170" s="104">
        <v>431716028</v>
      </c>
      <c r="G1170" s="104">
        <v>30785124</v>
      </c>
      <c r="H1170" s="105">
        <f t="shared" si="35"/>
        <v>744203518</v>
      </c>
      <c r="I1170" s="103">
        <v>0</v>
      </c>
    </row>
    <row r="1171" spans="1:10">
      <c r="A1171" s="101" t="s">
        <v>61</v>
      </c>
      <c r="B1171" s="88" t="s">
        <v>703</v>
      </c>
      <c r="C1171" s="102">
        <v>1994</v>
      </c>
      <c r="D1171" s="104">
        <v>166905606</v>
      </c>
      <c r="E1171" s="104">
        <v>186484399</v>
      </c>
      <c r="F1171" s="104">
        <v>417967802</v>
      </c>
      <c r="G1171" s="104">
        <v>37601911</v>
      </c>
      <c r="H1171" s="105">
        <f t="shared" si="35"/>
        <v>808959718</v>
      </c>
      <c r="I1171" s="103">
        <v>0</v>
      </c>
    </row>
    <row r="1172" spans="1:10">
      <c r="A1172" s="101" t="s">
        <v>61</v>
      </c>
      <c r="B1172" s="88" t="s">
        <v>703</v>
      </c>
      <c r="C1172" s="102">
        <v>1995</v>
      </c>
      <c r="D1172" s="104">
        <v>177236172</v>
      </c>
      <c r="E1172" s="104">
        <v>169084571</v>
      </c>
      <c r="F1172" s="104">
        <v>491480586</v>
      </c>
      <c r="G1172" s="104">
        <v>40178860</v>
      </c>
      <c r="H1172" s="105">
        <f t="shared" si="35"/>
        <v>877980189</v>
      </c>
      <c r="I1172" s="103">
        <v>0</v>
      </c>
    </row>
    <row r="1173" spans="1:10">
      <c r="A1173" s="101" t="s">
        <v>61</v>
      </c>
      <c r="B1173" s="88" t="s">
        <v>703</v>
      </c>
      <c r="C1173" s="102">
        <v>1996</v>
      </c>
      <c r="D1173" s="104">
        <v>187428957</v>
      </c>
      <c r="E1173" s="104">
        <v>115781794</v>
      </c>
      <c r="F1173" s="104">
        <v>500364417</v>
      </c>
      <c r="G1173" s="104">
        <v>25722770</v>
      </c>
      <c r="H1173" s="105">
        <f t="shared" si="35"/>
        <v>829297938</v>
      </c>
      <c r="I1173" s="103">
        <v>0</v>
      </c>
    </row>
    <row r="1174" spans="1:10">
      <c r="A1174" s="101" t="s">
        <v>61</v>
      </c>
      <c r="B1174" s="88" t="s">
        <v>703</v>
      </c>
      <c r="C1174" s="102">
        <v>1997</v>
      </c>
      <c r="D1174" s="104">
        <v>172230258</v>
      </c>
      <c r="E1174" s="104">
        <v>129491597</v>
      </c>
      <c r="F1174" s="104">
        <v>526107462</v>
      </c>
      <c r="G1174" s="104">
        <v>23451593</v>
      </c>
      <c r="H1174" s="105">
        <f t="shared" si="35"/>
        <v>851280910</v>
      </c>
      <c r="I1174" s="103">
        <v>0</v>
      </c>
    </row>
    <row r="1175" spans="1:10">
      <c r="A1175" s="101" t="s">
        <v>61</v>
      </c>
      <c r="B1175" s="88" t="s">
        <v>703</v>
      </c>
      <c r="C1175" s="102">
        <v>1998</v>
      </c>
      <c r="D1175" s="104">
        <v>173984219</v>
      </c>
      <c r="E1175" s="104">
        <v>126063852</v>
      </c>
      <c r="F1175" s="104">
        <v>539861490</v>
      </c>
      <c r="G1175" s="104">
        <v>26800511</v>
      </c>
      <c r="H1175" s="105">
        <f t="shared" si="35"/>
        <v>866710072</v>
      </c>
      <c r="I1175" s="103">
        <v>0</v>
      </c>
    </row>
    <row r="1176" spans="1:10">
      <c r="A1176" s="101" t="s">
        <v>61</v>
      </c>
      <c r="B1176" s="88" t="s">
        <v>703</v>
      </c>
      <c r="C1176" s="102">
        <v>1999</v>
      </c>
      <c r="D1176" s="104">
        <v>179281481</v>
      </c>
      <c r="E1176" s="104">
        <v>166910886</v>
      </c>
      <c r="F1176" s="104">
        <v>575402233</v>
      </c>
      <c r="G1176" s="104">
        <v>14751927</v>
      </c>
      <c r="H1176" s="105">
        <f t="shared" si="35"/>
        <v>936346527</v>
      </c>
      <c r="I1176" s="103">
        <v>964766</v>
      </c>
      <c r="J1176" s="52" t="s">
        <v>675</v>
      </c>
    </row>
    <row r="1177" spans="1:10">
      <c r="A1177" s="101" t="s">
        <v>61</v>
      </c>
      <c r="B1177" s="88" t="s">
        <v>703</v>
      </c>
      <c r="C1177" s="102">
        <v>2000</v>
      </c>
      <c r="D1177" s="104">
        <v>170778946</v>
      </c>
      <c r="E1177" s="104">
        <v>186989723</v>
      </c>
      <c r="F1177" s="104">
        <v>613396859</v>
      </c>
      <c r="G1177" s="104">
        <v>5592101</v>
      </c>
      <c r="H1177" s="105">
        <f t="shared" si="35"/>
        <v>976757629</v>
      </c>
      <c r="I1177" s="103">
        <v>992413</v>
      </c>
      <c r="J1177" s="52" t="s">
        <v>675</v>
      </c>
    </row>
    <row r="1178" spans="1:10">
      <c r="A1178" s="101" t="s">
        <v>61</v>
      </c>
      <c r="B1178" s="88" t="s">
        <v>703</v>
      </c>
      <c r="C1178" s="102">
        <v>2001</v>
      </c>
      <c r="D1178" s="104">
        <v>167726029</v>
      </c>
      <c r="E1178" s="104">
        <v>237276819</v>
      </c>
      <c r="F1178" s="104">
        <v>667558395</v>
      </c>
      <c r="G1178" s="104">
        <v>5084432</v>
      </c>
      <c r="H1178" s="105">
        <f t="shared" si="35"/>
        <v>1077645675</v>
      </c>
      <c r="I1178" s="103">
        <v>1868793</v>
      </c>
      <c r="J1178" s="52" t="s">
        <v>675</v>
      </c>
    </row>
    <row r="1179" spans="1:10">
      <c r="A1179" s="101" t="s">
        <v>61</v>
      </c>
      <c r="B1179" s="88" t="s">
        <v>703</v>
      </c>
      <c r="C1179" s="102">
        <v>2002</v>
      </c>
      <c r="D1179" s="104">
        <v>179993108</v>
      </c>
      <c r="E1179" s="104">
        <v>298409254</v>
      </c>
      <c r="F1179" s="104">
        <v>718328407</v>
      </c>
      <c r="G1179" s="104">
        <v>4391859</v>
      </c>
      <c r="H1179" s="105">
        <f t="shared" si="35"/>
        <v>1201122628</v>
      </c>
      <c r="I1179" s="103">
        <v>1319154</v>
      </c>
      <c r="J1179" s="52" t="s">
        <v>675</v>
      </c>
    </row>
    <row r="1180" spans="1:10">
      <c r="A1180" s="101" t="s">
        <v>61</v>
      </c>
      <c r="B1180" s="88" t="s">
        <v>703</v>
      </c>
      <c r="C1180" s="102">
        <v>2003</v>
      </c>
      <c r="D1180" s="106">
        <v>199940786</v>
      </c>
      <c r="E1180" s="106">
        <v>214983939</v>
      </c>
      <c r="F1180" s="106">
        <v>752551816</v>
      </c>
      <c r="G1180" s="106">
        <v>8927860</v>
      </c>
      <c r="H1180" s="105">
        <f t="shared" si="35"/>
        <v>1176404401</v>
      </c>
      <c r="I1180" s="103">
        <v>2425038</v>
      </c>
      <c r="J1180" s="52" t="s">
        <v>675</v>
      </c>
    </row>
    <row r="1181" spans="1:10">
      <c r="A1181" s="101" t="s">
        <v>61</v>
      </c>
      <c r="B1181" s="88" t="s">
        <v>703</v>
      </c>
      <c r="C1181" s="102">
        <v>2004</v>
      </c>
      <c r="D1181" s="106">
        <v>190420415</v>
      </c>
      <c r="E1181" s="106">
        <v>246554585</v>
      </c>
      <c r="F1181" s="106">
        <v>747293199</v>
      </c>
      <c r="G1181" s="106">
        <v>7477913</v>
      </c>
      <c r="H1181" s="105">
        <f t="shared" si="35"/>
        <v>1191746112</v>
      </c>
      <c r="I1181" s="103">
        <v>2945300</v>
      </c>
      <c r="J1181" s="52" t="s">
        <v>675</v>
      </c>
    </row>
    <row r="1182" spans="1:10" ht="13.5" customHeight="1">
      <c r="A1182" s="101" t="s">
        <v>61</v>
      </c>
      <c r="B1182" s="88" t="s">
        <v>703</v>
      </c>
      <c r="C1182" s="102">
        <v>2005</v>
      </c>
      <c r="D1182" s="106">
        <v>204700170</v>
      </c>
      <c r="E1182" s="106">
        <v>232238540</v>
      </c>
      <c r="F1182" s="106">
        <v>795945941</v>
      </c>
      <c r="G1182" s="106">
        <v>9976482</v>
      </c>
      <c r="H1182" s="105">
        <f t="shared" si="35"/>
        <v>1242861133</v>
      </c>
      <c r="I1182" s="103">
        <v>2021166</v>
      </c>
      <c r="J1182" s="52" t="s">
        <v>675</v>
      </c>
    </row>
    <row r="1183" spans="1:10" ht="13.5" customHeight="1">
      <c r="A1183" s="101" t="s">
        <v>61</v>
      </c>
      <c r="B1183" s="88" t="s">
        <v>703</v>
      </c>
      <c r="C1183" s="102">
        <v>2006</v>
      </c>
      <c r="D1183" s="103">
        <v>209507628</v>
      </c>
      <c r="E1183" s="103">
        <v>280702791</v>
      </c>
      <c r="F1183" s="103">
        <v>888908754</v>
      </c>
      <c r="G1183" s="104">
        <v>-2529673</v>
      </c>
      <c r="H1183" s="105">
        <f t="shared" si="35"/>
        <v>1376589500</v>
      </c>
      <c r="I1183" s="103">
        <v>2159080</v>
      </c>
      <c r="J1183" s="52" t="s">
        <v>675</v>
      </c>
    </row>
    <row r="1184" spans="1:10" ht="13.5" customHeight="1">
      <c r="A1184" s="101" t="s">
        <v>61</v>
      </c>
      <c r="B1184" s="88" t="s">
        <v>703</v>
      </c>
      <c r="C1184" s="102">
        <v>2007</v>
      </c>
      <c r="D1184" s="103">
        <v>225711099</v>
      </c>
      <c r="E1184" s="103">
        <v>298272097</v>
      </c>
      <c r="F1184" s="103">
        <v>928023397</v>
      </c>
      <c r="G1184" s="103">
        <v>3487589</v>
      </c>
      <c r="H1184" s="105">
        <f t="shared" si="35"/>
        <v>1455494182</v>
      </c>
      <c r="I1184" s="103">
        <v>2347150</v>
      </c>
      <c r="J1184" s="52" t="s">
        <v>675</v>
      </c>
    </row>
    <row r="1185" spans="1:11" ht="13.5" customHeight="1">
      <c r="A1185" s="101" t="s">
        <v>61</v>
      </c>
      <c r="B1185" s="88" t="s">
        <v>703</v>
      </c>
      <c r="C1185" s="102">
        <v>2008</v>
      </c>
      <c r="D1185" s="103">
        <v>236636267</v>
      </c>
      <c r="E1185" s="103">
        <v>374229774</v>
      </c>
      <c r="F1185" s="103">
        <v>981971991</v>
      </c>
      <c r="G1185" s="103">
        <v>16014912</v>
      </c>
      <c r="H1185" s="105">
        <f t="shared" si="35"/>
        <v>1608852944</v>
      </c>
      <c r="I1185" s="103">
        <v>3311260</v>
      </c>
      <c r="J1185" s="52" t="s">
        <v>675</v>
      </c>
    </row>
    <row r="1186" spans="1:11" ht="13.5" customHeight="1">
      <c r="A1186" s="101" t="s">
        <v>61</v>
      </c>
      <c r="B1186" s="88" t="s">
        <v>703</v>
      </c>
      <c r="C1186" s="102">
        <v>2009</v>
      </c>
      <c r="D1186" s="103">
        <v>263368693</v>
      </c>
      <c r="E1186" s="103">
        <v>351655949</v>
      </c>
      <c r="F1186" s="103">
        <v>1034529270</v>
      </c>
      <c r="G1186" s="103">
        <v>12071423</v>
      </c>
      <c r="H1186" s="105">
        <f t="shared" si="35"/>
        <v>1661625335</v>
      </c>
      <c r="I1186" s="103">
        <v>2832478</v>
      </c>
      <c r="J1186" s="52" t="s">
        <v>675</v>
      </c>
    </row>
    <row r="1187" spans="1:11" ht="13.5" customHeight="1">
      <c r="A1187" s="101" t="s">
        <v>61</v>
      </c>
      <c r="B1187" s="88" t="s">
        <v>703</v>
      </c>
      <c r="C1187" s="102">
        <v>2010</v>
      </c>
      <c r="D1187" s="103">
        <v>290074904</v>
      </c>
      <c r="E1187" s="103">
        <v>341671299</v>
      </c>
      <c r="F1187" s="103">
        <v>1134430726</v>
      </c>
      <c r="G1187" s="103">
        <v>4889188</v>
      </c>
      <c r="H1187" s="105">
        <f t="shared" si="35"/>
        <v>1771066117</v>
      </c>
      <c r="I1187" s="103">
        <v>2590819</v>
      </c>
      <c r="J1187" s="52" t="s">
        <v>675</v>
      </c>
    </row>
    <row r="1188" spans="1:11" ht="13.5" customHeight="1">
      <c r="A1188" s="101" t="s">
        <v>61</v>
      </c>
      <c r="B1188" s="88" t="s">
        <v>703</v>
      </c>
      <c r="C1188" s="102">
        <v>2011</v>
      </c>
      <c r="D1188" s="103">
        <v>303487585</v>
      </c>
      <c r="E1188" s="103">
        <v>353538961</v>
      </c>
      <c r="F1188" s="103">
        <v>1236899852</v>
      </c>
      <c r="G1188" s="103">
        <v>7679570</v>
      </c>
      <c r="H1188" s="105">
        <f t="shared" si="35"/>
        <v>1901605968</v>
      </c>
      <c r="I1188" s="103">
        <v>3964662</v>
      </c>
      <c r="J1188" s="52" t="s">
        <v>675</v>
      </c>
    </row>
    <row r="1189" spans="1:11" ht="13.5" customHeight="1">
      <c r="A1189" s="101" t="s">
        <v>61</v>
      </c>
      <c r="B1189" s="88" t="s">
        <v>703</v>
      </c>
      <c r="C1189" s="102">
        <v>2012</v>
      </c>
      <c r="D1189" s="103">
        <v>325718251</v>
      </c>
      <c r="E1189" s="103">
        <v>359108037</v>
      </c>
      <c r="F1189" s="103">
        <v>1337121150</v>
      </c>
      <c r="G1189" s="103">
        <v>17652954</v>
      </c>
      <c r="H1189" s="105">
        <f t="shared" si="35"/>
        <v>2039600392</v>
      </c>
      <c r="I1189" s="103">
        <v>4207254</v>
      </c>
      <c r="J1189" s="52" t="s">
        <v>675</v>
      </c>
    </row>
    <row r="1190" spans="1:11" ht="13.5" customHeight="1">
      <c r="A1190" s="101" t="s">
        <v>61</v>
      </c>
      <c r="B1190" s="88" t="s">
        <v>703</v>
      </c>
      <c r="C1190" s="102">
        <v>2013</v>
      </c>
      <c r="D1190" s="103">
        <v>331248624</v>
      </c>
      <c r="E1190" s="103">
        <v>379362436</v>
      </c>
      <c r="F1190" s="103">
        <v>1354458128</v>
      </c>
      <c r="G1190" s="103">
        <v>27623124</v>
      </c>
      <c r="H1190" s="105">
        <f t="shared" si="35"/>
        <v>2092692312</v>
      </c>
      <c r="I1190" s="103">
        <v>3639153</v>
      </c>
      <c r="J1190" s="52" t="s">
        <v>675</v>
      </c>
    </row>
    <row r="1191" spans="1:11" ht="13.5" customHeight="1">
      <c r="A1191" s="101" t="s">
        <v>61</v>
      </c>
      <c r="B1191" s="88" t="s">
        <v>703</v>
      </c>
      <c r="C1191" s="102">
        <v>2014</v>
      </c>
      <c r="D1191" s="103">
        <v>348502956</v>
      </c>
      <c r="E1191" s="103">
        <v>490488034</v>
      </c>
      <c r="F1191" s="103">
        <v>1470327677</v>
      </c>
      <c r="G1191" s="103">
        <v>15160902</v>
      </c>
      <c r="H1191" s="105">
        <f t="shared" si="35"/>
        <v>2324479569</v>
      </c>
      <c r="I1191" s="103">
        <v>18580680</v>
      </c>
      <c r="J1191" s="52" t="s">
        <v>675</v>
      </c>
    </row>
    <row r="1192" spans="1:11" ht="13.5" customHeight="1">
      <c r="A1192" s="101" t="s">
        <v>61</v>
      </c>
      <c r="B1192" s="88" t="s">
        <v>703</v>
      </c>
      <c r="C1192" s="102">
        <v>2015</v>
      </c>
      <c r="D1192" s="103">
        <v>384625284</v>
      </c>
      <c r="E1192" s="103">
        <v>458393922</v>
      </c>
      <c r="F1192" s="103">
        <v>1434911821</v>
      </c>
      <c r="G1192" s="103">
        <v>14741838</v>
      </c>
      <c r="H1192" s="105">
        <f t="shared" si="35"/>
        <v>2292672865</v>
      </c>
      <c r="I1192" s="103">
        <v>13162508</v>
      </c>
      <c r="J1192" s="52" t="s">
        <v>675</v>
      </c>
    </row>
    <row r="1193" spans="1:11" ht="13.5" customHeight="1">
      <c r="A1193" s="101" t="s">
        <v>61</v>
      </c>
      <c r="B1193" s="88" t="s">
        <v>703</v>
      </c>
      <c r="C1193" s="102">
        <v>2016</v>
      </c>
      <c r="D1193" s="103">
        <v>379667300</v>
      </c>
      <c r="E1193" s="103">
        <v>535586933</v>
      </c>
      <c r="F1193" s="103">
        <v>1283972956</v>
      </c>
      <c r="G1193" s="103">
        <v>5866094</v>
      </c>
      <c r="H1193" s="105">
        <f t="shared" si="35"/>
        <v>2205093283</v>
      </c>
      <c r="I1193" s="103">
        <v>6036180</v>
      </c>
      <c r="J1193" s="52" t="s">
        <v>675</v>
      </c>
    </row>
    <row r="1194" spans="1:11" ht="13.5" customHeight="1">
      <c r="A1194" s="101" t="s">
        <v>61</v>
      </c>
      <c r="B1194" s="88" t="s">
        <v>703</v>
      </c>
      <c r="C1194" s="102">
        <v>2017</v>
      </c>
      <c r="D1194" s="103">
        <v>389707230</v>
      </c>
      <c r="E1194" s="103">
        <v>482344334</v>
      </c>
      <c r="F1194" s="103">
        <v>1320736226</v>
      </c>
      <c r="G1194" s="103">
        <v>5833643</v>
      </c>
      <c r="H1194" s="105">
        <f t="shared" si="35"/>
        <v>2198621433</v>
      </c>
      <c r="I1194" s="103">
        <v>6258699</v>
      </c>
      <c r="J1194" s="52" t="s">
        <v>675</v>
      </c>
    </row>
    <row r="1195" spans="1:11" ht="13.5" customHeight="1">
      <c r="A1195" s="101" t="s">
        <v>61</v>
      </c>
      <c r="B1195" s="88" t="s">
        <v>703</v>
      </c>
      <c r="C1195" s="102">
        <v>2018</v>
      </c>
      <c r="D1195" s="103">
        <v>395998988</v>
      </c>
      <c r="E1195" s="103">
        <v>636299135</v>
      </c>
      <c r="F1195" s="103">
        <v>1673433674</v>
      </c>
      <c r="G1195" s="103">
        <v>13317746</v>
      </c>
      <c r="H1195" s="105">
        <f t="shared" si="35"/>
        <v>2719049543</v>
      </c>
      <c r="I1195" s="103">
        <v>6217491</v>
      </c>
      <c r="J1195" s="52" t="s">
        <v>675</v>
      </c>
    </row>
    <row r="1196" spans="1:11" ht="13.5" customHeight="1">
      <c r="A1196" s="101" t="s">
        <v>61</v>
      </c>
      <c r="B1196" s="88" t="s">
        <v>703</v>
      </c>
      <c r="C1196" s="102">
        <v>2019</v>
      </c>
      <c r="D1196" s="103">
        <v>408918767</v>
      </c>
      <c r="E1196" s="103">
        <v>590678577</v>
      </c>
      <c r="F1196" s="103">
        <v>1885178424.02</v>
      </c>
      <c r="G1196" s="104">
        <v>-2854846</v>
      </c>
      <c r="H1196" s="105">
        <f t="shared" si="35"/>
        <v>2881920922.02</v>
      </c>
      <c r="I1196" s="103">
        <v>21176428</v>
      </c>
      <c r="J1196" s="111" t="s">
        <v>681</v>
      </c>
      <c r="K1196" s="52" t="s">
        <v>677</v>
      </c>
    </row>
    <row r="1197" spans="1:11" ht="13.5" customHeight="1">
      <c r="A1197" s="101" t="s">
        <v>61</v>
      </c>
      <c r="B1197" s="88" t="s">
        <v>703</v>
      </c>
      <c r="C1197" s="102">
        <v>2020</v>
      </c>
      <c r="D1197" s="103">
        <v>404141068</v>
      </c>
      <c r="E1197" s="103">
        <v>621098382</v>
      </c>
      <c r="F1197" s="103">
        <v>1894895324</v>
      </c>
      <c r="G1197" s="103">
        <v>20329803</v>
      </c>
      <c r="H1197" s="105">
        <f t="shared" si="35"/>
        <v>2940464577</v>
      </c>
      <c r="I1197" s="103">
        <v>6029013</v>
      </c>
      <c r="J1197" s="111" t="s">
        <v>678</v>
      </c>
    </row>
    <row r="1198" spans="1:11">
      <c r="A1198" s="101"/>
      <c r="B1198" s="107"/>
      <c r="D1198" s="104"/>
      <c r="E1198" s="104"/>
      <c r="F1198" s="104"/>
      <c r="G1198" s="104"/>
      <c r="H1198" s="103"/>
      <c r="I1198" s="103"/>
    </row>
    <row r="1199" spans="1:11">
      <c r="A1199" s="101" t="s">
        <v>62</v>
      </c>
      <c r="B1199" s="88" t="s">
        <v>248</v>
      </c>
      <c r="C1199" s="102">
        <v>1988</v>
      </c>
      <c r="D1199" s="104">
        <v>2534034513</v>
      </c>
      <c r="E1199" s="104">
        <v>1736787192</v>
      </c>
      <c r="F1199" s="104">
        <v>4989784981</v>
      </c>
      <c r="G1199" s="104">
        <v>1042229723</v>
      </c>
      <c r="H1199" s="105">
        <f>SUM(D1199:G1199)</f>
        <v>10302836409</v>
      </c>
      <c r="I1199" s="103">
        <v>0</v>
      </c>
    </row>
    <row r="1200" spans="1:11">
      <c r="A1200" s="101" t="s">
        <v>62</v>
      </c>
      <c r="B1200" s="88" t="s">
        <v>248</v>
      </c>
      <c r="C1200" s="102">
        <v>1989</v>
      </c>
      <c r="D1200" s="104">
        <v>2407743599</v>
      </c>
      <c r="E1200" s="104">
        <v>1856477537</v>
      </c>
      <c r="F1200" s="104">
        <v>3619642666</v>
      </c>
      <c r="G1200" s="104">
        <v>1083026448</v>
      </c>
      <c r="H1200" s="105">
        <f t="shared" ref="H1200:H1231" si="36">SUM(D1200:G1200)</f>
        <v>8966890250</v>
      </c>
      <c r="I1200" s="103">
        <v>0</v>
      </c>
    </row>
    <row r="1201" spans="1:9">
      <c r="A1201" s="101" t="s">
        <v>62</v>
      </c>
      <c r="B1201" s="88" t="s">
        <v>248</v>
      </c>
      <c r="C1201" s="102">
        <v>1990</v>
      </c>
      <c r="D1201" s="104">
        <v>2741981136</v>
      </c>
      <c r="E1201" s="104">
        <v>2179135464.5999999</v>
      </c>
      <c r="F1201" s="104">
        <v>3828721118</v>
      </c>
      <c r="G1201" s="104">
        <v>1187795652</v>
      </c>
      <c r="H1201" s="105">
        <f t="shared" si="36"/>
        <v>9937633370.6000004</v>
      </c>
      <c r="I1201" s="103">
        <v>0</v>
      </c>
    </row>
    <row r="1202" spans="1:9">
      <c r="A1202" s="101" t="s">
        <v>62</v>
      </c>
      <c r="B1202" s="88" t="s">
        <v>248</v>
      </c>
      <c r="C1202" s="102">
        <v>1991</v>
      </c>
      <c r="D1202" s="104">
        <v>2920332567</v>
      </c>
      <c r="E1202" s="104">
        <v>1828524058</v>
      </c>
      <c r="F1202" s="104">
        <v>3966484296</v>
      </c>
      <c r="G1202" s="104">
        <v>1205698462</v>
      </c>
      <c r="H1202" s="105">
        <f t="shared" si="36"/>
        <v>9921039383</v>
      </c>
      <c r="I1202" s="103">
        <v>0</v>
      </c>
    </row>
    <row r="1203" spans="1:9">
      <c r="A1203" s="101" t="s">
        <v>62</v>
      </c>
      <c r="B1203" s="88" t="s">
        <v>248</v>
      </c>
      <c r="C1203" s="102">
        <v>1992</v>
      </c>
      <c r="D1203" s="104">
        <v>3055029400</v>
      </c>
      <c r="E1203" s="104">
        <v>1893658458.9200001</v>
      </c>
      <c r="F1203" s="104">
        <v>4254594238</v>
      </c>
      <c r="G1203" s="104">
        <v>956370309</v>
      </c>
      <c r="H1203" s="105">
        <f t="shared" si="36"/>
        <v>10159652405.92</v>
      </c>
      <c r="I1203" s="103">
        <v>0</v>
      </c>
    </row>
    <row r="1204" spans="1:9">
      <c r="A1204" s="101" t="s">
        <v>62</v>
      </c>
      <c r="B1204" s="88" t="s">
        <v>248</v>
      </c>
      <c r="C1204" s="102">
        <v>1993</v>
      </c>
      <c r="D1204" s="104">
        <v>3987751884</v>
      </c>
      <c r="E1204" s="104">
        <v>1716262992</v>
      </c>
      <c r="F1204" s="104">
        <v>4446737088</v>
      </c>
      <c r="G1204" s="104">
        <v>962654689</v>
      </c>
      <c r="H1204" s="105">
        <f t="shared" si="36"/>
        <v>11113406653</v>
      </c>
      <c r="I1204" s="103">
        <v>0</v>
      </c>
    </row>
    <row r="1205" spans="1:9">
      <c r="A1205" s="101" t="s">
        <v>62</v>
      </c>
      <c r="B1205" s="88" t="s">
        <v>248</v>
      </c>
      <c r="C1205" s="102">
        <v>1994</v>
      </c>
      <c r="D1205" s="104">
        <v>3819936218</v>
      </c>
      <c r="E1205" s="104">
        <v>2179499942</v>
      </c>
      <c r="F1205" s="104">
        <v>4258140845</v>
      </c>
      <c r="G1205" s="104">
        <v>646454967</v>
      </c>
      <c r="H1205" s="105">
        <f t="shared" si="36"/>
        <v>10904031972</v>
      </c>
      <c r="I1205" s="103">
        <v>0</v>
      </c>
    </row>
    <row r="1206" spans="1:9">
      <c r="A1206" s="101" t="s">
        <v>62</v>
      </c>
      <c r="B1206" s="88" t="s">
        <v>248</v>
      </c>
      <c r="C1206" s="102">
        <v>1995</v>
      </c>
      <c r="D1206" s="104">
        <v>4118333150</v>
      </c>
      <c r="E1206" s="104">
        <v>2336864381</v>
      </c>
      <c r="F1206" s="104">
        <v>4489683366</v>
      </c>
      <c r="G1206" s="104">
        <v>819651829</v>
      </c>
      <c r="H1206" s="105">
        <f t="shared" si="36"/>
        <v>11764532726</v>
      </c>
      <c r="I1206" s="103">
        <v>0</v>
      </c>
    </row>
    <row r="1207" spans="1:9">
      <c r="A1207" s="101" t="s">
        <v>62</v>
      </c>
      <c r="B1207" s="88" t="s">
        <v>248</v>
      </c>
      <c r="C1207" s="102">
        <v>1996</v>
      </c>
      <c r="D1207" s="104">
        <v>3975047154</v>
      </c>
      <c r="E1207" s="104">
        <v>1909547932</v>
      </c>
      <c r="F1207" s="104">
        <v>5602533542</v>
      </c>
      <c r="G1207" s="104">
        <v>551809112</v>
      </c>
      <c r="H1207" s="105">
        <f t="shared" si="36"/>
        <v>12038937740</v>
      </c>
      <c r="I1207" s="103">
        <v>0</v>
      </c>
    </row>
    <row r="1208" spans="1:9">
      <c r="A1208" s="101" t="s">
        <v>62</v>
      </c>
      <c r="B1208" s="88" t="s">
        <v>248</v>
      </c>
      <c r="C1208" s="102">
        <v>1997</v>
      </c>
      <c r="D1208" s="104">
        <v>4104119628</v>
      </c>
      <c r="E1208" s="104">
        <v>1912971877</v>
      </c>
      <c r="F1208" s="104">
        <v>5500310888</v>
      </c>
      <c r="G1208" s="104">
        <v>727195937</v>
      </c>
      <c r="H1208" s="105">
        <f t="shared" si="36"/>
        <v>12244598330</v>
      </c>
      <c r="I1208" s="103">
        <v>0</v>
      </c>
    </row>
    <row r="1209" spans="1:9">
      <c r="A1209" s="101" t="s">
        <v>62</v>
      </c>
      <c r="B1209" s="88" t="s">
        <v>248</v>
      </c>
      <c r="C1209" s="102">
        <v>1998</v>
      </c>
      <c r="D1209" s="104">
        <v>3760213838</v>
      </c>
      <c r="E1209" s="104">
        <v>2023173180</v>
      </c>
      <c r="F1209" s="104">
        <v>5903365925</v>
      </c>
      <c r="G1209" s="104">
        <v>558994105</v>
      </c>
      <c r="H1209" s="105">
        <f t="shared" si="36"/>
        <v>12245747048</v>
      </c>
      <c r="I1209" s="103">
        <v>0</v>
      </c>
    </row>
    <row r="1210" spans="1:9">
      <c r="A1210" s="101" t="s">
        <v>62</v>
      </c>
      <c r="B1210" s="88" t="s">
        <v>248</v>
      </c>
      <c r="C1210" s="102">
        <v>1999</v>
      </c>
      <c r="D1210" s="104">
        <v>4183454778</v>
      </c>
      <c r="E1210" s="104">
        <v>2853879537</v>
      </c>
      <c r="F1210" s="104">
        <v>6488902076</v>
      </c>
      <c r="G1210" s="104">
        <v>551307354</v>
      </c>
      <c r="H1210" s="105">
        <f t="shared" si="36"/>
        <v>14077543745</v>
      </c>
      <c r="I1210" s="103">
        <v>0</v>
      </c>
    </row>
    <row r="1211" spans="1:9">
      <c r="A1211" s="101" t="s">
        <v>62</v>
      </c>
      <c r="B1211" s="88" t="s">
        <v>248</v>
      </c>
      <c r="C1211" s="102">
        <v>2000</v>
      </c>
      <c r="D1211" s="104">
        <v>3779121377</v>
      </c>
      <c r="E1211" s="104">
        <v>3602435917</v>
      </c>
      <c r="F1211" s="104">
        <v>7043854647</v>
      </c>
      <c r="G1211" s="104">
        <v>505227072</v>
      </c>
      <c r="H1211" s="105">
        <f t="shared" si="36"/>
        <v>14930639013</v>
      </c>
      <c r="I1211" s="103">
        <v>0</v>
      </c>
    </row>
    <row r="1212" spans="1:9">
      <c r="A1212" s="101" t="s">
        <v>62</v>
      </c>
      <c r="B1212" s="88" t="s">
        <v>248</v>
      </c>
      <c r="C1212" s="102">
        <v>2001</v>
      </c>
      <c r="D1212" s="104">
        <v>3622186707</v>
      </c>
      <c r="E1212" s="104">
        <v>4334730583.4300003</v>
      </c>
      <c r="F1212" s="104">
        <v>7566267097</v>
      </c>
      <c r="G1212" s="104">
        <v>594923355</v>
      </c>
      <c r="H1212" s="105">
        <f t="shared" si="36"/>
        <v>16118107742.43</v>
      </c>
      <c r="I1212" s="103">
        <v>0</v>
      </c>
    </row>
    <row r="1213" spans="1:9">
      <c r="A1213" s="101" t="s">
        <v>62</v>
      </c>
      <c r="B1213" s="88" t="s">
        <v>248</v>
      </c>
      <c r="C1213" s="102">
        <v>2002</v>
      </c>
      <c r="D1213" s="104">
        <v>3707075429</v>
      </c>
      <c r="E1213" s="104">
        <v>5874525077</v>
      </c>
      <c r="F1213" s="104">
        <v>8242618933</v>
      </c>
      <c r="G1213" s="104">
        <v>767287844</v>
      </c>
      <c r="H1213" s="105">
        <f t="shared" si="36"/>
        <v>18591507283</v>
      </c>
      <c r="I1213" s="103">
        <v>0</v>
      </c>
    </row>
    <row r="1214" spans="1:9">
      <c r="A1214" s="101" t="s">
        <v>62</v>
      </c>
      <c r="B1214" s="88" t="s">
        <v>248</v>
      </c>
      <c r="C1214" s="102">
        <v>2003</v>
      </c>
      <c r="D1214" s="106">
        <v>3719882283</v>
      </c>
      <c r="E1214" s="106">
        <v>5246506175</v>
      </c>
      <c r="F1214" s="106">
        <v>8587872327</v>
      </c>
      <c r="G1214" s="106">
        <v>926264454</v>
      </c>
      <c r="H1214" s="105">
        <f t="shared" si="36"/>
        <v>18480525239</v>
      </c>
      <c r="I1214" s="103">
        <v>0</v>
      </c>
    </row>
    <row r="1215" spans="1:9">
      <c r="A1215" s="101" t="s">
        <v>62</v>
      </c>
      <c r="B1215" s="88" t="s">
        <v>248</v>
      </c>
      <c r="C1215" s="102">
        <v>2004</v>
      </c>
      <c r="D1215" s="106">
        <v>3862254207</v>
      </c>
      <c r="E1215" s="106">
        <v>4987695103</v>
      </c>
      <c r="F1215" s="106">
        <v>8738796050</v>
      </c>
      <c r="G1215" s="106">
        <v>958314758</v>
      </c>
      <c r="H1215" s="105">
        <f t="shared" si="36"/>
        <v>18547060118</v>
      </c>
      <c r="I1215" s="103">
        <v>0</v>
      </c>
    </row>
    <row r="1216" spans="1:9">
      <c r="A1216" s="101" t="s">
        <v>62</v>
      </c>
      <c r="B1216" s="88" t="s">
        <v>248</v>
      </c>
      <c r="C1216" s="102">
        <v>2005</v>
      </c>
      <c r="D1216" s="106">
        <v>3864828736</v>
      </c>
      <c r="E1216" s="106">
        <v>4735825309</v>
      </c>
      <c r="F1216" s="106">
        <v>9482567740.5400009</v>
      </c>
      <c r="G1216" s="106">
        <v>765735371</v>
      </c>
      <c r="H1216" s="105">
        <f t="shared" si="36"/>
        <v>18848957156.540001</v>
      </c>
      <c r="I1216" s="103">
        <v>0</v>
      </c>
    </row>
    <row r="1217" spans="1:9">
      <c r="A1217" s="101" t="s">
        <v>62</v>
      </c>
      <c r="B1217" s="88" t="s">
        <v>248</v>
      </c>
      <c r="C1217" s="102">
        <v>2006</v>
      </c>
      <c r="D1217" s="103">
        <v>3984767132</v>
      </c>
      <c r="E1217" s="103">
        <v>4919614463</v>
      </c>
      <c r="F1217" s="103">
        <v>10312210172</v>
      </c>
      <c r="G1217" s="103">
        <v>923440738</v>
      </c>
      <c r="H1217" s="105">
        <f t="shared" si="36"/>
        <v>20140032505</v>
      </c>
      <c r="I1217" s="103">
        <v>0</v>
      </c>
    </row>
    <row r="1218" spans="1:9">
      <c r="A1218" s="101" t="s">
        <v>62</v>
      </c>
      <c r="B1218" s="88" t="s">
        <v>248</v>
      </c>
      <c r="C1218" s="102">
        <v>2007</v>
      </c>
      <c r="D1218" s="103">
        <v>4338276521</v>
      </c>
      <c r="E1218" s="103">
        <v>4669275115</v>
      </c>
      <c r="F1218" s="103">
        <v>12159708876</v>
      </c>
      <c r="G1218" s="103">
        <v>1721027001</v>
      </c>
      <c r="H1218" s="105">
        <f t="shared" si="36"/>
        <v>22888287513</v>
      </c>
      <c r="I1218" s="103">
        <v>0</v>
      </c>
    </row>
    <row r="1219" spans="1:9">
      <c r="A1219" s="101" t="s">
        <v>62</v>
      </c>
      <c r="B1219" s="88" t="s">
        <v>248</v>
      </c>
      <c r="C1219" s="102">
        <v>2008</v>
      </c>
      <c r="D1219" s="103">
        <v>4205635348</v>
      </c>
      <c r="E1219" s="103">
        <v>6375631631</v>
      </c>
      <c r="F1219" s="103">
        <v>13636581477</v>
      </c>
      <c r="G1219" s="103">
        <v>1117437730</v>
      </c>
      <c r="H1219" s="105">
        <f t="shared" si="36"/>
        <v>25335286186</v>
      </c>
      <c r="I1219" s="103">
        <v>0</v>
      </c>
    </row>
    <row r="1220" spans="1:9">
      <c r="A1220" s="101" t="s">
        <v>62</v>
      </c>
      <c r="B1220" s="88" t="s">
        <v>248</v>
      </c>
      <c r="C1220" s="102">
        <v>2009</v>
      </c>
      <c r="D1220" s="103">
        <v>4377338672</v>
      </c>
      <c r="E1220" s="103">
        <v>6768188993</v>
      </c>
      <c r="F1220" s="103">
        <v>12979757689</v>
      </c>
      <c r="G1220" s="103">
        <v>1032084271</v>
      </c>
      <c r="H1220" s="105">
        <f t="shared" si="36"/>
        <v>25157369625</v>
      </c>
      <c r="I1220" s="103">
        <v>0</v>
      </c>
    </row>
    <row r="1221" spans="1:9">
      <c r="A1221" s="101" t="s">
        <v>62</v>
      </c>
      <c r="B1221" s="88" t="s">
        <v>248</v>
      </c>
      <c r="C1221" s="102">
        <v>2010</v>
      </c>
      <c r="D1221" s="103">
        <v>4493941797</v>
      </c>
      <c r="E1221" s="103">
        <v>5341130707</v>
      </c>
      <c r="F1221" s="103">
        <v>12535711315</v>
      </c>
      <c r="G1221" s="103">
        <v>959268409</v>
      </c>
      <c r="H1221" s="105">
        <f t="shared" si="36"/>
        <v>23330052228</v>
      </c>
      <c r="I1221" s="103">
        <v>0</v>
      </c>
    </row>
    <row r="1222" spans="1:9">
      <c r="A1222" s="101" t="s">
        <v>62</v>
      </c>
      <c r="B1222" s="88" t="s">
        <v>248</v>
      </c>
      <c r="C1222" s="102">
        <v>2011</v>
      </c>
      <c r="D1222" s="103">
        <v>4698775431</v>
      </c>
      <c r="E1222" s="103">
        <v>5152996658</v>
      </c>
      <c r="F1222" s="103">
        <v>12763839132.32</v>
      </c>
      <c r="G1222" s="103">
        <v>921751361</v>
      </c>
      <c r="H1222" s="105">
        <f t="shared" si="36"/>
        <v>23537362582.32</v>
      </c>
      <c r="I1222" s="103">
        <v>0</v>
      </c>
    </row>
    <row r="1223" spans="1:9">
      <c r="A1223" s="101" t="s">
        <v>62</v>
      </c>
      <c r="B1223" s="88" t="s">
        <v>248</v>
      </c>
      <c r="C1223" s="102">
        <v>2012</v>
      </c>
      <c r="D1223" s="103">
        <v>4824912735</v>
      </c>
      <c r="E1223" s="103">
        <v>6747281598</v>
      </c>
      <c r="F1223" s="103">
        <v>13241635224</v>
      </c>
      <c r="G1223" s="103">
        <v>1058746791</v>
      </c>
      <c r="H1223" s="105">
        <f t="shared" si="36"/>
        <v>25872576348</v>
      </c>
      <c r="I1223" s="103">
        <v>0</v>
      </c>
    </row>
    <row r="1224" spans="1:9">
      <c r="A1224" s="101" t="s">
        <v>62</v>
      </c>
      <c r="B1224" s="88" t="s">
        <v>248</v>
      </c>
      <c r="C1224" s="102">
        <v>2013</v>
      </c>
      <c r="D1224" s="103">
        <v>4810908862</v>
      </c>
      <c r="E1224" s="103">
        <v>5069882260</v>
      </c>
      <c r="F1224" s="103">
        <v>14690651849</v>
      </c>
      <c r="G1224" s="103">
        <v>2215424951</v>
      </c>
      <c r="H1224" s="105">
        <f t="shared" si="36"/>
        <v>26786867922</v>
      </c>
      <c r="I1224" s="103">
        <v>0</v>
      </c>
    </row>
    <row r="1225" spans="1:9">
      <c r="A1225" s="101" t="s">
        <v>62</v>
      </c>
      <c r="B1225" s="88" t="s">
        <v>248</v>
      </c>
      <c r="C1225" s="102">
        <v>2014</v>
      </c>
      <c r="D1225" s="103">
        <v>4778008509</v>
      </c>
      <c r="E1225" s="103">
        <v>5616817221</v>
      </c>
      <c r="F1225" s="103">
        <v>14933131311.83</v>
      </c>
      <c r="G1225" s="103">
        <v>1137114161</v>
      </c>
      <c r="H1225" s="105">
        <f t="shared" si="36"/>
        <v>26465071202.830002</v>
      </c>
      <c r="I1225" s="103">
        <v>0</v>
      </c>
    </row>
    <row r="1226" spans="1:9">
      <c r="A1226" s="101" t="s">
        <v>62</v>
      </c>
      <c r="B1226" s="88" t="s">
        <v>248</v>
      </c>
      <c r="C1226" s="102">
        <v>2015</v>
      </c>
      <c r="D1226" s="103">
        <v>4863396473</v>
      </c>
      <c r="E1226" s="103">
        <v>7769775441</v>
      </c>
      <c r="F1226" s="103">
        <v>10757579233</v>
      </c>
      <c r="G1226" s="103">
        <v>1121567729</v>
      </c>
      <c r="H1226" s="105">
        <f t="shared" si="36"/>
        <v>24512318876</v>
      </c>
      <c r="I1226" s="103">
        <v>0</v>
      </c>
    </row>
    <row r="1227" spans="1:9">
      <c r="A1227" s="101" t="s">
        <v>62</v>
      </c>
      <c r="B1227" s="88" t="s">
        <v>248</v>
      </c>
      <c r="C1227" s="102">
        <v>2016</v>
      </c>
      <c r="D1227" s="103">
        <v>4990334297</v>
      </c>
      <c r="E1227" s="103">
        <v>6991851413</v>
      </c>
      <c r="F1227" s="103">
        <v>10997951503</v>
      </c>
      <c r="G1227" s="103">
        <v>1047076352</v>
      </c>
      <c r="H1227" s="105">
        <f t="shared" si="36"/>
        <v>24027213565</v>
      </c>
      <c r="I1227" s="103">
        <v>0</v>
      </c>
    </row>
    <row r="1228" spans="1:9">
      <c r="A1228" s="101" t="s">
        <v>62</v>
      </c>
      <c r="B1228" s="88" t="s">
        <v>248</v>
      </c>
      <c r="C1228" s="102">
        <v>2017</v>
      </c>
      <c r="D1228" s="103">
        <v>5017054648</v>
      </c>
      <c r="E1228" s="103">
        <v>8517829117</v>
      </c>
      <c r="F1228" s="103">
        <v>10684891415.639999</v>
      </c>
      <c r="G1228" s="103">
        <v>749589358</v>
      </c>
      <c r="H1228" s="105">
        <f t="shared" si="36"/>
        <v>24969364538.639999</v>
      </c>
      <c r="I1228" s="103">
        <v>0</v>
      </c>
    </row>
    <row r="1229" spans="1:9">
      <c r="A1229" s="101" t="s">
        <v>62</v>
      </c>
      <c r="B1229" s="88" t="s">
        <v>248</v>
      </c>
      <c r="C1229" s="102">
        <v>2018</v>
      </c>
      <c r="D1229" s="103">
        <v>5052700905</v>
      </c>
      <c r="E1229" s="103">
        <v>8793711586</v>
      </c>
      <c r="F1229" s="103">
        <v>10376427598.299999</v>
      </c>
      <c r="G1229" s="103">
        <v>799379630</v>
      </c>
      <c r="H1229" s="105">
        <f t="shared" si="36"/>
        <v>25022219719.299999</v>
      </c>
      <c r="I1229" s="103">
        <v>0</v>
      </c>
    </row>
    <row r="1230" spans="1:9">
      <c r="A1230" s="101" t="s">
        <v>62</v>
      </c>
      <c r="B1230" s="88" t="s">
        <v>248</v>
      </c>
      <c r="C1230" s="102">
        <v>2019</v>
      </c>
      <c r="D1230" s="103">
        <v>5118727523</v>
      </c>
      <c r="E1230" s="103">
        <v>9120481250</v>
      </c>
      <c r="F1230" s="103">
        <v>10439550328.592899</v>
      </c>
      <c r="G1230" s="103">
        <v>1614738247</v>
      </c>
      <c r="H1230" s="105">
        <f t="shared" si="36"/>
        <v>26293497348.592899</v>
      </c>
      <c r="I1230" s="103">
        <v>0</v>
      </c>
    </row>
    <row r="1231" spans="1:9">
      <c r="A1231" s="101" t="s">
        <v>62</v>
      </c>
      <c r="B1231" s="88" t="s">
        <v>248</v>
      </c>
      <c r="C1231" s="102">
        <v>2020</v>
      </c>
      <c r="D1231" s="103">
        <v>5204244682</v>
      </c>
      <c r="E1231" s="103">
        <v>8964390480</v>
      </c>
      <c r="F1231" s="103">
        <v>10180912524</v>
      </c>
      <c r="G1231" s="103">
        <v>1021753855</v>
      </c>
      <c r="H1231" s="105">
        <f t="shared" si="36"/>
        <v>25371301541</v>
      </c>
      <c r="I1231" s="103">
        <v>0</v>
      </c>
    </row>
    <row r="1232" spans="1:9">
      <c r="A1232" s="101"/>
      <c r="B1232" s="107"/>
      <c r="D1232" s="104"/>
      <c r="E1232" s="104"/>
      <c r="F1232" s="104"/>
      <c r="G1232" s="104"/>
      <c r="H1232" s="103"/>
      <c r="I1232" s="103"/>
    </row>
    <row r="1233" spans="1:9">
      <c r="A1233" s="101" t="s">
        <v>63</v>
      </c>
      <c r="B1233" s="88" t="s">
        <v>257</v>
      </c>
      <c r="C1233" s="102">
        <v>1988</v>
      </c>
      <c r="D1233" s="104">
        <v>616592071</v>
      </c>
      <c r="E1233" s="104">
        <v>419483946</v>
      </c>
      <c r="F1233" s="104">
        <v>642145110</v>
      </c>
      <c r="G1233" s="104">
        <v>0</v>
      </c>
      <c r="H1233" s="105">
        <f>SUM(D1233:G1233)</f>
        <v>1678221127</v>
      </c>
      <c r="I1233" s="103">
        <v>0</v>
      </c>
    </row>
    <row r="1234" spans="1:9">
      <c r="A1234" s="101" t="s">
        <v>63</v>
      </c>
      <c r="B1234" s="88" t="s">
        <v>257</v>
      </c>
      <c r="C1234" s="102">
        <v>1989</v>
      </c>
      <c r="D1234" s="104">
        <v>588134826</v>
      </c>
      <c r="E1234" s="104">
        <v>444775606</v>
      </c>
      <c r="F1234" s="104">
        <v>698963531</v>
      </c>
      <c r="G1234" s="104">
        <v>0</v>
      </c>
      <c r="H1234" s="105">
        <f t="shared" ref="H1234:H1265" si="37">SUM(D1234:G1234)</f>
        <v>1731873963</v>
      </c>
      <c r="I1234" s="103">
        <v>0</v>
      </c>
    </row>
    <row r="1235" spans="1:9">
      <c r="A1235" s="101" t="s">
        <v>63</v>
      </c>
      <c r="B1235" s="88" t="s">
        <v>257</v>
      </c>
      <c r="C1235" s="102">
        <v>1990</v>
      </c>
      <c r="D1235" s="104">
        <v>612296761</v>
      </c>
      <c r="E1235" s="104">
        <v>543871818.07999992</v>
      </c>
      <c r="F1235" s="104">
        <v>733415184</v>
      </c>
      <c r="G1235" s="104">
        <v>0</v>
      </c>
      <c r="H1235" s="105">
        <f t="shared" si="37"/>
        <v>1889583763.0799999</v>
      </c>
      <c r="I1235" s="103">
        <v>0</v>
      </c>
    </row>
    <row r="1236" spans="1:9">
      <c r="A1236" s="101" t="s">
        <v>63</v>
      </c>
      <c r="B1236" s="88" t="s">
        <v>257</v>
      </c>
      <c r="C1236" s="102">
        <v>1991</v>
      </c>
      <c r="D1236" s="104">
        <v>668388118</v>
      </c>
      <c r="E1236" s="104">
        <v>578791425</v>
      </c>
      <c r="F1236" s="104">
        <v>784259157</v>
      </c>
      <c r="G1236" s="104">
        <v>0</v>
      </c>
      <c r="H1236" s="105">
        <f t="shared" si="37"/>
        <v>2031438700</v>
      </c>
      <c r="I1236" s="103">
        <v>0</v>
      </c>
    </row>
    <row r="1237" spans="1:9">
      <c r="A1237" s="101" t="s">
        <v>63</v>
      </c>
      <c r="B1237" s="88" t="s">
        <v>257</v>
      </c>
      <c r="C1237" s="102">
        <v>1992</v>
      </c>
      <c r="D1237" s="104">
        <v>707696169</v>
      </c>
      <c r="E1237" s="104">
        <v>629789857.84000003</v>
      </c>
      <c r="F1237" s="104">
        <v>845953596</v>
      </c>
      <c r="G1237" s="104">
        <v>0</v>
      </c>
      <c r="H1237" s="105">
        <f t="shared" si="37"/>
        <v>2183439622.8400002</v>
      </c>
      <c r="I1237" s="103">
        <v>0</v>
      </c>
    </row>
    <row r="1238" spans="1:9">
      <c r="A1238" s="101" t="s">
        <v>63</v>
      </c>
      <c r="B1238" s="88" t="s">
        <v>257</v>
      </c>
      <c r="C1238" s="102">
        <v>1993</v>
      </c>
      <c r="D1238" s="104">
        <v>724875640</v>
      </c>
      <c r="E1238" s="104">
        <v>536701938</v>
      </c>
      <c r="F1238" s="104">
        <v>1071589567</v>
      </c>
      <c r="G1238" s="104">
        <v>0</v>
      </c>
      <c r="H1238" s="105">
        <f t="shared" si="37"/>
        <v>2333167145</v>
      </c>
      <c r="I1238" s="103">
        <v>0</v>
      </c>
    </row>
    <row r="1239" spans="1:9">
      <c r="A1239" s="101" t="s">
        <v>63</v>
      </c>
      <c r="B1239" s="88" t="s">
        <v>257</v>
      </c>
      <c r="C1239" s="102">
        <v>1994</v>
      </c>
      <c r="D1239" s="104">
        <v>792088110</v>
      </c>
      <c r="E1239" s="104">
        <v>582260416</v>
      </c>
      <c r="F1239" s="104">
        <v>1080525188</v>
      </c>
      <c r="G1239" s="104">
        <v>0</v>
      </c>
      <c r="H1239" s="105">
        <f t="shared" si="37"/>
        <v>2454873714</v>
      </c>
      <c r="I1239" s="103">
        <v>0</v>
      </c>
    </row>
    <row r="1240" spans="1:9">
      <c r="A1240" s="101" t="s">
        <v>63</v>
      </c>
      <c r="B1240" s="88" t="s">
        <v>257</v>
      </c>
      <c r="C1240" s="102">
        <v>1995</v>
      </c>
      <c r="D1240" s="104">
        <v>814360950</v>
      </c>
      <c r="E1240" s="104">
        <v>620410943</v>
      </c>
      <c r="F1240" s="104">
        <v>1125179250</v>
      </c>
      <c r="G1240" s="104">
        <v>0</v>
      </c>
      <c r="H1240" s="105">
        <f t="shared" si="37"/>
        <v>2559951143</v>
      </c>
      <c r="I1240" s="103">
        <v>0</v>
      </c>
    </row>
    <row r="1241" spans="1:9">
      <c r="A1241" s="101" t="s">
        <v>63</v>
      </c>
      <c r="B1241" s="88" t="s">
        <v>257</v>
      </c>
      <c r="C1241" s="102">
        <v>1996</v>
      </c>
      <c r="D1241" s="104">
        <v>789424307</v>
      </c>
      <c r="E1241" s="104">
        <v>490109556</v>
      </c>
      <c r="F1241" s="104">
        <v>1184654949</v>
      </c>
      <c r="G1241" s="104">
        <v>0</v>
      </c>
      <c r="H1241" s="105">
        <f t="shared" si="37"/>
        <v>2464188812</v>
      </c>
      <c r="I1241" s="103">
        <v>0</v>
      </c>
    </row>
    <row r="1242" spans="1:9">
      <c r="A1242" s="101" t="s">
        <v>63</v>
      </c>
      <c r="B1242" s="88" t="s">
        <v>257</v>
      </c>
      <c r="C1242" s="102">
        <v>1997</v>
      </c>
      <c r="D1242" s="104">
        <v>770220072</v>
      </c>
      <c r="E1242" s="104">
        <v>494871326</v>
      </c>
      <c r="F1242" s="104">
        <v>1244437896</v>
      </c>
      <c r="G1242" s="104">
        <v>0</v>
      </c>
      <c r="H1242" s="105">
        <f t="shared" si="37"/>
        <v>2509529294</v>
      </c>
      <c r="I1242" s="103">
        <v>0</v>
      </c>
    </row>
    <row r="1243" spans="1:9">
      <c r="A1243" s="101" t="s">
        <v>63</v>
      </c>
      <c r="B1243" s="88" t="s">
        <v>257</v>
      </c>
      <c r="C1243" s="102">
        <v>1998</v>
      </c>
      <c r="D1243" s="104">
        <v>776113533</v>
      </c>
      <c r="E1243" s="104">
        <v>475026538</v>
      </c>
      <c r="F1243" s="104">
        <v>1310866836</v>
      </c>
      <c r="G1243" s="104">
        <v>0</v>
      </c>
      <c r="H1243" s="105">
        <f t="shared" si="37"/>
        <v>2562006907</v>
      </c>
      <c r="I1243" s="103">
        <v>0</v>
      </c>
    </row>
    <row r="1244" spans="1:9">
      <c r="A1244" s="101" t="s">
        <v>63</v>
      </c>
      <c r="B1244" s="88" t="s">
        <v>257</v>
      </c>
      <c r="C1244" s="102">
        <v>1999</v>
      </c>
      <c r="D1244" s="104">
        <v>780537634</v>
      </c>
      <c r="E1244" s="104">
        <v>618103240</v>
      </c>
      <c r="F1244" s="104">
        <v>1300192293</v>
      </c>
      <c r="G1244" s="104">
        <v>0</v>
      </c>
      <c r="H1244" s="105">
        <f t="shared" si="37"/>
        <v>2698833167</v>
      </c>
      <c r="I1244" s="103">
        <v>0</v>
      </c>
    </row>
    <row r="1245" spans="1:9">
      <c r="A1245" s="101" t="s">
        <v>63</v>
      </c>
      <c r="B1245" s="88" t="s">
        <v>257</v>
      </c>
      <c r="C1245" s="102">
        <v>2000</v>
      </c>
      <c r="D1245" s="104">
        <v>811989165</v>
      </c>
      <c r="E1245" s="104">
        <v>698871483</v>
      </c>
      <c r="F1245" s="104">
        <v>1371204007</v>
      </c>
      <c r="G1245" s="104">
        <v>0</v>
      </c>
      <c r="H1245" s="105">
        <f t="shared" si="37"/>
        <v>2882064655</v>
      </c>
      <c r="I1245" s="103">
        <v>0</v>
      </c>
    </row>
    <row r="1246" spans="1:9">
      <c r="A1246" s="101" t="s">
        <v>63</v>
      </c>
      <c r="B1246" s="88" t="s">
        <v>257</v>
      </c>
      <c r="C1246" s="102">
        <v>2001</v>
      </c>
      <c r="D1246" s="104">
        <v>876872355</v>
      </c>
      <c r="E1246" s="104">
        <v>984869537</v>
      </c>
      <c r="F1246" s="104">
        <v>1495429443</v>
      </c>
      <c r="G1246" s="104">
        <v>0</v>
      </c>
      <c r="H1246" s="105">
        <f t="shared" si="37"/>
        <v>3357171335</v>
      </c>
      <c r="I1246" s="103">
        <v>0</v>
      </c>
    </row>
    <row r="1247" spans="1:9">
      <c r="A1247" s="101" t="s">
        <v>63</v>
      </c>
      <c r="B1247" s="88" t="s">
        <v>257</v>
      </c>
      <c r="C1247" s="102">
        <v>2002</v>
      </c>
      <c r="D1247" s="104">
        <v>866788664</v>
      </c>
      <c r="E1247" s="104">
        <v>1205522724</v>
      </c>
      <c r="F1247" s="104">
        <v>1584870053</v>
      </c>
      <c r="G1247" s="104">
        <v>0</v>
      </c>
      <c r="H1247" s="105">
        <f t="shared" si="37"/>
        <v>3657181441</v>
      </c>
      <c r="I1247" s="103">
        <v>0</v>
      </c>
    </row>
    <row r="1248" spans="1:9">
      <c r="A1248" s="101" t="s">
        <v>63</v>
      </c>
      <c r="B1248" s="88" t="s">
        <v>257</v>
      </c>
      <c r="C1248" s="102">
        <v>2003</v>
      </c>
      <c r="D1248" s="106">
        <v>911263971</v>
      </c>
      <c r="E1248" s="106">
        <v>1120068031</v>
      </c>
      <c r="F1248" s="106">
        <v>1727633006</v>
      </c>
      <c r="G1248" s="104">
        <v>0</v>
      </c>
      <c r="H1248" s="105">
        <f t="shared" si="37"/>
        <v>3758965008</v>
      </c>
      <c r="I1248" s="103">
        <v>0</v>
      </c>
    </row>
    <row r="1249" spans="1:11">
      <c r="A1249" s="101" t="s">
        <v>63</v>
      </c>
      <c r="B1249" s="88" t="s">
        <v>257</v>
      </c>
      <c r="C1249" s="102">
        <v>2004</v>
      </c>
      <c r="D1249" s="106">
        <v>931033557</v>
      </c>
      <c r="E1249" s="106">
        <v>1062686358</v>
      </c>
      <c r="F1249" s="106">
        <v>1831615910</v>
      </c>
      <c r="G1249" s="104">
        <v>0</v>
      </c>
      <c r="H1249" s="105">
        <f t="shared" si="37"/>
        <v>3825335825</v>
      </c>
      <c r="I1249" s="103">
        <v>0</v>
      </c>
    </row>
    <row r="1250" spans="1:11">
      <c r="A1250" s="101" t="s">
        <v>63</v>
      </c>
      <c r="B1250" s="88" t="s">
        <v>257</v>
      </c>
      <c r="C1250" s="102">
        <v>2005</v>
      </c>
      <c r="D1250" s="106">
        <v>926444980</v>
      </c>
      <c r="E1250" s="106">
        <v>987551770</v>
      </c>
      <c r="F1250" s="106">
        <v>1980212670.6599901</v>
      </c>
      <c r="G1250" s="104">
        <v>0</v>
      </c>
      <c r="H1250" s="105">
        <f t="shared" si="37"/>
        <v>3894209420.6599903</v>
      </c>
      <c r="I1250" s="103">
        <v>0</v>
      </c>
    </row>
    <row r="1251" spans="1:11">
      <c r="A1251" s="101" t="s">
        <v>63</v>
      </c>
      <c r="B1251" s="88" t="s">
        <v>257</v>
      </c>
      <c r="C1251" s="102">
        <v>2006</v>
      </c>
      <c r="D1251" s="103">
        <v>1060841763</v>
      </c>
      <c r="E1251" s="103">
        <v>1063511980</v>
      </c>
      <c r="F1251" s="103">
        <v>2171467297</v>
      </c>
      <c r="G1251" s="103">
        <v>0</v>
      </c>
      <c r="H1251" s="105">
        <f t="shared" si="37"/>
        <v>4295821040</v>
      </c>
      <c r="I1251" s="103">
        <v>0</v>
      </c>
    </row>
    <row r="1252" spans="1:11">
      <c r="A1252" s="101" t="s">
        <v>63</v>
      </c>
      <c r="B1252" s="88" t="s">
        <v>257</v>
      </c>
      <c r="C1252" s="102">
        <v>2007</v>
      </c>
      <c r="D1252" s="103">
        <v>1097782359</v>
      </c>
      <c r="E1252" s="103">
        <v>1017178609</v>
      </c>
      <c r="F1252" s="103">
        <v>2512947694</v>
      </c>
      <c r="G1252" s="103">
        <v>0</v>
      </c>
      <c r="H1252" s="105">
        <f t="shared" si="37"/>
        <v>4627908662</v>
      </c>
      <c r="I1252" s="103">
        <v>0</v>
      </c>
    </row>
    <row r="1253" spans="1:11">
      <c r="A1253" s="101" t="s">
        <v>63</v>
      </c>
      <c r="B1253" s="88" t="s">
        <v>257</v>
      </c>
      <c r="C1253" s="102">
        <v>2008</v>
      </c>
      <c r="D1253" s="103">
        <v>1136588750</v>
      </c>
      <c r="E1253" s="103">
        <v>1491541386</v>
      </c>
      <c r="F1253" s="103">
        <v>2650865096</v>
      </c>
      <c r="G1253" s="103">
        <v>0</v>
      </c>
      <c r="H1253" s="105">
        <f t="shared" si="37"/>
        <v>5278995232</v>
      </c>
      <c r="I1253" s="103">
        <v>0</v>
      </c>
    </row>
    <row r="1254" spans="1:11">
      <c r="A1254" s="101" t="s">
        <v>63</v>
      </c>
      <c r="B1254" s="88" t="s">
        <v>257</v>
      </c>
      <c r="C1254" s="102">
        <v>2009</v>
      </c>
      <c r="D1254" s="103">
        <v>1197855066</v>
      </c>
      <c r="E1254" s="103">
        <v>1370248919</v>
      </c>
      <c r="F1254" s="103">
        <v>2812704895</v>
      </c>
      <c r="G1254" s="103">
        <v>0</v>
      </c>
      <c r="H1254" s="105">
        <f t="shared" si="37"/>
        <v>5380808880</v>
      </c>
      <c r="I1254" s="103">
        <v>0</v>
      </c>
    </row>
    <row r="1255" spans="1:11">
      <c r="A1255" s="101" t="s">
        <v>63</v>
      </c>
      <c r="B1255" s="88" t="s">
        <v>257</v>
      </c>
      <c r="C1255" s="102">
        <v>2010</v>
      </c>
      <c r="D1255" s="103">
        <v>1265817967</v>
      </c>
      <c r="E1255" s="103">
        <v>1189363350</v>
      </c>
      <c r="F1255" s="103">
        <v>2990023534</v>
      </c>
      <c r="G1255" s="103">
        <v>0</v>
      </c>
      <c r="H1255" s="105">
        <f t="shared" si="37"/>
        <v>5445204851</v>
      </c>
      <c r="I1255" s="103">
        <v>0</v>
      </c>
    </row>
    <row r="1256" spans="1:11">
      <c r="A1256" s="101" t="s">
        <v>63</v>
      </c>
      <c r="B1256" s="88" t="s">
        <v>257</v>
      </c>
      <c r="C1256" s="102">
        <v>2011</v>
      </c>
      <c r="D1256" s="103">
        <v>1281469359</v>
      </c>
      <c r="E1256" s="103">
        <v>1162870153</v>
      </c>
      <c r="F1256" s="103">
        <v>2993867350.4099998</v>
      </c>
      <c r="G1256" s="103">
        <v>0</v>
      </c>
      <c r="H1256" s="105">
        <f t="shared" si="37"/>
        <v>5438206862.4099998</v>
      </c>
      <c r="I1256" s="103">
        <v>0</v>
      </c>
    </row>
    <row r="1257" spans="1:11">
      <c r="A1257" s="101" t="s">
        <v>63</v>
      </c>
      <c r="B1257" s="88" t="s">
        <v>257</v>
      </c>
      <c r="C1257" s="102">
        <v>2012</v>
      </c>
      <c r="D1257" s="103">
        <v>1324959076</v>
      </c>
      <c r="E1257" s="103">
        <v>1368007325</v>
      </c>
      <c r="F1257" s="103">
        <v>2985855018</v>
      </c>
      <c r="G1257" s="103">
        <v>0</v>
      </c>
      <c r="H1257" s="105">
        <f t="shared" si="37"/>
        <v>5678821419</v>
      </c>
      <c r="I1257" s="103">
        <v>0</v>
      </c>
    </row>
    <row r="1258" spans="1:11">
      <c r="A1258" s="101" t="s">
        <v>63</v>
      </c>
      <c r="B1258" s="88" t="s">
        <v>257</v>
      </c>
      <c r="C1258" s="102">
        <v>2013</v>
      </c>
      <c r="D1258" s="103">
        <v>1359541281</v>
      </c>
      <c r="E1258" s="103">
        <v>1239044898</v>
      </c>
      <c r="F1258" s="103">
        <v>3015560032</v>
      </c>
      <c r="G1258" s="103">
        <v>0</v>
      </c>
      <c r="H1258" s="105">
        <f t="shared" si="37"/>
        <v>5614146211</v>
      </c>
      <c r="I1258" s="103">
        <v>0</v>
      </c>
    </row>
    <row r="1259" spans="1:11">
      <c r="A1259" s="101" t="s">
        <v>63</v>
      </c>
      <c r="B1259" s="88" t="s">
        <v>257</v>
      </c>
      <c r="C1259" s="102">
        <v>2014</v>
      </c>
      <c r="D1259" s="103">
        <v>1381698580</v>
      </c>
      <c r="E1259" s="103">
        <v>1323348614</v>
      </c>
      <c r="F1259" s="103">
        <v>3362525623.52</v>
      </c>
      <c r="G1259" s="103">
        <v>0</v>
      </c>
      <c r="H1259" s="105">
        <f t="shared" si="37"/>
        <v>6067572817.5200005</v>
      </c>
      <c r="I1259" s="103">
        <v>0</v>
      </c>
    </row>
    <row r="1260" spans="1:11">
      <c r="A1260" s="101" t="s">
        <v>63</v>
      </c>
      <c r="B1260" s="88" t="s">
        <v>257</v>
      </c>
      <c r="C1260" s="102">
        <v>2015</v>
      </c>
      <c r="D1260" s="103">
        <v>1413156660</v>
      </c>
      <c r="E1260" s="103">
        <v>1582535340</v>
      </c>
      <c r="F1260" s="103">
        <v>3347770476</v>
      </c>
      <c r="G1260" s="103">
        <v>0</v>
      </c>
      <c r="H1260" s="105">
        <f t="shared" si="37"/>
        <v>6343462476</v>
      </c>
      <c r="I1260" s="103">
        <v>0</v>
      </c>
    </row>
    <row r="1261" spans="1:11">
      <c r="A1261" s="101" t="s">
        <v>63</v>
      </c>
      <c r="B1261" s="88" t="s">
        <v>257</v>
      </c>
      <c r="C1261" s="102">
        <v>2016</v>
      </c>
      <c r="D1261" s="103">
        <v>1414401562</v>
      </c>
      <c r="E1261" s="103">
        <v>1475566462</v>
      </c>
      <c r="F1261" s="103">
        <v>3494959511</v>
      </c>
      <c r="G1261" s="103">
        <v>0</v>
      </c>
      <c r="H1261" s="105">
        <f t="shared" si="37"/>
        <v>6384927535</v>
      </c>
      <c r="I1261" s="103">
        <v>0</v>
      </c>
    </row>
    <row r="1262" spans="1:11">
      <c r="A1262" s="101" t="s">
        <v>63</v>
      </c>
      <c r="B1262" s="88" t="s">
        <v>257</v>
      </c>
      <c r="C1262" s="102">
        <v>2017</v>
      </c>
      <c r="D1262" s="103">
        <v>1435622014</v>
      </c>
      <c r="E1262" s="103">
        <v>1518789590</v>
      </c>
      <c r="F1262" s="103">
        <v>3817822394.2600002</v>
      </c>
      <c r="G1262" s="103">
        <v>0</v>
      </c>
      <c r="H1262" s="105">
        <f t="shared" si="37"/>
        <v>6772233998.2600002</v>
      </c>
      <c r="I1262" s="103">
        <v>0</v>
      </c>
      <c r="J1262" s="109" t="s">
        <v>623</v>
      </c>
    </row>
    <row r="1263" spans="1:11">
      <c r="A1263" s="101" t="s">
        <v>63</v>
      </c>
      <c r="B1263" s="88" t="s">
        <v>257</v>
      </c>
      <c r="C1263" s="102">
        <v>2018</v>
      </c>
      <c r="D1263" s="103">
        <v>1524384742</v>
      </c>
      <c r="E1263" s="103">
        <v>1896115449</v>
      </c>
      <c r="F1263" s="103">
        <v>4094852306.0599999</v>
      </c>
      <c r="G1263" s="103">
        <v>0</v>
      </c>
      <c r="H1263" s="105">
        <f t="shared" si="37"/>
        <v>7515352497.0599995</v>
      </c>
      <c r="I1263" s="103">
        <v>0</v>
      </c>
      <c r="J1263" s="109" t="s">
        <v>623</v>
      </c>
    </row>
    <row r="1264" spans="1:11">
      <c r="A1264" s="101" t="s">
        <v>63</v>
      </c>
      <c r="B1264" s="88" t="s">
        <v>257</v>
      </c>
      <c r="C1264" s="102">
        <v>2019</v>
      </c>
      <c r="D1264" s="103">
        <v>1503683419</v>
      </c>
      <c r="E1264" s="103">
        <v>1728068881</v>
      </c>
      <c r="F1264" s="103">
        <v>4805517437.2739</v>
      </c>
      <c r="G1264" s="103">
        <v>0</v>
      </c>
      <c r="H1264" s="105">
        <f t="shared" si="37"/>
        <v>8037269737.2739</v>
      </c>
      <c r="I1264" s="103">
        <v>0</v>
      </c>
      <c r="J1264" s="109" t="s">
        <v>689</v>
      </c>
      <c r="K1264" s="52" t="s">
        <v>677</v>
      </c>
    </row>
    <row r="1265" spans="1:10">
      <c r="A1265" s="101" t="s">
        <v>63</v>
      </c>
      <c r="B1265" s="88" t="s">
        <v>257</v>
      </c>
      <c r="C1265" s="102">
        <v>2020</v>
      </c>
      <c r="D1265" s="103">
        <v>1538559621</v>
      </c>
      <c r="E1265" s="103">
        <v>1517811467</v>
      </c>
      <c r="F1265" s="103">
        <v>4653161248</v>
      </c>
      <c r="G1265" s="103">
        <v>0</v>
      </c>
      <c r="H1265" s="105">
        <f t="shared" si="37"/>
        <v>7709532336</v>
      </c>
      <c r="I1265" s="103">
        <v>0</v>
      </c>
      <c r="J1265" s="109" t="s">
        <v>680</v>
      </c>
    </row>
    <row r="1266" spans="1:10">
      <c r="A1266" s="101"/>
      <c r="B1266" s="107"/>
      <c r="D1266" s="104"/>
      <c r="E1266" s="104"/>
      <c r="F1266" s="104"/>
      <c r="G1266" s="104"/>
      <c r="H1266" s="103"/>
      <c r="I1266" s="103"/>
      <c r="J1266" s="109"/>
    </row>
    <row r="1267" spans="1:10">
      <c r="A1267" s="101" t="s">
        <v>64</v>
      </c>
      <c r="B1267" s="88" t="s">
        <v>704</v>
      </c>
      <c r="C1267" s="102">
        <v>1988</v>
      </c>
      <c r="D1267" s="104">
        <v>506312289</v>
      </c>
      <c r="E1267" s="104">
        <v>895696039</v>
      </c>
      <c r="F1267" s="104">
        <v>428769940</v>
      </c>
      <c r="G1267" s="104">
        <v>0</v>
      </c>
      <c r="H1267" s="105">
        <f>SUM(D1267:G1267)</f>
        <v>1830778268</v>
      </c>
      <c r="I1267" s="103">
        <v>0</v>
      </c>
    </row>
    <row r="1268" spans="1:10">
      <c r="A1268" s="101" t="s">
        <v>64</v>
      </c>
      <c r="B1268" s="88" t="s">
        <v>704</v>
      </c>
      <c r="C1268" s="102">
        <v>1989</v>
      </c>
      <c r="D1268" s="104">
        <v>514579970</v>
      </c>
      <c r="E1268" s="104">
        <v>1030798115</v>
      </c>
      <c r="F1268" s="104">
        <v>476923224</v>
      </c>
      <c r="G1268" s="104">
        <v>0</v>
      </c>
      <c r="H1268" s="105">
        <f t="shared" ref="H1268:H1299" si="38">SUM(D1268:G1268)</f>
        <v>2022301309</v>
      </c>
      <c r="I1268" s="103">
        <v>0</v>
      </c>
    </row>
    <row r="1269" spans="1:10">
      <c r="A1269" s="101" t="s">
        <v>64</v>
      </c>
      <c r="B1269" s="88" t="s">
        <v>704</v>
      </c>
      <c r="C1269" s="102">
        <v>1990</v>
      </c>
      <c r="D1269" s="104">
        <v>537896369</v>
      </c>
      <c r="E1269" s="104">
        <v>937962526.03999996</v>
      </c>
      <c r="F1269" s="104">
        <v>544414811</v>
      </c>
      <c r="G1269" s="104">
        <v>0</v>
      </c>
      <c r="H1269" s="105">
        <f t="shared" si="38"/>
        <v>2020273706.04</v>
      </c>
      <c r="I1269" s="103">
        <v>0</v>
      </c>
    </row>
    <row r="1270" spans="1:10">
      <c r="A1270" s="101" t="s">
        <v>64</v>
      </c>
      <c r="B1270" s="88" t="s">
        <v>704</v>
      </c>
      <c r="C1270" s="102">
        <v>1991</v>
      </c>
      <c r="D1270" s="104">
        <v>567228111</v>
      </c>
      <c r="E1270" s="104">
        <v>830408324</v>
      </c>
      <c r="F1270" s="104">
        <v>555223454</v>
      </c>
      <c r="G1270" s="104">
        <v>260045972</v>
      </c>
      <c r="H1270" s="105">
        <f t="shared" si="38"/>
        <v>2212905861</v>
      </c>
      <c r="I1270" s="103">
        <v>0</v>
      </c>
    </row>
    <row r="1271" spans="1:10">
      <c r="A1271" s="101" t="s">
        <v>64</v>
      </c>
      <c r="B1271" s="88" t="s">
        <v>704</v>
      </c>
      <c r="C1271" s="102">
        <v>1992</v>
      </c>
      <c r="D1271" s="104">
        <v>596415790</v>
      </c>
      <c r="E1271" s="104">
        <v>812673519.63999999</v>
      </c>
      <c r="F1271" s="104">
        <v>627877935</v>
      </c>
      <c r="G1271" s="104">
        <v>281849324</v>
      </c>
      <c r="H1271" s="105">
        <f t="shared" si="38"/>
        <v>2318816568.6399999</v>
      </c>
      <c r="I1271" s="103">
        <v>0</v>
      </c>
    </row>
    <row r="1272" spans="1:10">
      <c r="A1272" s="101" t="s">
        <v>64</v>
      </c>
      <c r="B1272" s="88" t="s">
        <v>704</v>
      </c>
      <c r="C1272" s="102">
        <v>1993</v>
      </c>
      <c r="D1272" s="104">
        <v>622685909</v>
      </c>
      <c r="E1272" s="104">
        <v>696695276</v>
      </c>
      <c r="F1272" s="104">
        <v>582601955</v>
      </c>
      <c r="G1272" s="104">
        <v>192373597</v>
      </c>
      <c r="H1272" s="105">
        <f t="shared" si="38"/>
        <v>2094356737</v>
      </c>
      <c r="I1272" s="103">
        <v>0</v>
      </c>
    </row>
    <row r="1273" spans="1:10">
      <c r="A1273" s="101" t="s">
        <v>64</v>
      </c>
      <c r="B1273" s="88" t="s">
        <v>704</v>
      </c>
      <c r="C1273" s="102">
        <v>1994</v>
      </c>
      <c r="D1273" s="104">
        <v>697121068</v>
      </c>
      <c r="E1273" s="104">
        <v>925325110</v>
      </c>
      <c r="F1273" s="104">
        <v>569074748</v>
      </c>
      <c r="G1273" s="104">
        <v>152049491</v>
      </c>
      <c r="H1273" s="105">
        <f t="shared" si="38"/>
        <v>2343570417</v>
      </c>
      <c r="I1273" s="103">
        <v>0</v>
      </c>
    </row>
    <row r="1274" spans="1:10">
      <c r="A1274" s="101" t="s">
        <v>64</v>
      </c>
      <c r="B1274" s="88" t="s">
        <v>704</v>
      </c>
      <c r="C1274" s="102">
        <v>1995</v>
      </c>
      <c r="D1274" s="104">
        <v>714798506</v>
      </c>
      <c r="E1274" s="104">
        <v>914040453</v>
      </c>
      <c r="F1274" s="104">
        <v>613797359</v>
      </c>
      <c r="G1274" s="104">
        <v>60386398</v>
      </c>
      <c r="H1274" s="105">
        <f t="shared" si="38"/>
        <v>2303022716</v>
      </c>
      <c r="I1274" s="103">
        <v>0</v>
      </c>
    </row>
    <row r="1275" spans="1:10">
      <c r="A1275" s="101" t="s">
        <v>64</v>
      </c>
      <c r="B1275" s="88" t="s">
        <v>704</v>
      </c>
      <c r="C1275" s="102">
        <v>1996</v>
      </c>
      <c r="D1275" s="104">
        <v>755357432</v>
      </c>
      <c r="E1275" s="104">
        <v>715264307</v>
      </c>
      <c r="F1275" s="104">
        <v>654376965</v>
      </c>
      <c r="G1275" s="104">
        <v>62180671</v>
      </c>
      <c r="H1275" s="105">
        <f t="shared" si="38"/>
        <v>2187179375</v>
      </c>
      <c r="I1275" s="103">
        <v>0</v>
      </c>
    </row>
    <row r="1276" spans="1:10">
      <c r="A1276" s="101" t="s">
        <v>64</v>
      </c>
      <c r="B1276" s="88" t="s">
        <v>704</v>
      </c>
      <c r="C1276" s="102">
        <v>1997</v>
      </c>
      <c r="D1276" s="104">
        <v>719950509</v>
      </c>
      <c r="E1276" s="104">
        <v>686661197</v>
      </c>
      <c r="F1276" s="104">
        <v>792864569</v>
      </c>
      <c r="G1276" s="104">
        <v>65154294</v>
      </c>
      <c r="H1276" s="105">
        <f t="shared" si="38"/>
        <v>2264630569</v>
      </c>
      <c r="I1276" s="103">
        <v>0</v>
      </c>
    </row>
    <row r="1277" spans="1:10">
      <c r="A1277" s="101" t="s">
        <v>64</v>
      </c>
      <c r="B1277" s="88" t="s">
        <v>704</v>
      </c>
      <c r="C1277" s="102">
        <v>1998</v>
      </c>
      <c r="D1277" s="104">
        <v>720826519</v>
      </c>
      <c r="E1277" s="104">
        <v>550848286</v>
      </c>
      <c r="F1277" s="104">
        <v>960047164</v>
      </c>
      <c r="G1277" s="104">
        <v>56616238</v>
      </c>
      <c r="H1277" s="105">
        <f t="shared" si="38"/>
        <v>2288338207</v>
      </c>
      <c r="I1277" s="103">
        <v>0</v>
      </c>
    </row>
    <row r="1278" spans="1:10">
      <c r="A1278" s="101" t="s">
        <v>64</v>
      </c>
      <c r="B1278" s="88" t="s">
        <v>704</v>
      </c>
      <c r="C1278" s="102">
        <v>1999</v>
      </c>
      <c r="D1278" s="104">
        <v>728877210</v>
      </c>
      <c r="E1278" s="104">
        <v>726671578</v>
      </c>
      <c r="F1278" s="104">
        <v>786285685</v>
      </c>
      <c r="G1278" s="104">
        <v>125216390</v>
      </c>
      <c r="H1278" s="105">
        <f t="shared" si="38"/>
        <v>2367050863</v>
      </c>
      <c r="I1278" s="103">
        <v>0</v>
      </c>
    </row>
    <row r="1279" spans="1:10">
      <c r="A1279" s="101" t="s">
        <v>64</v>
      </c>
      <c r="B1279" s="88" t="s">
        <v>704</v>
      </c>
      <c r="C1279" s="102">
        <v>2000</v>
      </c>
      <c r="D1279" s="104">
        <v>743282612</v>
      </c>
      <c r="E1279" s="104">
        <v>893636452</v>
      </c>
      <c r="F1279" s="104">
        <v>909940157</v>
      </c>
      <c r="G1279" s="104">
        <v>73526876</v>
      </c>
      <c r="H1279" s="105">
        <f t="shared" si="38"/>
        <v>2620386097</v>
      </c>
      <c r="I1279" s="103">
        <v>0</v>
      </c>
    </row>
    <row r="1280" spans="1:10">
      <c r="A1280" s="101" t="s">
        <v>64</v>
      </c>
      <c r="B1280" s="88" t="s">
        <v>704</v>
      </c>
      <c r="C1280" s="102">
        <v>2001</v>
      </c>
      <c r="D1280" s="104">
        <v>771999343</v>
      </c>
      <c r="E1280" s="104">
        <v>1004482176</v>
      </c>
      <c r="F1280" s="104">
        <v>803603902</v>
      </c>
      <c r="G1280" s="104">
        <v>93354686</v>
      </c>
      <c r="H1280" s="105">
        <f t="shared" si="38"/>
        <v>2673440107</v>
      </c>
      <c r="I1280" s="103">
        <v>0</v>
      </c>
    </row>
    <row r="1281" spans="1:9">
      <c r="A1281" s="101" t="s">
        <v>64</v>
      </c>
      <c r="B1281" s="88" t="s">
        <v>704</v>
      </c>
      <c r="C1281" s="102">
        <v>2002</v>
      </c>
      <c r="D1281" s="104">
        <v>790911199</v>
      </c>
      <c r="E1281" s="104">
        <v>1332585909</v>
      </c>
      <c r="F1281" s="104">
        <v>848558514</v>
      </c>
      <c r="G1281" s="104">
        <v>51183511</v>
      </c>
      <c r="H1281" s="105">
        <f t="shared" si="38"/>
        <v>3023239133</v>
      </c>
      <c r="I1281" s="103">
        <v>0</v>
      </c>
    </row>
    <row r="1282" spans="1:9">
      <c r="A1282" s="101" t="s">
        <v>64</v>
      </c>
      <c r="B1282" s="88" t="s">
        <v>704</v>
      </c>
      <c r="C1282" s="102">
        <v>2003</v>
      </c>
      <c r="D1282" s="106">
        <v>847274270</v>
      </c>
      <c r="E1282" s="106">
        <v>1396433518</v>
      </c>
      <c r="F1282" s="106">
        <v>884605712</v>
      </c>
      <c r="G1282" s="106">
        <v>48002935</v>
      </c>
      <c r="H1282" s="105">
        <f t="shared" si="38"/>
        <v>3176316435</v>
      </c>
      <c r="I1282" s="103">
        <v>0</v>
      </c>
    </row>
    <row r="1283" spans="1:9">
      <c r="A1283" s="101" t="s">
        <v>64</v>
      </c>
      <c r="B1283" s="88" t="s">
        <v>704</v>
      </c>
      <c r="C1283" s="102">
        <v>2004</v>
      </c>
      <c r="D1283" s="106">
        <v>880003563</v>
      </c>
      <c r="E1283" s="106">
        <v>1274161437</v>
      </c>
      <c r="F1283" s="106">
        <v>987967712</v>
      </c>
      <c r="G1283" s="106">
        <v>38304389</v>
      </c>
      <c r="H1283" s="105">
        <f t="shared" si="38"/>
        <v>3180437101</v>
      </c>
      <c r="I1283" s="103">
        <v>0</v>
      </c>
    </row>
    <row r="1284" spans="1:9">
      <c r="A1284" s="101" t="s">
        <v>64</v>
      </c>
      <c r="B1284" s="88" t="s">
        <v>704</v>
      </c>
      <c r="C1284" s="102">
        <v>2005</v>
      </c>
      <c r="D1284" s="106">
        <v>856725793</v>
      </c>
      <c r="E1284" s="106">
        <v>1082211585</v>
      </c>
      <c r="F1284" s="106">
        <v>1118685177.0999899</v>
      </c>
      <c r="G1284" s="106">
        <v>21704483</v>
      </c>
      <c r="H1284" s="105">
        <f t="shared" si="38"/>
        <v>3079327038.0999899</v>
      </c>
      <c r="I1284" s="103">
        <v>0</v>
      </c>
    </row>
    <row r="1285" spans="1:9">
      <c r="A1285" s="101" t="s">
        <v>64</v>
      </c>
      <c r="B1285" s="88" t="s">
        <v>704</v>
      </c>
      <c r="C1285" s="102">
        <v>2006</v>
      </c>
      <c r="D1285" s="103">
        <v>928149167</v>
      </c>
      <c r="E1285" s="103">
        <v>1099881946</v>
      </c>
      <c r="F1285" s="103">
        <v>1346163921</v>
      </c>
      <c r="G1285" s="103">
        <v>15663377</v>
      </c>
      <c r="H1285" s="105">
        <f t="shared" si="38"/>
        <v>3389858411</v>
      </c>
      <c r="I1285" s="103">
        <v>0</v>
      </c>
    </row>
    <row r="1286" spans="1:9">
      <c r="A1286" s="101" t="s">
        <v>64</v>
      </c>
      <c r="B1286" s="88" t="s">
        <v>704</v>
      </c>
      <c r="C1286" s="102">
        <v>2007</v>
      </c>
      <c r="D1286" s="103">
        <v>940070559</v>
      </c>
      <c r="E1286" s="103">
        <v>1228133633</v>
      </c>
      <c r="F1286" s="103">
        <v>1985559448</v>
      </c>
      <c r="G1286" s="104">
        <v>-101448253</v>
      </c>
      <c r="H1286" s="105">
        <f t="shared" si="38"/>
        <v>4052315387</v>
      </c>
      <c r="I1286" s="103">
        <v>0</v>
      </c>
    </row>
    <row r="1287" spans="1:9">
      <c r="A1287" s="101" t="s">
        <v>64</v>
      </c>
      <c r="B1287" s="88" t="s">
        <v>704</v>
      </c>
      <c r="C1287" s="102">
        <v>2008</v>
      </c>
      <c r="D1287" s="103">
        <v>966239499</v>
      </c>
      <c r="E1287" s="103">
        <v>1589801073</v>
      </c>
      <c r="F1287" s="103">
        <v>1962685043</v>
      </c>
      <c r="G1287" s="103">
        <v>19167596</v>
      </c>
      <c r="H1287" s="105">
        <f t="shared" si="38"/>
        <v>4537893211</v>
      </c>
      <c r="I1287" s="103">
        <v>0</v>
      </c>
    </row>
    <row r="1288" spans="1:9">
      <c r="A1288" s="101" t="s">
        <v>64</v>
      </c>
      <c r="B1288" s="88" t="s">
        <v>704</v>
      </c>
      <c r="C1288" s="102">
        <v>2009</v>
      </c>
      <c r="D1288" s="103">
        <v>1017455661</v>
      </c>
      <c r="E1288" s="103">
        <v>1530980278</v>
      </c>
      <c r="F1288" s="103">
        <v>1964912338</v>
      </c>
      <c r="G1288" s="103">
        <v>44277832</v>
      </c>
      <c r="H1288" s="105">
        <f t="shared" si="38"/>
        <v>4557626109</v>
      </c>
      <c r="I1288" s="103">
        <v>0</v>
      </c>
    </row>
    <row r="1289" spans="1:9">
      <c r="A1289" s="101" t="s">
        <v>64</v>
      </c>
      <c r="B1289" s="88" t="s">
        <v>704</v>
      </c>
      <c r="C1289" s="102">
        <v>2010</v>
      </c>
      <c r="D1289" s="103">
        <v>1049139067</v>
      </c>
      <c r="E1289" s="103">
        <v>1500106331</v>
      </c>
      <c r="F1289" s="103">
        <v>2080036886</v>
      </c>
      <c r="G1289" s="103">
        <v>62447343</v>
      </c>
      <c r="H1289" s="105">
        <f t="shared" si="38"/>
        <v>4691729627</v>
      </c>
      <c r="I1289" s="103">
        <v>0</v>
      </c>
    </row>
    <row r="1290" spans="1:9">
      <c r="A1290" s="101" t="s">
        <v>64</v>
      </c>
      <c r="B1290" s="88" t="s">
        <v>704</v>
      </c>
      <c r="C1290" s="102">
        <v>2011</v>
      </c>
      <c r="D1290" s="103">
        <v>1090276860</v>
      </c>
      <c r="E1290" s="103">
        <v>1259814723</v>
      </c>
      <c r="F1290" s="103">
        <v>2213758036.5799999</v>
      </c>
      <c r="G1290" s="103">
        <v>62825317</v>
      </c>
      <c r="H1290" s="105">
        <f t="shared" si="38"/>
        <v>4626674936.5799999</v>
      </c>
      <c r="I1290" s="103">
        <v>0</v>
      </c>
    </row>
    <row r="1291" spans="1:9">
      <c r="A1291" s="101" t="s">
        <v>64</v>
      </c>
      <c r="B1291" s="88" t="s">
        <v>704</v>
      </c>
      <c r="C1291" s="102">
        <v>2012</v>
      </c>
      <c r="D1291" s="103">
        <v>1108512537</v>
      </c>
      <c r="E1291" s="103">
        <v>1321757513</v>
      </c>
      <c r="F1291" s="103">
        <v>1510631717</v>
      </c>
      <c r="G1291" s="103">
        <v>48366542</v>
      </c>
      <c r="H1291" s="105">
        <f t="shared" si="38"/>
        <v>3989268309</v>
      </c>
      <c r="I1291" s="103">
        <v>0</v>
      </c>
    </row>
    <row r="1292" spans="1:9">
      <c r="A1292" s="101" t="s">
        <v>64</v>
      </c>
      <c r="B1292" s="88" t="s">
        <v>704</v>
      </c>
      <c r="C1292" s="102">
        <v>2013</v>
      </c>
      <c r="D1292" s="103">
        <v>1099992671</v>
      </c>
      <c r="E1292" s="103">
        <v>1366316746</v>
      </c>
      <c r="F1292" s="103">
        <v>1594284187</v>
      </c>
      <c r="G1292" s="103">
        <v>48830750</v>
      </c>
      <c r="H1292" s="105">
        <f t="shared" si="38"/>
        <v>4109424354</v>
      </c>
      <c r="I1292" s="103">
        <v>0</v>
      </c>
    </row>
    <row r="1293" spans="1:9">
      <c r="A1293" s="101" t="s">
        <v>64</v>
      </c>
      <c r="B1293" s="88" t="s">
        <v>704</v>
      </c>
      <c r="C1293" s="102">
        <v>2014</v>
      </c>
      <c r="D1293" s="103">
        <v>1153577720</v>
      </c>
      <c r="E1293" s="103">
        <v>1525669016</v>
      </c>
      <c r="F1293" s="103">
        <v>1648109090.48</v>
      </c>
      <c r="G1293" s="103">
        <v>62301029</v>
      </c>
      <c r="H1293" s="105">
        <f t="shared" si="38"/>
        <v>4389656855.4799995</v>
      </c>
      <c r="I1293" s="103">
        <v>0</v>
      </c>
    </row>
    <row r="1294" spans="1:9">
      <c r="A1294" s="101" t="s">
        <v>64</v>
      </c>
      <c r="B1294" s="88" t="s">
        <v>704</v>
      </c>
      <c r="C1294" s="102">
        <v>2015</v>
      </c>
      <c r="D1294" s="103">
        <v>1173943291</v>
      </c>
      <c r="E1294" s="103">
        <v>1651855009</v>
      </c>
      <c r="F1294" s="103">
        <v>1656057822</v>
      </c>
      <c r="G1294" s="103">
        <v>68311429</v>
      </c>
      <c r="H1294" s="105">
        <f t="shared" si="38"/>
        <v>4550167551</v>
      </c>
      <c r="I1294" s="103">
        <v>0</v>
      </c>
    </row>
    <row r="1295" spans="1:9">
      <c r="A1295" s="101" t="s">
        <v>64</v>
      </c>
      <c r="B1295" s="88" t="s">
        <v>704</v>
      </c>
      <c r="C1295" s="102">
        <v>2016</v>
      </c>
      <c r="D1295" s="103">
        <v>1226169489</v>
      </c>
      <c r="E1295" s="103">
        <v>1845096960</v>
      </c>
      <c r="F1295" s="103">
        <v>1617437271</v>
      </c>
      <c r="G1295" s="103">
        <v>96278666</v>
      </c>
      <c r="H1295" s="105">
        <f t="shared" si="38"/>
        <v>4784982386</v>
      </c>
      <c r="I1295" s="103">
        <v>0</v>
      </c>
    </row>
    <row r="1296" spans="1:9">
      <c r="A1296" s="101" t="s">
        <v>64</v>
      </c>
      <c r="B1296" s="88" t="s">
        <v>704</v>
      </c>
      <c r="C1296" s="102">
        <v>2017</v>
      </c>
      <c r="D1296" s="103">
        <v>1261514496</v>
      </c>
      <c r="E1296" s="103">
        <v>1741493618</v>
      </c>
      <c r="F1296" s="103">
        <v>1405128341.78</v>
      </c>
      <c r="G1296" s="103">
        <v>74596790</v>
      </c>
      <c r="H1296" s="105">
        <f t="shared" si="38"/>
        <v>4482733245.7799997</v>
      </c>
      <c r="I1296" s="103">
        <v>0</v>
      </c>
    </row>
    <row r="1297" spans="1:10">
      <c r="A1297" s="101" t="s">
        <v>64</v>
      </c>
      <c r="B1297" s="88" t="s">
        <v>704</v>
      </c>
      <c r="C1297" s="102">
        <v>2018</v>
      </c>
      <c r="D1297" s="103">
        <v>1289321205</v>
      </c>
      <c r="E1297" s="103">
        <v>2113266872</v>
      </c>
      <c r="F1297" s="103">
        <v>1543021071.1100001</v>
      </c>
      <c r="G1297" s="103">
        <v>54907683</v>
      </c>
      <c r="H1297" s="105">
        <f t="shared" si="38"/>
        <v>5000516831.1100006</v>
      </c>
      <c r="I1297" s="103">
        <v>0</v>
      </c>
    </row>
    <row r="1298" spans="1:10">
      <c r="A1298" s="101" t="s">
        <v>64</v>
      </c>
      <c r="B1298" s="88" t="s">
        <v>704</v>
      </c>
      <c r="C1298" s="102">
        <v>2019</v>
      </c>
      <c r="D1298" s="103">
        <v>1310686624</v>
      </c>
      <c r="E1298" s="103">
        <v>2347333562</v>
      </c>
      <c r="F1298" s="103">
        <v>1648970700.0999999</v>
      </c>
      <c r="G1298" s="103">
        <v>27818163</v>
      </c>
      <c r="H1298" s="105">
        <f t="shared" si="38"/>
        <v>5334809049.1000004</v>
      </c>
      <c r="I1298" s="103">
        <v>37156883</v>
      </c>
      <c r="J1298" s="111" t="s">
        <v>675</v>
      </c>
    </row>
    <row r="1299" spans="1:10">
      <c r="A1299" s="101" t="s">
        <v>64</v>
      </c>
      <c r="B1299" s="88" t="s">
        <v>704</v>
      </c>
      <c r="C1299" s="102">
        <v>2020</v>
      </c>
      <c r="D1299" s="103">
        <v>1324261962</v>
      </c>
      <c r="E1299" s="103">
        <v>1928873542</v>
      </c>
      <c r="F1299" s="103">
        <v>1690080284</v>
      </c>
      <c r="G1299" s="103">
        <v>847417</v>
      </c>
      <c r="H1299" s="105">
        <f t="shared" si="38"/>
        <v>4944063205</v>
      </c>
      <c r="I1299" s="103">
        <v>27377831</v>
      </c>
      <c r="J1299" s="111" t="s">
        <v>675</v>
      </c>
    </row>
    <row r="1300" spans="1:10">
      <c r="A1300" s="101"/>
      <c r="B1300" s="107"/>
      <c r="D1300" s="104"/>
      <c r="E1300" s="104"/>
      <c r="F1300" s="104"/>
      <c r="G1300" s="104"/>
      <c r="H1300" s="103"/>
      <c r="I1300" s="103"/>
    </row>
    <row r="1301" spans="1:10">
      <c r="A1301" s="101" t="s">
        <v>65</v>
      </c>
      <c r="B1301" s="88" t="s">
        <v>188</v>
      </c>
      <c r="C1301" s="102">
        <v>1988</v>
      </c>
      <c r="D1301" s="104">
        <v>2700343793</v>
      </c>
      <c r="E1301" s="104">
        <v>2724377425</v>
      </c>
      <c r="F1301" s="104">
        <v>1690553654</v>
      </c>
      <c r="G1301" s="104">
        <v>0</v>
      </c>
      <c r="H1301" s="105">
        <f>SUM(D1301:G1301)</f>
        <v>7115274872</v>
      </c>
      <c r="I1301" s="103">
        <v>0</v>
      </c>
    </row>
    <row r="1302" spans="1:10">
      <c r="A1302" s="101" t="s">
        <v>65</v>
      </c>
      <c r="B1302" s="88" t="s">
        <v>188</v>
      </c>
      <c r="C1302" s="102">
        <v>1989</v>
      </c>
      <c r="D1302" s="104">
        <v>2859921673</v>
      </c>
      <c r="E1302" s="104">
        <v>3506394627</v>
      </c>
      <c r="F1302" s="104">
        <v>1785997652</v>
      </c>
      <c r="G1302" s="104">
        <v>0</v>
      </c>
      <c r="H1302" s="105">
        <f t="shared" ref="H1302:H1333" si="39">SUM(D1302:G1302)</f>
        <v>8152313952</v>
      </c>
      <c r="I1302" s="103">
        <v>0</v>
      </c>
    </row>
    <row r="1303" spans="1:10">
      <c r="A1303" s="101" t="s">
        <v>65</v>
      </c>
      <c r="B1303" s="88" t="s">
        <v>188</v>
      </c>
      <c r="C1303" s="102">
        <v>1990</v>
      </c>
      <c r="D1303" s="104">
        <v>3035490589</v>
      </c>
      <c r="E1303" s="104">
        <v>3622625730.4000001</v>
      </c>
      <c r="F1303" s="104">
        <v>1888296161</v>
      </c>
      <c r="G1303" s="104">
        <v>0</v>
      </c>
      <c r="H1303" s="105">
        <f t="shared" si="39"/>
        <v>8546412480.3999996</v>
      </c>
      <c r="I1303" s="103">
        <v>0</v>
      </c>
    </row>
    <row r="1304" spans="1:10">
      <c r="A1304" s="101" t="s">
        <v>65</v>
      </c>
      <c r="B1304" s="88" t="s">
        <v>188</v>
      </c>
      <c r="C1304" s="102">
        <v>1991</v>
      </c>
      <c r="D1304" s="104">
        <v>3191579628</v>
      </c>
      <c r="E1304" s="104">
        <v>2821578406</v>
      </c>
      <c r="F1304" s="104">
        <v>1985179991</v>
      </c>
      <c r="G1304" s="104">
        <v>0</v>
      </c>
      <c r="H1304" s="105">
        <f t="shared" si="39"/>
        <v>7998338025</v>
      </c>
      <c r="I1304" s="103">
        <v>0</v>
      </c>
    </row>
    <row r="1305" spans="1:10">
      <c r="A1305" s="101" t="s">
        <v>65</v>
      </c>
      <c r="B1305" s="88" t="s">
        <v>188</v>
      </c>
      <c r="C1305" s="102">
        <v>1992</v>
      </c>
      <c r="D1305" s="104">
        <v>3358538676</v>
      </c>
      <c r="E1305" s="104">
        <v>2438918555.1599998</v>
      </c>
      <c r="F1305" s="104">
        <v>2017525467</v>
      </c>
      <c r="G1305" s="104">
        <v>1628237584</v>
      </c>
      <c r="H1305" s="105">
        <f t="shared" si="39"/>
        <v>9443220282.1599998</v>
      </c>
      <c r="I1305" s="103">
        <v>0</v>
      </c>
    </row>
    <row r="1306" spans="1:10">
      <c r="A1306" s="101" t="s">
        <v>65</v>
      </c>
      <c r="B1306" s="88" t="s">
        <v>188</v>
      </c>
      <c r="C1306" s="102">
        <v>1993</v>
      </c>
      <c r="D1306" s="104">
        <v>3578335954</v>
      </c>
      <c r="E1306" s="104">
        <v>2225973485</v>
      </c>
      <c r="F1306" s="104">
        <v>2117059165</v>
      </c>
      <c r="G1306" s="104">
        <v>1379394121</v>
      </c>
      <c r="H1306" s="105">
        <f t="shared" si="39"/>
        <v>9300762725</v>
      </c>
      <c r="I1306" s="103">
        <v>0</v>
      </c>
    </row>
    <row r="1307" spans="1:10">
      <c r="A1307" s="101" t="s">
        <v>65</v>
      </c>
      <c r="B1307" s="88" t="s">
        <v>188</v>
      </c>
      <c r="C1307" s="102">
        <v>1994</v>
      </c>
      <c r="D1307" s="104">
        <v>3734032803</v>
      </c>
      <c r="E1307" s="104">
        <v>2530741767</v>
      </c>
      <c r="F1307" s="104">
        <v>2228943235</v>
      </c>
      <c r="G1307" s="104">
        <v>1369288162</v>
      </c>
      <c r="H1307" s="105">
        <f t="shared" si="39"/>
        <v>9863005967</v>
      </c>
      <c r="I1307" s="103">
        <v>0</v>
      </c>
    </row>
    <row r="1308" spans="1:10">
      <c r="A1308" s="101" t="s">
        <v>65</v>
      </c>
      <c r="B1308" s="88" t="s">
        <v>188</v>
      </c>
      <c r="C1308" s="102">
        <v>1995</v>
      </c>
      <c r="D1308" s="104">
        <v>3790467592</v>
      </c>
      <c r="E1308" s="104">
        <v>2878497123</v>
      </c>
      <c r="F1308" s="104">
        <v>2354037821</v>
      </c>
      <c r="G1308" s="104">
        <v>1244507998</v>
      </c>
      <c r="H1308" s="105">
        <f t="shared" si="39"/>
        <v>10267510534</v>
      </c>
      <c r="I1308" s="103">
        <v>0</v>
      </c>
    </row>
    <row r="1309" spans="1:10">
      <c r="A1309" s="101" t="s">
        <v>65</v>
      </c>
      <c r="B1309" s="88" t="s">
        <v>188</v>
      </c>
      <c r="C1309" s="102">
        <v>1996</v>
      </c>
      <c r="D1309" s="104">
        <v>3878535536</v>
      </c>
      <c r="E1309" s="104">
        <v>2375412080</v>
      </c>
      <c r="F1309" s="104">
        <v>2442567996</v>
      </c>
      <c r="G1309" s="104">
        <v>942485425</v>
      </c>
      <c r="H1309" s="105">
        <f t="shared" si="39"/>
        <v>9639001037</v>
      </c>
      <c r="I1309" s="103">
        <v>0</v>
      </c>
    </row>
    <row r="1310" spans="1:10">
      <c r="A1310" s="101" t="s">
        <v>65</v>
      </c>
      <c r="B1310" s="88" t="s">
        <v>188</v>
      </c>
      <c r="C1310" s="102">
        <v>1997</v>
      </c>
      <c r="D1310" s="104">
        <v>4096755372</v>
      </c>
      <c r="E1310" s="104">
        <v>2561449089</v>
      </c>
      <c r="F1310" s="104">
        <v>3046664447</v>
      </c>
      <c r="G1310" s="104">
        <v>1121172513</v>
      </c>
      <c r="H1310" s="105">
        <f t="shared" si="39"/>
        <v>10826041421</v>
      </c>
      <c r="I1310" s="103">
        <v>0</v>
      </c>
    </row>
    <row r="1311" spans="1:10">
      <c r="A1311" s="101" t="s">
        <v>65</v>
      </c>
      <c r="B1311" s="88" t="s">
        <v>188</v>
      </c>
      <c r="C1311" s="102">
        <v>1998</v>
      </c>
      <c r="D1311" s="104">
        <v>4404475350</v>
      </c>
      <c r="E1311" s="104">
        <v>2543399536</v>
      </c>
      <c r="F1311" s="104">
        <v>3807399187</v>
      </c>
      <c r="G1311" s="104">
        <v>1180688239</v>
      </c>
      <c r="H1311" s="105">
        <f t="shared" si="39"/>
        <v>11935962312</v>
      </c>
      <c r="I1311" s="103">
        <v>0</v>
      </c>
    </row>
    <row r="1312" spans="1:10">
      <c r="A1312" s="101" t="s">
        <v>65</v>
      </c>
      <c r="B1312" s="88" t="s">
        <v>188</v>
      </c>
      <c r="C1312" s="102">
        <v>1999</v>
      </c>
      <c r="D1312" s="104">
        <v>3949231052</v>
      </c>
      <c r="E1312" s="104">
        <v>3219744087</v>
      </c>
      <c r="F1312" s="104">
        <v>4298497622</v>
      </c>
      <c r="G1312" s="104">
        <v>1691105187</v>
      </c>
      <c r="H1312" s="105">
        <f t="shared" si="39"/>
        <v>13158577948</v>
      </c>
      <c r="I1312" s="103">
        <v>0</v>
      </c>
    </row>
    <row r="1313" spans="1:9">
      <c r="A1313" s="101" t="s">
        <v>65</v>
      </c>
      <c r="B1313" s="88" t="s">
        <v>188</v>
      </c>
      <c r="C1313" s="102">
        <v>2000</v>
      </c>
      <c r="D1313" s="104">
        <v>4065294184</v>
      </c>
      <c r="E1313" s="104">
        <v>4488726962</v>
      </c>
      <c r="F1313" s="104">
        <v>4761736114</v>
      </c>
      <c r="G1313" s="104">
        <v>2041018228</v>
      </c>
      <c r="H1313" s="105">
        <f t="shared" si="39"/>
        <v>15356775488</v>
      </c>
      <c r="I1313" s="103">
        <v>0</v>
      </c>
    </row>
    <row r="1314" spans="1:9">
      <c r="A1314" s="101" t="s">
        <v>65</v>
      </c>
      <c r="B1314" s="88" t="s">
        <v>188</v>
      </c>
      <c r="C1314" s="102">
        <v>2001</v>
      </c>
      <c r="D1314" s="104">
        <v>4102437813</v>
      </c>
      <c r="E1314" s="104">
        <v>6056074057</v>
      </c>
      <c r="F1314" s="104">
        <v>5453565481</v>
      </c>
      <c r="G1314" s="104">
        <v>1279744383</v>
      </c>
      <c r="H1314" s="105">
        <f t="shared" si="39"/>
        <v>16891821734</v>
      </c>
      <c r="I1314" s="103">
        <v>0</v>
      </c>
    </row>
    <row r="1315" spans="1:9">
      <c r="A1315" s="101" t="s">
        <v>65</v>
      </c>
      <c r="B1315" s="88" t="s">
        <v>188</v>
      </c>
      <c r="C1315" s="102">
        <v>2002</v>
      </c>
      <c r="D1315" s="104">
        <v>4241759312</v>
      </c>
      <c r="E1315" s="104">
        <v>7757730305</v>
      </c>
      <c r="F1315" s="104">
        <v>5423904037</v>
      </c>
      <c r="G1315" s="104">
        <v>886465132</v>
      </c>
      <c r="H1315" s="105">
        <f t="shared" si="39"/>
        <v>18309858786</v>
      </c>
      <c r="I1315" s="103">
        <v>0</v>
      </c>
    </row>
    <row r="1316" spans="1:9">
      <c r="A1316" s="101" t="s">
        <v>65</v>
      </c>
      <c r="B1316" s="88" t="s">
        <v>188</v>
      </c>
      <c r="C1316" s="102">
        <v>2003</v>
      </c>
      <c r="D1316" s="106">
        <v>4283734618</v>
      </c>
      <c r="E1316" s="106">
        <v>6612923769</v>
      </c>
      <c r="F1316" s="106">
        <v>5454626329</v>
      </c>
      <c r="G1316" s="106">
        <v>1999372190</v>
      </c>
      <c r="H1316" s="105">
        <f t="shared" si="39"/>
        <v>18350656906</v>
      </c>
      <c r="I1316" s="103">
        <v>0</v>
      </c>
    </row>
    <row r="1317" spans="1:9">
      <c r="A1317" s="101" t="s">
        <v>65</v>
      </c>
      <c r="B1317" s="88" t="s">
        <v>188</v>
      </c>
      <c r="C1317" s="102">
        <v>2004</v>
      </c>
      <c r="D1317" s="106">
        <v>4440999335</v>
      </c>
      <c r="E1317" s="106">
        <v>5576480544</v>
      </c>
      <c r="F1317" s="106">
        <v>6099829758</v>
      </c>
      <c r="G1317" s="106">
        <v>1689775776</v>
      </c>
      <c r="H1317" s="105">
        <f t="shared" si="39"/>
        <v>17807085413</v>
      </c>
      <c r="I1317" s="103">
        <v>0</v>
      </c>
    </row>
    <row r="1318" spans="1:9">
      <c r="A1318" s="101" t="s">
        <v>65</v>
      </c>
      <c r="B1318" s="88" t="s">
        <v>188</v>
      </c>
      <c r="C1318" s="102">
        <v>2005</v>
      </c>
      <c r="D1318" s="106">
        <v>4483627399</v>
      </c>
      <c r="E1318" s="106">
        <v>5460271116</v>
      </c>
      <c r="F1318" s="106">
        <v>6311221044.0699902</v>
      </c>
      <c r="G1318" s="106">
        <v>1692178534</v>
      </c>
      <c r="H1318" s="105">
        <f t="shared" si="39"/>
        <v>17947298093.069992</v>
      </c>
      <c r="I1318" s="103">
        <v>0</v>
      </c>
    </row>
    <row r="1319" spans="1:9">
      <c r="A1319" s="101" t="s">
        <v>65</v>
      </c>
      <c r="B1319" s="88" t="s">
        <v>188</v>
      </c>
      <c r="C1319" s="102">
        <v>2006</v>
      </c>
      <c r="D1319" s="103">
        <v>4768194250</v>
      </c>
      <c r="E1319" s="103">
        <v>6048284361</v>
      </c>
      <c r="F1319" s="103">
        <v>6921767748</v>
      </c>
      <c r="G1319" s="103">
        <v>1274331754</v>
      </c>
      <c r="H1319" s="105">
        <f t="shared" si="39"/>
        <v>19012578113</v>
      </c>
      <c r="I1319" s="103">
        <v>0</v>
      </c>
    </row>
    <row r="1320" spans="1:9">
      <c r="A1320" s="101" t="s">
        <v>65</v>
      </c>
      <c r="B1320" s="88" t="s">
        <v>188</v>
      </c>
      <c r="C1320" s="102">
        <v>2007</v>
      </c>
      <c r="D1320" s="103">
        <v>5066977183</v>
      </c>
      <c r="E1320" s="103">
        <v>5466247689</v>
      </c>
      <c r="F1320" s="103">
        <v>9928397167</v>
      </c>
      <c r="G1320" s="103">
        <v>1261160193</v>
      </c>
      <c r="H1320" s="105">
        <f t="shared" si="39"/>
        <v>21722782232</v>
      </c>
      <c r="I1320" s="103">
        <v>0</v>
      </c>
    </row>
    <row r="1321" spans="1:9">
      <c r="A1321" s="101" t="s">
        <v>65</v>
      </c>
      <c r="B1321" s="88" t="s">
        <v>188</v>
      </c>
      <c r="C1321" s="102">
        <v>2008</v>
      </c>
      <c r="D1321" s="103">
        <v>5205611810</v>
      </c>
      <c r="E1321" s="103">
        <v>7478753172</v>
      </c>
      <c r="F1321" s="103">
        <v>11184147263</v>
      </c>
      <c r="G1321" s="103">
        <v>1728321413</v>
      </c>
      <c r="H1321" s="105">
        <f t="shared" si="39"/>
        <v>25596833658</v>
      </c>
      <c r="I1321" s="103">
        <v>0</v>
      </c>
    </row>
    <row r="1322" spans="1:9">
      <c r="A1322" s="101" t="s">
        <v>65</v>
      </c>
      <c r="B1322" s="88" t="s">
        <v>188</v>
      </c>
      <c r="C1322" s="102">
        <v>2009</v>
      </c>
      <c r="D1322" s="103">
        <v>5353285595</v>
      </c>
      <c r="E1322" s="103">
        <v>7676423343</v>
      </c>
      <c r="F1322" s="103">
        <v>11075676444</v>
      </c>
      <c r="G1322" s="103">
        <v>1281332384</v>
      </c>
      <c r="H1322" s="105">
        <f t="shared" si="39"/>
        <v>25386717766</v>
      </c>
      <c r="I1322" s="103">
        <v>0</v>
      </c>
    </row>
    <row r="1323" spans="1:9">
      <c r="A1323" s="101" t="s">
        <v>65</v>
      </c>
      <c r="B1323" s="88" t="s">
        <v>188</v>
      </c>
      <c r="C1323" s="102">
        <v>2010</v>
      </c>
      <c r="D1323" s="103">
        <v>5636140327</v>
      </c>
      <c r="E1323" s="103">
        <v>7066633789</v>
      </c>
      <c r="F1323" s="103">
        <v>11650282301</v>
      </c>
      <c r="G1323" s="103">
        <v>1301573231</v>
      </c>
      <c r="H1323" s="105">
        <f t="shared" si="39"/>
        <v>25654629648</v>
      </c>
      <c r="I1323" s="103">
        <v>0</v>
      </c>
    </row>
    <row r="1324" spans="1:9">
      <c r="A1324" s="101" t="s">
        <v>65</v>
      </c>
      <c r="B1324" s="88" t="s">
        <v>188</v>
      </c>
      <c r="C1324" s="102">
        <v>2011</v>
      </c>
      <c r="D1324" s="103">
        <v>5811507389</v>
      </c>
      <c r="E1324" s="103">
        <v>6596059850</v>
      </c>
      <c r="F1324" s="103">
        <v>12454795522.610001</v>
      </c>
      <c r="G1324" s="103">
        <v>1527433646</v>
      </c>
      <c r="H1324" s="105">
        <f t="shared" si="39"/>
        <v>26389796407.610001</v>
      </c>
      <c r="I1324" s="103">
        <v>0</v>
      </c>
    </row>
    <row r="1325" spans="1:9">
      <c r="A1325" s="101" t="s">
        <v>65</v>
      </c>
      <c r="B1325" s="88" t="s">
        <v>188</v>
      </c>
      <c r="C1325" s="102">
        <v>2012</v>
      </c>
      <c r="D1325" s="103">
        <v>5990227116</v>
      </c>
      <c r="E1325" s="103">
        <v>7503416133</v>
      </c>
      <c r="F1325" s="103">
        <v>10664417471</v>
      </c>
      <c r="G1325" s="103">
        <v>3251184196</v>
      </c>
      <c r="H1325" s="105">
        <f t="shared" si="39"/>
        <v>27409244916</v>
      </c>
      <c r="I1325" s="103">
        <v>0</v>
      </c>
    </row>
    <row r="1326" spans="1:9">
      <c r="A1326" s="101" t="s">
        <v>65</v>
      </c>
      <c r="B1326" s="88" t="s">
        <v>188</v>
      </c>
      <c r="C1326" s="102">
        <v>2013</v>
      </c>
      <c r="D1326" s="103">
        <v>5920112582</v>
      </c>
      <c r="E1326" s="103">
        <v>6720359304</v>
      </c>
      <c r="F1326" s="103">
        <v>10568395499</v>
      </c>
      <c r="G1326" s="103">
        <v>1869439380</v>
      </c>
      <c r="H1326" s="105">
        <f t="shared" si="39"/>
        <v>25078306765</v>
      </c>
      <c r="I1326" s="103">
        <v>0</v>
      </c>
    </row>
    <row r="1327" spans="1:9">
      <c r="A1327" s="101" t="s">
        <v>65</v>
      </c>
      <c r="B1327" s="88" t="s">
        <v>188</v>
      </c>
      <c r="C1327" s="102">
        <v>2014</v>
      </c>
      <c r="D1327" s="103">
        <v>6025992624</v>
      </c>
      <c r="E1327" s="103">
        <v>7444443899</v>
      </c>
      <c r="F1327" s="103">
        <v>11939933948.51</v>
      </c>
      <c r="G1327" s="103">
        <v>1965205332</v>
      </c>
      <c r="H1327" s="105">
        <f t="shared" si="39"/>
        <v>27375575803.510002</v>
      </c>
      <c r="I1327" s="103">
        <v>0</v>
      </c>
    </row>
    <row r="1328" spans="1:9">
      <c r="A1328" s="101" t="s">
        <v>65</v>
      </c>
      <c r="B1328" s="88" t="s">
        <v>188</v>
      </c>
      <c r="C1328" s="102">
        <v>2015</v>
      </c>
      <c r="D1328" s="103">
        <v>6193416685</v>
      </c>
      <c r="E1328" s="103">
        <v>8722631480</v>
      </c>
      <c r="F1328" s="103">
        <v>11286310241</v>
      </c>
      <c r="G1328" s="103">
        <v>1758356483</v>
      </c>
      <c r="H1328" s="105">
        <f t="shared" si="39"/>
        <v>27960714889</v>
      </c>
      <c r="I1328" s="103">
        <v>0</v>
      </c>
    </row>
    <row r="1329" spans="1:11">
      <c r="A1329" s="101" t="s">
        <v>65</v>
      </c>
      <c r="B1329" s="88" t="s">
        <v>188</v>
      </c>
      <c r="C1329" s="102">
        <v>2016</v>
      </c>
      <c r="D1329" s="103">
        <v>6247803734</v>
      </c>
      <c r="E1329" s="103">
        <v>9678768629</v>
      </c>
      <c r="F1329" s="103">
        <v>11239573035</v>
      </c>
      <c r="G1329" s="103">
        <v>2287592791</v>
      </c>
      <c r="H1329" s="105">
        <f t="shared" si="39"/>
        <v>29453738189</v>
      </c>
      <c r="I1329" s="103">
        <v>0</v>
      </c>
    </row>
    <row r="1330" spans="1:11">
      <c r="A1330" s="101" t="s">
        <v>65</v>
      </c>
      <c r="B1330" s="88" t="s">
        <v>188</v>
      </c>
      <c r="C1330" s="102">
        <v>2017</v>
      </c>
      <c r="D1330" s="103">
        <v>6630297791</v>
      </c>
      <c r="E1330" s="103">
        <v>9777477685</v>
      </c>
      <c r="F1330" s="103">
        <v>11505315821.040001</v>
      </c>
      <c r="G1330" s="103">
        <v>1919229945</v>
      </c>
      <c r="H1330" s="105">
        <f t="shared" si="39"/>
        <v>29832321242.040001</v>
      </c>
      <c r="I1330" s="103">
        <v>0</v>
      </c>
    </row>
    <row r="1331" spans="1:11">
      <c r="A1331" s="101" t="s">
        <v>65</v>
      </c>
      <c r="B1331" s="88" t="s">
        <v>188</v>
      </c>
      <c r="C1331" s="102">
        <v>2018</v>
      </c>
      <c r="D1331" s="103">
        <v>6398270156</v>
      </c>
      <c r="E1331" s="103">
        <v>10970446601</v>
      </c>
      <c r="F1331" s="103">
        <v>9542176688.2099991</v>
      </c>
      <c r="G1331" s="103">
        <v>1833910736</v>
      </c>
      <c r="H1331" s="105">
        <f t="shared" si="39"/>
        <v>28744804181.209999</v>
      </c>
      <c r="I1331" s="103">
        <v>0</v>
      </c>
    </row>
    <row r="1332" spans="1:11">
      <c r="A1332" s="101" t="s">
        <v>65</v>
      </c>
      <c r="B1332" s="88" t="s">
        <v>188</v>
      </c>
      <c r="C1332" s="102">
        <v>2019</v>
      </c>
      <c r="D1332" s="103">
        <v>6650197126</v>
      </c>
      <c r="E1332" s="103">
        <v>11744479848</v>
      </c>
      <c r="F1332" s="103">
        <v>8593322267.0391006</v>
      </c>
      <c r="G1332" s="103">
        <v>2667443114</v>
      </c>
      <c r="H1332" s="105">
        <f t="shared" si="39"/>
        <v>29655442355.039101</v>
      </c>
      <c r="I1332" s="103">
        <v>0</v>
      </c>
    </row>
    <row r="1333" spans="1:11">
      <c r="A1333" s="101" t="s">
        <v>65</v>
      </c>
      <c r="B1333" s="88" t="s">
        <v>188</v>
      </c>
      <c r="C1333" s="102">
        <v>2020</v>
      </c>
      <c r="D1333" s="103">
        <v>6535126188</v>
      </c>
      <c r="E1333" s="103">
        <v>12427758540</v>
      </c>
      <c r="F1333" s="103">
        <v>19384074582</v>
      </c>
      <c r="G1333" s="103">
        <v>2181294123</v>
      </c>
      <c r="H1333" s="105">
        <f t="shared" si="39"/>
        <v>40528253433</v>
      </c>
      <c r="I1333" s="103">
        <v>0</v>
      </c>
      <c r="J1333" s="109" t="s">
        <v>687</v>
      </c>
      <c r="K1333" s="52" t="s">
        <v>677</v>
      </c>
    </row>
    <row r="1334" spans="1:11">
      <c r="A1334" s="101"/>
      <c r="D1334" s="103"/>
      <c r="E1334" s="103"/>
      <c r="F1334" s="103"/>
      <c r="G1334" s="103"/>
      <c r="H1334" s="105"/>
      <c r="I1334" s="103"/>
      <c r="J1334" s="109"/>
    </row>
    <row r="1335" spans="1:11" ht="57.75" customHeight="1">
      <c r="A1335" s="101"/>
      <c r="B1335" s="151" t="s">
        <v>705</v>
      </c>
      <c r="C1335" s="151"/>
      <c r="D1335" s="151"/>
      <c r="E1335" s="151"/>
      <c r="F1335" s="151"/>
      <c r="G1335" s="151"/>
      <c r="H1335" s="151"/>
      <c r="I1335" s="151"/>
    </row>
    <row r="1336" spans="1:11">
      <c r="A1336" s="101" t="s">
        <v>66</v>
      </c>
      <c r="B1336" s="88" t="s">
        <v>706</v>
      </c>
      <c r="C1336" s="102">
        <v>1988</v>
      </c>
      <c r="D1336" s="104">
        <v>202599488</v>
      </c>
      <c r="E1336" s="104">
        <v>25279811</v>
      </c>
      <c r="F1336" s="104">
        <v>425612159</v>
      </c>
      <c r="G1336" s="104">
        <v>0</v>
      </c>
      <c r="H1336" s="105">
        <f>SUM(D1336:G1336)</f>
        <v>653491458</v>
      </c>
      <c r="I1336" s="103">
        <v>0</v>
      </c>
    </row>
    <row r="1337" spans="1:11">
      <c r="A1337" s="101" t="s">
        <v>66</v>
      </c>
      <c r="B1337" s="88" t="s">
        <v>706</v>
      </c>
      <c r="C1337" s="102">
        <v>1989</v>
      </c>
      <c r="D1337" s="104">
        <v>208835315</v>
      </c>
      <c r="E1337" s="104">
        <v>39507260</v>
      </c>
      <c r="F1337" s="104">
        <v>459918822</v>
      </c>
      <c r="G1337" s="104">
        <v>0</v>
      </c>
      <c r="H1337" s="105">
        <f t="shared" ref="H1337:H1368" si="40">SUM(D1337:G1337)</f>
        <v>708261397</v>
      </c>
      <c r="I1337" s="103">
        <v>0</v>
      </c>
    </row>
    <row r="1338" spans="1:11">
      <c r="A1338" s="101" t="s">
        <v>66</v>
      </c>
      <c r="B1338" s="88" t="s">
        <v>706</v>
      </c>
      <c r="C1338" s="102">
        <v>1990</v>
      </c>
      <c r="D1338" s="104">
        <v>218158248</v>
      </c>
      <c r="E1338" s="104">
        <v>44600135.520000003</v>
      </c>
      <c r="F1338" s="104">
        <v>491454195</v>
      </c>
      <c r="G1338" s="104">
        <v>0</v>
      </c>
      <c r="H1338" s="105">
        <f t="shared" si="40"/>
        <v>754212578.51999998</v>
      </c>
      <c r="I1338" s="103">
        <v>0</v>
      </c>
    </row>
    <row r="1339" spans="1:11">
      <c r="A1339" s="101" t="s">
        <v>66</v>
      </c>
      <c r="B1339" s="88" t="s">
        <v>706</v>
      </c>
      <c r="C1339" s="102">
        <v>1991</v>
      </c>
      <c r="D1339" s="104">
        <v>219457003</v>
      </c>
      <c r="E1339" s="104">
        <v>48510553</v>
      </c>
      <c r="F1339" s="104">
        <v>493779178</v>
      </c>
      <c r="G1339" s="104">
        <v>0</v>
      </c>
      <c r="H1339" s="105">
        <f t="shared" si="40"/>
        <v>761746734</v>
      </c>
      <c r="I1339" s="103">
        <v>0</v>
      </c>
    </row>
    <row r="1340" spans="1:11">
      <c r="A1340" s="101" t="s">
        <v>66</v>
      </c>
      <c r="B1340" s="88" t="s">
        <v>706</v>
      </c>
      <c r="C1340" s="102">
        <v>1992</v>
      </c>
      <c r="D1340" s="104">
        <v>242057864</v>
      </c>
      <c r="E1340" s="104">
        <v>68159460.200000003</v>
      </c>
      <c r="F1340" s="104">
        <v>488694921</v>
      </c>
      <c r="G1340" s="104">
        <v>0</v>
      </c>
      <c r="H1340" s="105">
        <f t="shared" si="40"/>
        <v>798912245.20000005</v>
      </c>
      <c r="I1340" s="103">
        <v>0</v>
      </c>
    </row>
    <row r="1341" spans="1:11">
      <c r="A1341" s="101" t="s">
        <v>66</v>
      </c>
      <c r="B1341" s="88" t="s">
        <v>706</v>
      </c>
      <c r="C1341" s="102">
        <v>1993</v>
      </c>
      <c r="D1341" s="104">
        <v>243162226</v>
      </c>
      <c r="E1341" s="104">
        <v>46009753</v>
      </c>
      <c r="F1341" s="104">
        <v>516131878</v>
      </c>
      <c r="G1341" s="104">
        <v>0</v>
      </c>
      <c r="H1341" s="105">
        <f t="shared" si="40"/>
        <v>805303857</v>
      </c>
      <c r="I1341" s="103">
        <v>0</v>
      </c>
    </row>
    <row r="1342" spans="1:11">
      <c r="A1342" s="101" t="s">
        <v>66</v>
      </c>
      <c r="B1342" s="88" t="s">
        <v>706</v>
      </c>
      <c r="C1342" s="102">
        <v>1994</v>
      </c>
      <c r="D1342" s="104">
        <v>273209720</v>
      </c>
      <c r="E1342" s="104">
        <v>61908792</v>
      </c>
      <c r="F1342" s="104">
        <v>547843632</v>
      </c>
      <c r="G1342" s="104">
        <v>0</v>
      </c>
      <c r="H1342" s="105">
        <f t="shared" si="40"/>
        <v>882962144</v>
      </c>
      <c r="I1342" s="103">
        <v>0</v>
      </c>
    </row>
    <row r="1343" spans="1:11">
      <c r="A1343" s="101" t="s">
        <v>66</v>
      </c>
      <c r="B1343" s="88" t="s">
        <v>706</v>
      </c>
      <c r="C1343" s="102">
        <v>1995</v>
      </c>
      <c r="D1343" s="104">
        <v>273978756</v>
      </c>
      <c r="E1343" s="104">
        <v>51075560</v>
      </c>
      <c r="F1343" s="104">
        <v>677006797</v>
      </c>
      <c r="G1343" s="104">
        <v>0</v>
      </c>
      <c r="H1343" s="105">
        <f t="shared" si="40"/>
        <v>1002061113</v>
      </c>
      <c r="I1343" s="103">
        <v>0</v>
      </c>
    </row>
    <row r="1344" spans="1:11">
      <c r="A1344" s="101" t="s">
        <v>66</v>
      </c>
      <c r="B1344" s="88" t="s">
        <v>706</v>
      </c>
      <c r="C1344" s="102">
        <v>1996</v>
      </c>
      <c r="D1344" s="104">
        <v>321962959</v>
      </c>
      <c r="E1344" s="104">
        <v>60907369</v>
      </c>
      <c r="F1344" s="104">
        <v>863693287</v>
      </c>
      <c r="G1344" s="104">
        <v>0</v>
      </c>
      <c r="H1344" s="105">
        <f t="shared" si="40"/>
        <v>1246563615</v>
      </c>
      <c r="I1344" s="103">
        <v>0</v>
      </c>
    </row>
    <row r="1345" spans="1:9">
      <c r="A1345" s="101" t="s">
        <v>66</v>
      </c>
      <c r="B1345" s="88" t="s">
        <v>706</v>
      </c>
      <c r="C1345" s="102">
        <v>1997</v>
      </c>
      <c r="D1345" s="104">
        <v>318651746</v>
      </c>
      <c r="E1345" s="104">
        <v>57572959</v>
      </c>
      <c r="F1345" s="104">
        <v>942379370</v>
      </c>
      <c r="G1345" s="104">
        <v>0</v>
      </c>
      <c r="H1345" s="105">
        <f t="shared" si="40"/>
        <v>1318604075</v>
      </c>
      <c r="I1345" s="103">
        <v>0</v>
      </c>
    </row>
    <row r="1346" spans="1:9">
      <c r="A1346" s="101" t="s">
        <v>66</v>
      </c>
      <c r="B1346" s="88" t="s">
        <v>706</v>
      </c>
      <c r="C1346" s="102">
        <v>1998</v>
      </c>
      <c r="D1346" s="104">
        <v>315930532</v>
      </c>
      <c r="E1346" s="104">
        <v>50426968</v>
      </c>
      <c r="F1346" s="104">
        <v>1026175813</v>
      </c>
      <c r="G1346" s="104">
        <v>0</v>
      </c>
      <c r="H1346" s="105">
        <f t="shared" si="40"/>
        <v>1392533313</v>
      </c>
      <c r="I1346" s="103">
        <v>0</v>
      </c>
    </row>
    <row r="1347" spans="1:9">
      <c r="A1347" s="101" t="s">
        <v>66</v>
      </c>
      <c r="B1347" s="88" t="s">
        <v>706</v>
      </c>
      <c r="C1347" s="102">
        <v>1999</v>
      </c>
      <c r="D1347" s="104">
        <v>299651540</v>
      </c>
      <c r="E1347" s="104">
        <v>78385779</v>
      </c>
      <c r="F1347" s="104">
        <v>1506890561</v>
      </c>
      <c r="G1347" s="104">
        <v>0</v>
      </c>
      <c r="H1347" s="105">
        <f t="shared" si="40"/>
        <v>1884927880</v>
      </c>
      <c r="I1347" s="103">
        <v>0</v>
      </c>
    </row>
    <row r="1348" spans="1:9">
      <c r="A1348" s="101" t="s">
        <v>66</v>
      </c>
      <c r="B1348" s="88" t="s">
        <v>706</v>
      </c>
      <c r="C1348" s="102">
        <v>2000</v>
      </c>
      <c r="D1348" s="104">
        <v>305819949</v>
      </c>
      <c r="E1348" s="104">
        <v>117061021</v>
      </c>
      <c r="F1348" s="104">
        <v>1327409479</v>
      </c>
      <c r="G1348" s="104">
        <v>0</v>
      </c>
      <c r="H1348" s="105">
        <f t="shared" si="40"/>
        <v>1750290449</v>
      </c>
      <c r="I1348" s="103">
        <v>0</v>
      </c>
    </row>
    <row r="1349" spans="1:9">
      <c r="A1349" s="101" t="s">
        <v>66</v>
      </c>
      <c r="B1349" s="88" t="s">
        <v>706</v>
      </c>
      <c r="C1349" s="102">
        <v>2001</v>
      </c>
      <c r="D1349" s="104">
        <v>344030482</v>
      </c>
      <c r="E1349" s="104">
        <v>94209655</v>
      </c>
      <c r="F1349" s="104">
        <v>2000429756</v>
      </c>
      <c r="G1349" s="104">
        <v>0</v>
      </c>
      <c r="H1349" s="105">
        <f t="shared" si="40"/>
        <v>2438669893</v>
      </c>
      <c r="I1349" s="103">
        <v>0</v>
      </c>
    </row>
    <row r="1350" spans="1:9">
      <c r="A1350" s="101" t="s">
        <v>66</v>
      </c>
      <c r="B1350" s="88" t="s">
        <v>706</v>
      </c>
      <c r="C1350" s="102">
        <v>2002</v>
      </c>
      <c r="D1350" s="104">
        <v>326152465</v>
      </c>
      <c r="E1350" s="104">
        <v>157812085</v>
      </c>
      <c r="F1350" s="104">
        <v>1805219153</v>
      </c>
      <c r="G1350" s="104">
        <v>0</v>
      </c>
      <c r="H1350" s="105">
        <f t="shared" si="40"/>
        <v>2289183703</v>
      </c>
      <c r="I1350" s="103">
        <v>0</v>
      </c>
    </row>
    <row r="1351" spans="1:9">
      <c r="A1351" s="101" t="s">
        <v>66</v>
      </c>
      <c r="B1351" s="88" t="s">
        <v>706</v>
      </c>
      <c r="C1351" s="102">
        <v>2003</v>
      </c>
      <c r="D1351" s="106">
        <v>342246780</v>
      </c>
      <c r="E1351" s="106">
        <v>157781808</v>
      </c>
      <c r="F1351" s="106">
        <v>1829094568</v>
      </c>
      <c r="G1351" s="104">
        <v>0</v>
      </c>
      <c r="H1351" s="105">
        <f t="shared" si="40"/>
        <v>2329123156</v>
      </c>
      <c r="I1351" s="103">
        <v>0</v>
      </c>
    </row>
    <row r="1352" spans="1:9">
      <c r="A1352" s="101" t="s">
        <v>66</v>
      </c>
      <c r="B1352" s="88" t="s">
        <v>706</v>
      </c>
      <c r="C1352" s="102">
        <v>2004</v>
      </c>
      <c r="D1352" s="106">
        <v>358055028</v>
      </c>
      <c r="E1352" s="106">
        <v>134095632</v>
      </c>
      <c r="F1352" s="106">
        <v>1920507213</v>
      </c>
      <c r="G1352" s="104">
        <v>0</v>
      </c>
      <c r="H1352" s="105">
        <f t="shared" si="40"/>
        <v>2412657873</v>
      </c>
      <c r="I1352" s="103">
        <v>0</v>
      </c>
    </row>
    <row r="1353" spans="1:9">
      <c r="A1353" s="101" t="s">
        <v>66</v>
      </c>
      <c r="B1353" s="88" t="s">
        <v>706</v>
      </c>
      <c r="C1353" s="102">
        <v>2005</v>
      </c>
      <c r="D1353" s="106">
        <v>384344050</v>
      </c>
      <c r="E1353" s="106">
        <v>116205874</v>
      </c>
      <c r="F1353" s="106">
        <v>2126705528.4000001</v>
      </c>
      <c r="G1353" s="104">
        <v>0</v>
      </c>
      <c r="H1353" s="105">
        <f t="shared" si="40"/>
        <v>2627255452.4000001</v>
      </c>
      <c r="I1353" s="103">
        <v>0</v>
      </c>
    </row>
    <row r="1354" spans="1:9">
      <c r="A1354" s="101" t="s">
        <v>66</v>
      </c>
      <c r="B1354" s="88" t="s">
        <v>706</v>
      </c>
      <c r="C1354" s="102">
        <v>2006</v>
      </c>
      <c r="D1354" s="103">
        <v>394855050</v>
      </c>
      <c r="E1354" s="103">
        <v>147589799</v>
      </c>
      <c r="F1354" s="103">
        <v>2322285870</v>
      </c>
      <c r="G1354" s="103">
        <v>0</v>
      </c>
      <c r="H1354" s="105">
        <f t="shared" si="40"/>
        <v>2864730719</v>
      </c>
      <c r="I1354" s="103">
        <v>0</v>
      </c>
    </row>
    <row r="1355" spans="1:9">
      <c r="A1355" s="101" t="s">
        <v>66</v>
      </c>
      <c r="B1355" s="88" t="s">
        <v>706</v>
      </c>
      <c r="C1355" s="102">
        <v>2007</v>
      </c>
      <c r="D1355" s="103">
        <v>408813039</v>
      </c>
      <c r="E1355" s="103">
        <v>191221562</v>
      </c>
      <c r="F1355" s="103">
        <v>2038007707</v>
      </c>
      <c r="G1355" s="103">
        <v>0</v>
      </c>
      <c r="H1355" s="105">
        <f t="shared" si="40"/>
        <v>2638042308</v>
      </c>
      <c r="I1355" s="103">
        <v>0</v>
      </c>
    </row>
    <row r="1356" spans="1:9">
      <c r="A1356" s="101" t="s">
        <v>66</v>
      </c>
      <c r="B1356" s="88" t="s">
        <v>706</v>
      </c>
      <c r="C1356" s="102">
        <v>2008</v>
      </c>
      <c r="D1356" s="103">
        <v>402682405</v>
      </c>
      <c r="E1356" s="103">
        <v>158372547</v>
      </c>
      <c r="F1356" s="103">
        <v>2330915530</v>
      </c>
      <c r="G1356" s="103">
        <v>0</v>
      </c>
      <c r="H1356" s="105">
        <f t="shared" si="40"/>
        <v>2891970482</v>
      </c>
      <c r="I1356" s="103">
        <v>0</v>
      </c>
    </row>
    <row r="1357" spans="1:9">
      <c r="A1357" s="101" t="s">
        <v>66</v>
      </c>
      <c r="B1357" s="88" t="s">
        <v>706</v>
      </c>
      <c r="C1357" s="102">
        <v>2009</v>
      </c>
      <c r="D1357" s="103">
        <v>428037026</v>
      </c>
      <c r="E1357" s="103">
        <v>255175425</v>
      </c>
      <c r="F1357" s="103">
        <v>2354225388</v>
      </c>
      <c r="G1357" s="103">
        <v>0</v>
      </c>
      <c r="H1357" s="105">
        <f t="shared" si="40"/>
        <v>3037437839</v>
      </c>
      <c r="I1357" s="103">
        <v>0</v>
      </c>
    </row>
    <row r="1358" spans="1:9">
      <c r="A1358" s="101" t="s">
        <v>66</v>
      </c>
      <c r="B1358" s="88" t="s">
        <v>706</v>
      </c>
      <c r="C1358" s="102">
        <v>2010</v>
      </c>
      <c r="D1358" s="103">
        <v>424510764</v>
      </c>
      <c r="E1358" s="103">
        <v>272500504</v>
      </c>
      <c r="F1358" s="103">
        <v>2325814622</v>
      </c>
      <c r="G1358" s="103">
        <v>0</v>
      </c>
      <c r="H1358" s="105">
        <f t="shared" si="40"/>
        <v>3022825890</v>
      </c>
      <c r="I1358" s="103">
        <v>0</v>
      </c>
    </row>
    <row r="1359" spans="1:9">
      <c r="A1359" s="101" t="s">
        <v>66</v>
      </c>
      <c r="B1359" s="88" t="s">
        <v>706</v>
      </c>
      <c r="C1359" s="102">
        <v>2011</v>
      </c>
      <c r="D1359" s="103">
        <v>441041889</v>
      </c>
      <c r="E1359" s="103">
        <v>325752273</v>
      </c>
      <c r="F1359" s="103">
        <v>1512721518</v>
      </c>
      <c r="G1359" s="103">
        <v>0</v>
      </c>
      <c r="H1359" s="105">
        <f t="shared" si="40"/>
        <v>2279515680</v>
      </c>
      <c r="I1359" s="103">
        <v>0</v>
      </c>
    </row>
    <row r="1360" spans="1:9">
      <c r="A1360" s="101" t="s">
        <v>66</v>
      </c>
      <c r="B1360" s="88" t="s">
        <v>706</v>
      </c>
      <c r="C1360" s="102">
        <v>2012</v>
      </c>
      <c r="D1360" s="103">
        <v>448293154</v>
      </c>
      <c r="E1360" s="103">
        <v>377889373</v>
      </c>
      <c r="F1360" s="103">
        <v>2150777272</v>
      </c>
      <c r="G1360" s="103">
        <v>0</v>
      </c>
      <c r="H1360" s="105">
        <f t="shared" si="40"/>
        <v>2976959799</v>
      </c>
      <c r="I1360" s="103">
        <v>0</v>
      </c>
    </row>
    <row r="1361" spans="1:9">
      <c r="A1361" s="101" t="s">
        <v>66</v>
      </c>
      <c r="B1361" s="88" t="s">
        <v>706</v>
      </c>
      <c r="C1361" s="102">
        <v>2013</v>
      </c>
      <c r="D1361" s="103">
        <v>445099771</v>
      </c>
      <c r="E1361" s="103">
        <v>396768112</v>
      </c>
      <c r="F1361" s="103">
        <v>2036718465</v>
      </c>
      <c r="G1361" s="103">
        <v>0</v>
      </c>
      <c r="H1361" s="105">
        <f t="shared" si="40"/>
        <v>2878586348</v>
      </c>
      <c r="I1361" s="103">
        <v>0</v>
      </c>
    </row>
    <row r="1362" spans="1:9">
      <c r="A1362" s="101" t="s">
        <v>66</v>
      </c>
      <c r="B1362" s="88" t="s">
        <v>706</v>
      </c>
      <c r="C1362" s="102">
        <v>2014</v>
      </c>
      <c r="D1362" s="103">
        <v>455407340</v>
      </c>
      <c r="E1362" s="103">
        <v>375190163</v>
      </c>
      <c r="F1362" s="103">
        <v>2405967115</v>
      </c>
      <c r="G1362" s="103">
        <v>0</v>
      </c>
      <c r="H1362" s="105">
        <f t="shared" si="40"/>
        <v>3236564618</v>
      </c>
      <c r="I1362" s="103">
        <v>0</v>
      </c>
    </row>
    <row r="1363" spans="1:9">
      <c r="A1363" s="101" t="s">
        <v>66</v>
      </c>
      <c r="B1363" s="88" t="s">
        <v>706</v>
      </c>
      <c r="C1363" s="102">
        <v>2015</v>
      </c>
      <c r="D1363" s="103">
        <v>471751346</v>
      </c>
      <c r="E1363" s="103">
        <v>444924435</v>
      </c>
      <c r="F1363" s="103">
        <v>2133742148</v>
      </c>
      <c r="G1363" s="103">
        <v>0</v>
      </c>
      <c r="H1363" s="105">
        <f t="shared" si="40"/>
        <v>3050417929</v>
      </c>
      <c r="I1363" s="103">
        <v>0</v>
      </c>
    </row>
    <row r="1364" spans="1:9">
      <c r="A1364" s="101" t="s">
        <v>66</v>
      </c>
      <c r="B1364" s="88" t="s">
        <v>706</v>
      </c>
      <c r="C1364" s="102">
        <v>2016</v>
      </c>
      <c r="D1364" s="103">
        <v>495444914</v>
      </c>
      <c r="E1364" s="103">
        <v>541868244</v>
      </c>
      <c r="F1364" s="103">
        <v>2301959549</v>
      </c>
      <c r="G1364" s="103">
        <v>0</v>
      </c>
      <c r="H1364" s="105">
        <f t="shared" si="40"/>
        <v>3339272707</v>
      </c>
      <c r="I1364" s="103">
        <v>0</v>
      </c>
    </row>
    <row r="1365" spans="1:9">
      <c r="A1365" s="101" t="s">
        <v>66</v>
      </c>
      <c r="B1365" s="88" t="s">
        <v>706</v>
      </c>
      <c r="C1365" s="102">
        <v>2017</v>
      </c>
      <c r="D1365" s="103">
        <v>487220261</v>
      </c>
      <c r="E1365" s="103">
        <v>508751730</v>
      </c>
      <c r="F1365" s="103">
        <v>2417002732.9499998</v>
      </c>
      <c r="G1365" s="103">
        <v>0</v>
      </c>
      <c r="H1365" s="105">
        <f t="shared" si="40"/>
        <v>3412974723.9499998</v>
      </c>
      <c r="I1365" s="103">
        <v>0</v>
      </c>
    </row>
    <row r="1366" spans="1:9">
      <c r="A1366" s="101" t="s">
        <v>66</v>
      </c>
      <c r="B1366" s="88" t="s">
        <v>706</v>
      </c>
      <c r="C1366" s="102">
        <v>2018</v>
      </c>
      <c r="D1366" s="103">
        <v>511894905</v>
      </c>
      <c r="E1366" s="103">
        <v>634066499</v>
      </c>
      <c r="F1366" s="103">
        <v>2261597937</v>
      </c>
      <c r="G1366" s="103">
        <v>0</v>
      </c>
      <c r="H1366" s="105">
        <f t="shared" si="40"/>
        <v>3407559341</v>
      </c>
      <c r="I1366" s="103">
        <v>0</v>
      </c>
    </row>
    <row r="1367" spans="1:9">
      <c r="A1367" s="101" t="s">
        <v>66</v>
      </c>
      <c r="B1367" s="88" t="s">
        <v>706</v>
      </c>
      <c r="C1367" s="102">
        <v>2019</v>
      </c>
      <c r="D1367" s="103">
        <v>531859821</v>
      </c>
      <c r="E1367" s="103">
        <v>687084438</v>
      </c>
      <c r="F1367" s="103">
        <v>2427039058</v>
      </c>
      <c r="G1367" s="103">
        <v>0</v>
      </c>
      <c r="H1367" s="105">
        <f t="shared" si="40"/>
        <v>3645983317</v>
      </c>
      <c r="I1367" s="103">
        <v>0</v>
      </c>
    </row>
    <row r="1368" spans="1:9">
      <c r="A1368" s="101" t="s">
        <v>66</v>
      </c>
      <c r="B1368" s="88" t="s">
        <v>706</v>
      </c>
      <c r="C1368" s="102">
        <v>2020</v>
      </c>
      <c r="D1368" s="103">
        <v>536993127</v>
      </c>
      <c r="E1368" s="103">
        <v>683421906</v>
      </c>
      <c r="F1368" s="103">
        <v>2610396101</v>
      </c>
      <c r="G1368" s="103">
        <v>0</v>
      </c>
      <c r="H1368" s="105">
        <f t="shared" si="40"/>
        <v>3830811134</v>
      </c>
      <c r="I1368" s="103">
        <v>0</v>
      </c>
    </row>
    <row r="1369" spans="1:9">
      <c r="A1369" s="101"/>
      <c r="B1369" s="107"/>
      <c r="D1369" s="104"/>
      <c r="E1369" s="104"/>
      <c r="F1369" s="104"/>
      <c r="G1369" s="104"/>
      <c r="H1369" s="103"/>
      <c r="I1369" s="103"/>
    </row>
    <row r="1370" spans="1:9">
      <c r="A1370" s="101" t="s">
        <v>67</v>
      </c>
      <c r="B1370" s="88" t="s">
        <v>707</v>
      </c>
      <c r="C1370" s="102">
        <v>1988</v>
      </c>
      <c r="D1370" s="104">
        <v>241592427</v>
      </c>
      <c r="E1370" s="104">
        <v>135208925</v>
      </c>
      <c r="F1370" s="104">
        <v>124908211</v>
      </c>
      <c r="G1370" s="104">
        <v>0</v>
      </c>
      <c r="H1370" s="105">
        <f>SUM(D1370:G1370)</f>
        <v>501709563</v>
      </c>
      <c r="I1370" s="103">
        <v>0</v>
      </c>
    </row>
    <row r="1371" spans="1:9">
      <c r="A1371" s="101" t="s">
        <v>67</v>
      </c>
      <c r="B1371" s="88" t="s">
        <v>707</v>
      </c>
      <c r="C1371" s="102">
        <v>1989</v>
      </c>
      <c r="D1371" s="104">
        <v>235543411</v>
      </c>
      <c r="E1371" s="104">
        <v>177930743</v>
      </c>
      <c r="F1371" s="104">
        <v>101472217</v>
      </c>
      <c r="G1371" s="104">
        <v>0</v>
      </c>
      <c r="H1371" s="105">
        <f t="shared" ref="H1371:H1402" si="41">SUM(D1371:G1371)</f>
        <v>514946371</v>
      </c>
      <c r="I1371" s="103">
        <v>0</v>
      </c>
    </row>
    <row r="1372" spans="1:9">
      <c r="A1372" s="101" t="s">
        <v>67</v>
      </c>
      <c r="B1372" s="88" t="s">
        <v>707</v>
      </c>
      <c r="C1372" s="102">
        <v>1990</v>
      </c>
      <c r="D1372" s="104">
        <v>252225269</v>
      </c>
      <c r="E1372" s="104">
        <v>313351542.19999999</v>
      </c>
      <c r="F1372" s="104">
        <v>117873033</v>
      </c>
      <c r="G1372" s="104">
        <v>0</v>
      </c>
      <c r="H1372" s="105">
        <f t="shared" si="41"/>
        <v>683449844.20000005</v>
      </c>
      <c r="I1372" s="103">
        <v>0</v>
      </c>
    </row>
    <row r="1373" spans="1:9">
      <c r="A1373" s="101" t="s">
        <v>67</v>
      </c>
      <c r="B1373" s="88" t="s">
        <v>707</v>
      </c>
      <c r="C1373" s="102">
        <v>1991</v>
      </c>
      <c r="D1373" s="104">
        <v>242886184</v>
      </c>
      <c r="E1373" s="104">
        <v>317370437</v>
      </c>
      <c r="F1373" s="104">
        <v>130663108</v>
      </c>
      <c r="G1373" s="104">
        <v>0</v>
      </c>
      <c r="H1373" s="105">
        <f t="shared" si="41"/>
        <v>690919729</v>
      </c>
      <c r="I1373" s="103">
        <v>0</v>
      </c>
    </row>
    <row r="1374" spans="1:9">
      <c r="A1374" s="101" t="s">
        <v>67</v>
      </c>
      <c r="B1374" s="88" t="s">
        <v>707</v>
      </c>
      <c r="C1374" s="102">
        <v>1992</v>
      </c>
      <c r="D1374" s="104">
        <v>283767485</v>
      </c>
      <c r="E1374" s="104">
        <v>187380350.31999999</v>
      </c>
      <c r="F1374" s="104">
        <v>142290204</v>
      </c>
      <c r="G1374" s="104">
        <v>0</v>
      </c>
      <c r="H1374" s="105">
        <f t="shared" si="41"/>
        <v>613438039.31999993</v>
      </c>
      <c r="I1374" s="103">
        <v>0</v>
      </c>
    </row>
    <row r="1375" spans="1:9">
      <c r="A1375" s="101" t="s">
        <v>67</v>
      </c>
      <c r="B1375" s="88" t="s">
        <v>707</v>
      </c>
      <c r="C1375" s="102">
        <v>1993</v>
      </c>
      <c r="D1375" s="104">
        <v>275778174</v>
      </c>
      <c r="E1375" s="104">
        <v>179480221</v>
      </c>
      <c r="F1375" s="104">
        <v>163891426</v>
      </c>
      <c r="G1375" s="104">
        <v>0</v>
      </c>
      <c r="H1375" s="105">
        <f t="shared" si="41"/>
        <v>619149821</v>
      </c>
      <c r="I1375" s="103">
        <v>0</v>
      </c>
    </row>
    <row r="1376" spans="1:9">
      <c r="A1376" s="101" t="s">
        <v>67</v>
      </c>
      <c r="B1376" s="88" t="s">
        <v>707</v>
      </c>
      <c r="C1376" s="102">
        <v>1994</v>
      </c>
      <c r="D1376" s="104">
        <v>286520020</v>
      </c>
      <c r="E1376" s="104">
        <v>269677400</v>
      </c>
      <c r="F1376" s="104">
        <v>185799271</v>
      </c>
      <c r="G1376" s="104">
        <v>0</v>
      </c>
      <c r="H1376" s="105">
        <f t="shared" si="41"/>
        <v>741996691</v>
      </c>
      <c r="I1376" s="103">
        <v>0</v>
      </c>
    </row>
    <row r="1377" spans="1:10">
      <c r="A1377" s="101" t="s">
        <v>67</v>
      </c>
      <c r="B1377" s="88" t="s">
        <v>707</v>
      </c>
      <c r="C1377" s="102">
        <v>1995</v>
      </c>
      <c r="D1377" s="104">
        <v>344571784</v>
      </c>
      <c r="E1377" s="104">
        <v>296639953</v>
      </c>
      <c r="F1377" s="104">
        <v>169288773</v>
      </c>
      <c r="G1377" s="104">
        <v>0</v>
      </c>
      <c r="H1377" s="105">
        <f t="shared" si="41"/>
        <v>810500510</v>
      </c>
      <c r="I1377" s="103">
        <v>0</v>
      </c>
    </row>
    <row r="1378" spans="1:10">
      <c r="A1378" s="101" t="s">
        <v>67</v>
      </c>
      <c r="B1378" s="88" t="s">
        <v>707</v>
      </c>
      <c r="C1378" s="102">
        <v>1996</v>
      </c>
      <c r="D1378" s="104">
        <v>340977377</v>
      </c>
      <c r="E1378" s="104">
        <v>275125829</v>
      </c>
      <c r="F1378" s="104">
        <v>185044330</v>
      </c>
      <c r="G1378" s="104">
        <v>56476573</v>
      </c>
      <c r="H1378" s="105">
        <f t="shared" si="41"/>
        <v>857624109</v>
      </c>
      <c r="I1378" s="103">
        <v>0</v>
      </c>
    </row>
    <row r="1379" spans="1:10">
      <c r="A1379" s="101" t="s">
        <v>67</v>
      </c>
      <c r="B1379" s="88" t="s">
        <v>707</v>
      </c>
      <c r="C1379" s="102">
        <v>1997</v>
      </c>
      <c r="D1379" s="104">
        <v>492526568</v>
      </c>
      <c r="E1379" s="104">
        <v>343303826</v>
      </c>
      <c r="F1379" s="104">
        <v>185583861</v>
      </c>
      <c r="G1379" s="104">
        <v>80439353</v>
      </c>
      <c r="H1379" s="105">
        <f t="shared" si="41"/>
        <v>1101853608</v>
      </c>
      <c r="I1379" s="103">
        <v>0</v>
      </c>
    </row>
    <row r="1380" spans="1:10">
      <c r="A1380" s="101" t="s">
        <v>67</v>
      </c>
      <c r="B1380" s="88" t="s">
        <v>707</v>
      </c>
      <c r="C1380" s="102">
        <v>1998</v>
      </c>
      <c r="D1380" s="104">
        <v>389341189</v>
      </c>
      <c r="E1380" s="104">
        <v>368445580</v>
      </c>
      <c r="F1380" s="104">
        <v>231565704</v>
      </c>
      <c r="G1380" s="104">
        <v>43056159</v>
      </c>
      <c r="H1380" s="105">
        <f t="shared" si="41"/>
        <v>1032408632</v>
      </c>
      <c r="I1380" s="103">
        <v>0</v>
      </c>
    </row>
    <row r="1381" spans="1:10">
      <c r="A1381" s="101" t="s">
        <v>67</v>
      </c>
      <c r="B1381" s="88" t="s">
        <v>707</v>
      </c>
      <c r="C1381" s="102">
        <v>1999</v>
      </c>
      <c r="D1381" s="104">
        <v>440446802</v>
      </c>
      <c r="E1381" s="104">
        <v>494412734</v>
      </c>
      <c r="F1381" s="104">
        <v>196223939</v>
      </c>
      <c r="G1381" s="104">
        <v>37959052</v>
      </c>
      <c r="H1381" s="105">
        <f t="shared" si="41"/>
        <v>1169042527</v>
      </c>
      <c r="I1381" s="103">
        <v>0</v>
      </c>
    </row>
    <row r="1382" spans="1:10">
      <c r="A1382" s="101" t="s">
        <v>67</v>
      </c>
      <c r="B1382" s="88" t="s">
        <v>707</v>
      </c>
      <c r="C1382" s="102">
        <v>2000</v>
      </c>
      <c r="D1382" s="104">
        <v>375792365</v>
      </c>
      <c r="E1382" s="104">
        <v>548477925</v>
      </c>
      <c r="F1382" s="104">
        <v>189191140</v>
      </c>
      <c r="G1382" s="104">
        <v>60020952</v>
      </c>
      <c r="H1382" s="105">
        <f t="shared" si="41"/>
        <v>1173482382</v>
      </c>
      <c r="I1382" s="103">
        <v>0</v>
      </c>
    </row>
    <row r="1383" spans="1:10">
      <c r="A1383" s="101" t="s">
        <v>67</v>
      </c>
      <c r="B1383" s="88" t="s">
        <v>707</v>
      </c>
      <c r="C1383" s="102">
        <v>2001</v>
      </c>
      <c r="D1383" s="104">
        <v>325026405</v>
      </c>
      <c r="E1383" s="104">
        <v>541430666</v>
      </c>
      <c r="F1383" s="104">
        <v>160270108</v>
      </c>
      <c r="G1383" s="104">
        <v>92433565</v>
      </c>
      <c r="H1383" s="105">
        <f t="shared" si="41"/>
        <v>1119160744</v>
      </c>
      <c r="I1383" s="103">
        <v>0</v>
      </c>
    </row>
    <row r="1384" spans="1:10">
      <c r="A1384" s="101" t="s">
        <v>67</v>
      </c>
      <c r="B1384" s="88" t="s">
        <v>707</v>
      </c>
      <c r="C1384" s="102">
        <v>2002</v>
      </c>
      <c r="D1384" s="104">
        <v>330861666</v>
      </c>
      <c r="E1384" s="104">
        <v>676899528</v>
      </c>
      <c r="F1384" s="104">
        <v>268634287</v>
      </c>
      <c r="G1384" s="104">
        <v>71646735</v>
      </c>
      <c r="H1384" s="105">
        <f t="shared" si="41"/>
        <v>1348042216</v>
      </c>
      <c r="I1384" s="103">
        <v>0</v>
      </c>
    </row>
    <row r="1385" spans="1:10">
      <c r="A1385" s="101" t="s">
        <v>67</v>
      </c>
      <c r="B1385" s="88" t="s">
        <v>707</v>
      </c>
      <c r="C1385" s="102">
        <v>2003</v>
      </c>
      <c r="D1385" s="106">
        <v>339041953</v>
      </c>
      <c r="E1385" s="106">
        <v>599008931</v>
      </c>
      <c r="F1385" s="106">
        <v>315220851</v>
      </c>
      <c r="G1385" s="106">
        <v>71432255</v>
      </c>
      <c r="H1385" s="105">
        <f t="shared" si="41"/>
        <v>1324703990</v>
      </c>
      <c r="I1385" s="103">
        <v>0</v>
      </c>
    </row>
    <row r="1386" spans="1:10">
      <c r="A1386" s="101" t="s">
        <v>67</v>
      </c>
      <c r="B1386" s="88" t="s">
        <v>707</v>
      </c>
      <c r="C1386" s="102">
        <v>2004</v>
      </c>
      <c r="D1386" s="106">
        <v>351494156</v>
      </c>
      <c r="E1386" s="106">
        <v>554865549</v>
      </c>
      <c r="F1386" s="106">
        <v>303817484</v>
      </c>
      <c r="G1386" s="106">
        <v>73967893</v>
      </c>
      <c r="H1386" s="105">
        <f t="shared" si="41"/>
        <v>1284145082</v>
      </c>
      <c r="I1386" s="103">
        <v>0</v>
      </c>
    </row>
    <row r="1387" spans="1:10">
      <c r="A1387" s="101" t="s">
        <v>67</v>
      </c>
      <c r="B1387" s="88" t="s">
        <v>707</v>
      </c>
      <c r="C1387" s="102">
        <v>2005</v>
      </c>
      <c r="D1387" s="106">
        <v>374318361</v>
      </c>
      <c r="E1387" s="106">
        <v>465827371</v>
      </c>
      <c r="F1387" s="106">
        <v>323101834</v>
      </c>
      <c r="G1387" s="106">
        <v>32064795</v>
      </c>
      <c r="H1387" s="105">
        <f t="shared" si="41"/>
        <v>1195312361</v>
      </c>
      <c r="I1387" s="103">
        <v>7914750</v>
      </c>
      <c r="J1387" s="52" t="s">
        <v>675</v>
      </c>
    </row>
    <row r="1388" spans="1:10">
      <c r="A1388" s="101" t="s">
        <v>67</v>
      </c>
      <c r="B1388" s="88" t="s">
        <v>707</v>
      </c>
      <c r="C1388" s="102">
        <v>2006</v>
      </c>
      <c r="D1388" s="103">
        <v>405840552</v>
      </c>
      <c r="E1388" s="103">
        <v>549769877</v>
      </c>
      <c r="F1388" s="103">
        <v>384717537</v>
      </c>
      <c r="G1388" s="103">
        <v>28792157</v>
      </c>
      <c r="H1388" s="105">
        <f t="shared" si="41"/>
        <v>1369120123</v>
      </c>
      <c r="I1388" s="103">
        <v>11681112</v>
      </c>
      <c r="J1388" s="52" t="s">
        <v>675</v>
      </c>
    </row>
    <row r="1389" spans="1:10">
      <c r="A1389" s="101" t="s">
        <v>67</v>
      </c>
      <c r="B1389" s="88" t="s">
        <v>707</v>
      </c>
      <c r="C1389" s="102">
        <v>2007</v>
      </c>
      <c r="D1389" s="103">
        <v>436367504</v>
      </c>
      <c r="E1389" s="103">
        <v>521784309</v>
      </c>
      <c r="F1389" s="103">
        <v>400591598</v>
      </c>
      <c r="G1389" s="103">
        <v>31790221</v>
      </c>
      <c r="H1389" s="105">
        <f t="shared" si="41"/>
        <v>1390533632</v>
      </c>
      <c r="I1389" s="103">
        <v>11698542</v>
      </c>
      <c r="J1389" s="52" t="s">
        <v>675</v>
      </c>
    </row>
    <row r="1390" spans="1:10">
      <c r="A1390" s="101" t="s">
        <v>67</v>
      </c>
      <c r="B1390" s="88" t="s">
        <v>707</v>
      </c>
      <c r="C1390" s="102">
        <v>2008</v>
      </c>
      <c r="D1390" s="103">
        <v>407288780</v>
      </c>
      <c r="E1390" s="103">
        <v>705642159</v>
      </c>
      <c r="F1390" s="103">
        <v>426169720</v>
      </c>
      <c r="G1390" s="103">
        <v>28422673</v>
      </c>
      <c r="H1390" s="105">
        <f t="shared" si="41"/>
        <v>1567523332</v>
      </c>
      <c r="I1390" s="103">
        <v>7286255</v>
      </c>
      <c r="J1390" s="52" t="s">
        <v>675</v>
      </c>
    </row>
    <row r="1391" spans="1:10">
      <c r="A1391" s="101" t="s">
        <v>67</v>
      </c>
      <c r="B1391" s="88" t="s">
        <v>707</v>
      </c>
      <c r="C1391" s="102">
        <v>2009</v>
      </c>
      <c r="D1391" s="103">
        <v>433119016</v>
      </c>
      <c r="E1391" s="103">
        <v>702077515</v>
      </c>
      <c r="F1391" s="103">
        <v>536808363</v>
      </c>
      <c r="G1391" s="103">
        <v>35791653</v>
      </c>
      <c r="H1391" s="105">
        <f t="shared" si="41"/>
        <v>1707796547</v>
      </c>
      <c r="I1391" s="103">
        <v>20125303</v>
      </c>
      <c r="J1391" s="52" t="s">
        <v>675</v>
      </c>
    </row>
    <row r="1392" spans="1:10">
      <c r="A1392" s="101" t="s">
        <v>67</v>
      </c>
      <c r="B1392" s="88" t="s">
        <v>707</v>
      </c>
      <c r="C1392" s="102">
        <v>2010</v>
      </c>
      <c r="D1392" s="103">
        <v>430428203</v>
      </c>
      <c r="E1392" s="103">
        <v>577435543</v>
      </c>
      <c r="F1392" s="103">
        <v>735410351</v>
      </c>
      <c r="G1392" s="103">
        <v>21384229</v>
      </c>
      <c r="H1392" s="105">
        <f t="shared" si="41"/>
        <v>1764658326</v>
      </c>
      <c r="I1392" s="103">
        <v>18530800</v>
      </c>
      <c r="J1392" s="52" t="s">
        <v>675</v>
      </c>
    </row>
    <row r="1393" spans="1:10">
      <c r="A1393" s="101" t="s">
        <v>67</v>
      </c>
      <c r="B1393" s="88" t="s">
        <v>707</v>
      </c>
      <c r="C1393" s="102">
        <v>2011</v>
      </c>
      <c r="D1393" s="103">
        <v>419223815</v>
      </c>
      <c r="E1393" s="103">
        <v>578078547</v>
      </c>
      <c r="F1393" s="103">
        <v>756679630.63</v>
      </c>
      <c r="G1393" s="103">
        <v>32971875</v>
      </c>
      <c r="H1393" s="105">
        <f t="shared" si="41"/>
        <v>1786953867.6300001</v>
      </c>
      <c r="I1393" s="103">
        <v>20683787</v>
      </c>
      <c r="J1393" s="52" t="s">
        <v>675</v>
      </c>
    </row>
    <row r="1394" spans="1:10">
      <c r="A1394" s="101" t="s">
        <v>67</v>
      </c>
      <c r="B1394" s="88" t="s">
        <v>707</v>
      </c>
      <c r="C1394" s="102">
        <v>2012</v>
      </c>
      <c r="D1394" s="103">
        <v>446937972</v>
      </c>
      <c r="E1394" s="103">
        <v>693026956</v>
      </c>
      <c r="F1394" s="103">
        <v>493693477</v>
      </c>
      <c r="G1394" s="103">
        <v>41890019</v>
      </c>
      <c r="H1394" s="105">
        <f t="shared" si="41"/>
        <v>1675548424</v>
      </c>
      <c r="I1394" s="103">
        <v>18044599</v>
      </c>
      <c r="J1394" s="52" t="s">
        <v>675</v>
      </c>
    </row>
    <row r="1395" spans="1:10">
      <c r="A1395" s="101" t="s">
        <v>67</v>
      </c>
      <c r="B1395" s="88" t="s">
        <v>707</v>
      </c>
      <c r="C1395" s="102">
        <v>2013</v>
      </c>
      <c r="D1395" s="103">
        <v>457429927</v>
      </c>
      <c r="E1395" s="103">
        <v>652428767</v>
      </c>
      <c r="F1395" s="103">
        <v>485147153</v>
      </c>
      <c r="G1395" s="103">
        <v>58180844</v>
      </c>
      <c r="H1395" s="105">
        <f t="shared" si="41"/>
        <v>1653186691</v>
      </c>
      <c r="I1395" s="103">
        <v>22084561</v>
      </c>
      <c r="J1395" s="52" t="s">
        <v>675</v>
      </c>
    </row>
    <row r="1396" spans="1:10">
      <c r="A1396" s="101" t="s">
        <v>67</v>
      </c>
      <c r="B1396" s="88" t="s">
        <v>707</v>
      </c>
      <c r="C1396" s="102">
        <v>2014</v>
      </c>
      <c r="D1396" s="103">
        <v>423888174</v>
      </c>
      <c r="E1396" s="103">
        <v>797420107</v>
      </c>
      <c r="F1396" s="103">
        <v>480586199.19999999</v>
      </c>
      <c r="G1396" s="103">
        <v>26284578</v>
      </c>
      <c r="H1396" s="105">
        <f t="shared" si="41"/>
        <v>1728179058.2</v>
      </c>
      <c r="I1396" s="103">
        <v>38161445</v>
      </c>
      <c r="J1396" s="52" t="s">
        <v>675</v>
      </c>
    </row>
    <row r="1397" spans="1:10">
      <c r="A1397" s="101" t="s">
        <v>67</v>
      </c>
      <c r="B1397" s="88" t="s">
        <v>707</v>
      </c>
      <c r="C1397" s="102">
        <v>2015</v>
      </c>
      <c r="D1397" s="103">
        <v>496292870</v>
      </c>
      <c r="E1397" s="103">
        <v>978498856</v>
      </c>
      <c r="F1397" s="103">
        <v>451449722</v>
      </c>
      <c r="G1397" s="103">
        <v>21603450</v>
      </c>
      <c r="H1397" s="105">
        <f t="shared" si="41"/>
        <v>1947844898</v>
      </c>
      <c r="I1397" s="103">
        <v>25891194</v>
      </c>
      <c r="J1397" s="52" t="s">
        <v>675</v>
      </c>
    </row>
    <row r="1398" spans="1:10">
      <c r="A1398" s="101" t="s">
        <v>67</v>
      </c>
      <c r="B1398" s="88" t="s">
        <v>707</v>
      </c>
      <c r="C1398" s="102">
        <v>2016</v>
      </c>
      <c r="D1398" s="103">
        <v>444278936</v>
      </c>
      <c r="E1398" s="103">
        <v>898831389</v>
      </c>
      <c r="F1398" s="103">
        <v>428793137</v>
      </c>
      <c r="G1398" s="103">
        <v>28760850</v>
      </c>
      <c r="H1398" s="105">
        <f t="shared" si="41"/>
        <v>1800664312</v>
      </c>
      <c r="I1398" s="103">
        <v>11462545</v>
      </c>
      <c r="J1398" s="52" t="s">
        <v>675</v>
      </c>
    </row>
    <row r="1399" spans="1:10">
      <c r="A1399" s="101" t="s">
        <v>67</v>
      </c>
      <c r="B1399" s="88" t="s">
        <v>707</v>
      </c>
      <c r="C1399" s="102">
        <v>2017</v>
      </c>
      <c r="D1399" s="103">
        <v>445697426</v>
      </c>
      <c r="E1399" s="103">
        <v>960181540</v>
      </c>
      <c r="F1399" s="103">
        <v>433218596.34000003</v>
      </c>
      <c r="G1399" s="103">
        <v>16944078</v>
      </c>
      <c r="H1399" s="105">
        <f t="shared" si="41"/>
        <v>1856041640.3400002</v>
      </c>
      <c r="I1399" s="103">
        <v>13327143</v>
      </c>
      <c r="J1399" s="52" t="s">
        <v>675</v>
      </c>
    </row>
    <row r="1400" spans="1:10">
      <c r="A1400" s="101" t="s">
        <v>67</v>
      </c>
      <c r="B1400" s="88" t="s">
        <v>707</v>
      </c>
      <c r="C1400" s="102">
        <v>2018</v>
      </c>
      <c r="D1400" s="103">
        <v>457707896</v>
      </c>
      <c r="E1400" s="103">
        <v>1027749297</v>
      </c>
      <c r="F1400" s="103">
        <v>490198301</v>
      </c>
      <c r="G1400" s="103">
        <v>23010702</v>
      </c>
      <c r="H1400" s="105">
        <f t="shared" si="41"/>
        <v>1998666196</v>
      </c>
      <c r="I1400" s="103">
        <v>15679408</v>
      </c>
      <c r="J1400" s="52" t="s">
        <v>675</v>
      </c>
    </row>
    <row r="1401" spans="1:10">
      <c r="A1401" s="101" t="s">
        <v>67</v>
      </c>
      <c r="B1401" s="88" t="s">
        <v>707</v>
      </c>
      <c r="C1401" s="102">
        <v>2019</v>
      </c>
      <c r="D1401" s="103">
        <v>463279570</v>
      </c>
      <c r="E1401" s="103">
        <v>1405340983</v>
      </c>
      <c r="F1401" s="103">
        <v>471894414.37</v>
      </c>
      <c r="G1401" s="103">
        <v>12482452</v>
      </c>
      <c r="H1401" s="105">
        <f t="shared" si="41"/>
        <v>2352997419.3699999</v>
      </c>
      <c r="I1401" s="103">
        <v>11512262</v>
      </c>
      <c r="J1401" s="52" t="s">
        <v>675</v>
      </c>
    </row>
    <row r="1402" spans="1:10">
      <c r="A1402" s="101" t="s">
        <v>67</v>
      </c>
      <c r="B1402" s="88" t="s">
        <v>707</v>
      </c>
      <c r="C1402" s="102">
        <v>2020</v>
      </c>
      <c r="D1402" s="103">
        <v>480957546</v>
      </c>
      <c r="E1402" s="103">
        <v>1043498786</v>
      </c>
      <c r="F1402" s="103">
        <v>457024666</v>
      </c>
      <c r="G1402" s="103">
        <v>25856076</v>
      </c>
      <c r="H1402" s="105">
        <f t="shared" si="41"/>
        <v>2007337074</v>
      </c>
      <c r="I1402" s="103">
        <v>20717978</v>
      </c>
      <c r="J1402" s="52" t="s">
        <v>675</v>
      </c>
    </row>
    <row r="1403" spans="1:10">
      <c r="A1403" s="101"/>
      <c r="B1403" s="107"/>
      <c r="D1403" s="104"/>
      <c r="E1403" s="104"/>
      <c r="F1403" s="104"/>
      <c r="G1403" s="104"/>
      <c r="H1403" s="103"/>
      <c r="I1403" s="103"/>
    </row>
    <row r="1404" spans="1:10">
      <c r="A1404" s="101" t="s">
        <v>68</v>
      </c>
      <c r="B1404" s="88" t="s">
        <v>235</v>
      </c>
      <c r="C1404" s="102">
        <v>1988</v>
      </c>
      <c r="D1404" s="104">
        <v>808452560</v>
      </c>
      <c r="E1404" s="104">
        <v>346192899</v>
      </c>
      <c r="F1404" s="104">
        <v>819627720</v>
      </c>
      <c r="G1404" s="104">
        <v>0</v>
      </c>
      <c r="H1404" s="105">
        <f>SUM(D1404:G1404)</f>
        <v>1974273179</v>
      </c>
      <c r="I1404" s="103">
        <v>0</v>
      </c>
    </row>
    <row r="1405" spans="1:10">
      <c r="A1405" s="101" t="s">
        <v>68</v>
      </c>
      <c r="B1405" s="88" t="s">
        <v>235</v>
      </c>
      <c r="C1405" s="102">
        <v>1989</v>
      </c>
      <c r="D1405" s="104">
        <v>814318036</v>
      </c>
      <c r="E1405" s="104">
        <v>337981640</v>
      </c>
      <c r="F1405" s="104">
        <v>875250418</v>
      </c>
      <c r="G1405" s="104">
        <v>0</v>
      </c>
      <c r="H1405" s="105">
        <f t="shared" ref="H1405:H1436" si="42">SUM(D1405:G1405)</f>
        <v>2027550094</v>
      </c>
      <c r="I1405" s="103">
        <v>0</v>
      </c>
    </row>
    <row r="1406" spans="1:10">
      <c r="A1406" s="101" t="s">
        <v>68</v>
      </c>
      <c r="B1406" s="88" t="s">
        <v>235</v>
      </c>
      <c r="C1406" s="102">
        <v>1990</v>
      </c>
      <c r="D1406" s="104">
        <v>880477875</v>
      </c>
      <c r="E1406" s="104">
        <v>476727196.19999999</v>
      </c>
      <c r="F1406" s="104">
        <v>1005882561</v>
      </c>
      <c r="G1406" s="104">
        <v>0</v>
      </c>
      <c r="H1406" s="105">
        <f t="shared" si="42"/>
        <v>2363087632.1999998</v>
      </c>
      <c r="I1406" s="103">
        <v>0</v>
      </c>
    </row>
    <row r="1407" spans="1:10">
      <c r="A1407" s="101" t="s">
        <v>68</v>
      </c>
      <c r="B1407" s="88" t="s">
        <v>235</v>
      </c>
      <c r="C1407" s="102">
        <v>1991</v>
      </c>
      <c r="D1407" s="104">
        <v>930638160</v>
      </c>
      <c r="E1407" s="104">
        <v>443003035</v>
      </c>
      <c r="F1407" s="104">
        <v>984931346</v>
      </c>
      <c r="G1407" s="104">
        <v>0</v>
      </c>
      <c r="H1407" s="105">
        <f t="shared" si="42"/>
        <v>2358572541</v>
      </c>
      <c r="I1407" s="103">
        <v>0</v>
      </c>
    </row>
    <row r="1408" spans="1:10">
      <c r="A1408" s="101" t="s">
        <v>68</v>
      </c>
      <c r="B1408" s="88" t="s">
        <v>235</v>
      </c>
      <c r="C1408" s="102">
        <v>1992</v>
      </c>
      <c r="D1408" s="104">
        <v>970732687</v>
      </c>
      <c r="E1408" s="104">
        <v>431429092.83999997</v>
      </c>
      <c r="F1408" s="104">
        <v>1020691852</v>
      </c>
      <c r="G1408" s="104">
        <v>0</v>
      </c>
      <c r="H1408" s="105">
        <f t="shared" si="42"/>
        <v>2422853631.8400002</v>
      </c>
      <c r="I1408" s="103">
        <v>0</v>
      </c>
    </row>
    <row r="1409" spans="1:9">
      <c r="A1409" s="101" t="s">
        <v>68</v>
      </c>
      <c r="B1409" s="88" t="s">
        <v>235</v>
      </c>
      <c r="C1409" s="102">
        <v>1993</v>
      </c>
      <c r="D1409" s="104">
        <v>1053428777</v>
      </c>
      <c r="E1409" s="104">
        <v>431367337</v>
      </c>
      <c r="F1409" s="104">
        <v>1085608064</v>
      </c>
      <c r="G1409" s="104">
        <v>0</v>
      </c>
      <c r="H1409" s="105">
        <f t="shared" si="42"/>
        <v>2570404178</v>
      </c>
      <c r="I1409" s="103">
        <v>0</v>
      </c>
    </row>
    <row r="1410" spans="1:9">
      <c r="A1410" s="101" t="s">
        <v>68</v>
      </c>
      <c r="B1410" s="88" t="s">
        <v>235</v>
      </c>
      <c r="C1410" s="102">
        <v>1994</v>
      </c>
      <c r="D1410" s="104">
        <v>1135146769</v>
      </c>
      <c r="E1410" s="104">
        <v>585195477</v>
      </c>
      <c r="F1410" s="104">
        <v>1121728041</v>
      </c>
      <c r="G1410" s="104">
        <v>0</v>
      </c>
      <c r="H1410" s="105">
        <f t="shared" si="42"/>
        <v>2842070287</v>
      </c>
      <c r="I1410" s="103">
        <v>0</v>
      </c>
    </row>
    <row r="1411" spans="1:9">
      <c r="A1411" s="101" t="s">
        <v>68</v>
      </c>
      <c r="B1411" s="88" t="s">
        <v>235</v>
      </c>
      <c r="C1411" s="102">
        <v>1995</v>
      </c>
      <c r="D1411" s="104">
        <v>1209662608</v>
      </c>
      <c r="E1411" s="104">
        <v>528614246</v>
      </c>
      <c r="F1411" s="104">
        <v>1163662102</v>
      </c>
      <c r="G1411" s="104">
        <v>0</v>
      </c>
      <c r="H1411" s="105">
        <f t="shared" si="42"/>
        <v>2901938956</v>
      </c>
      <c r="I1411" s="103">
        <v>0</v>
      </c>
    </row>
    <row r="1412" spans="1:9">
      <c r="A1412" s="101" t="s">
        <v>68</v>
      </c>
      <c r="B1412" s="88" t="s">
        <v>235</v>
      </c>
      <c r="C1412" s="102">
        <v>1996</v>
      </c>
      <c r="D1412" s="104">
        <v>1134564209</v>
      </c>
      <c r="E1412" s="104">
        <v>450933838</v>
      </c>
      <c r="F1412" s="104">
        <v>1239784959</v>
      </c>
      <c r="G1412" s="104">
        <v>0</v>
      </c>
      <c r="H1412" s="105">
        <f t="shared" si="42"/>
        <v>2825283006</v>
      </c>
      <c r="I1412" s="103">
        <v>0</v>
      </c>
    </row>
    <row r="1413" spans="1:9">
      <c r="A1413" s="101" t="s">
        <v>68</v>
      </c>
      <c r="B1413" s="88" t="s">
        <v>235</v>
      </c>
      <c r="C1413" s="102">
        <v>1997</v>
      </c>
      <c r="D1413" s="104">
        <v>1119268528</v>
      </c>
      <c r="E1413" s="104">
        <v>513078474</v>
      </c>
      <c r="F1413" s="104">
        <v>1315429048</v>
      </c>
      <c r="G1413" s="104">
        <v>0</v>
      </c>
      <c r="H1413" s="105">
        <f t="shared" si="42"/>
        <v>2947776050</v>
      </c>
      <c r="I1413" s="103">
        <v>0</v>
      </c>
    </row>
    <row r="1414" spans="1:9">
      <c r="A1414" s="101" t="s">
        <v>68</v>
      </c>
      <c r="B1414" s="88" t="s">
        <v>235</v>
      </c>
      <c r="C1414" s="102">
        <v>1998</v>
      </c>
      <c r="D1414" s="104">
        <v>1217115119</v>
      </c>
      <c r="E1414" s="104">
        <v>526140202</v>
      </c>
      <c r="F1414" s="104">
        <v>1400686753</v>
      </c>
      <c r="G1414" s="104">
        <v>0</v>
      </c>
      <c r="H1414" s="105">
        <f t="shared" si="42"/>
        <v>3143942074</v>
      </c>
      <c r="I1414" s="103">
        <v>0</v>
      </c>
    </row>
    <row r="1415" spans="1:9">
      <c r="A1415" s="101" t="s">
        <v>68</v>
      </c>
      <c r="B1415" s="88" t="s">
        <v>235</v>
      </c>
      <c r="C1415" s="102">
        <v>1999</v>
      </c>
      <c r="D1415" s="104">
        <v>1257134727</v>
      </c>
      <c r="E1415" s="104">
        <v>776680609</v>
      </c>
      <c r="F1415" s="104">
        <v>1476502636</v>
      </c>
      <c r="G1415" s="104">
        <v>0</v>
      </c>
      <c r="H1415" s="105">
        <f t="shared" si="42"/>
        <v>3510317972</v>
      </c>
      <c r="I1415" s="103">
        <v>0</v>
      </c>
    </row>
    <row r="1416" spans="1:9">
      <c r="A1416" s="101" t="s">
        <v>68</v>
      </c>
      <c r="B1416" s="88" t="s">
        <v>235</v>
      </c>
      <c r="C1416" s="102">
        <v>2000</v>
      </c>
      <c r="D1416" s="104">
        <v>1234999145</v>
      </c>
      <c r="E1416" s="104">
        <v>802629737</v>
      </c>
      <c r="F1416" s="104">
        <v>1581222394</v>
      </c>
      <c r="G1416" s="104">
        <v>0</v>
      </c>
      <c r="H1416" s="105">
        <f t="shared" si="42"/>
        <v>3618851276</v>
      </c>
      <c r="I1416" s="103">
        <v>0</v>
      </c>
    </row>
    <row r="1417" spans="1:9">
      <c r="A1417" s="101" t="s">
        <v>68</v>
      </c>
      <c r="B1417" s="88" t="s">
        <v>235</v>
      </c>
      <c r="C1417" s="102">
        <v>2001</v>
      </c>
      <c r="D1417" s="104">
        <v>1295315977</v>
      </c>
      <c r="E1417" s="104">
        <v>1166497124</v>
      </c>
      <c r="F1417" s="104">
        <v>1703624206</v>
      </c>
      <c r="G1417" s="104">
        <v>0</v>
      </c>
      <c r="H1417" s="105">
        <f t="shared" si="42"/>
        <v>4165437307</v>
      </c>
      <c r="I1417" s="103">
        <v>0</v>
      </c>
    </row>
    <row r="1418" spans="1:9">
      <c r="A1418" s="101" t="s">
        <v>68</v>
      </c>
      <c r="B1418" s="88" t="s">
        <v>235</v>
      </c>
      <c r="C1418" s="102">
        <v>2002</v>
      </c>
      <c r="D1418" s="104">
        <v>1261387093</v>
      </c>
      <c r="E1418" s="104">
        <v>1845580369</v>
      </c>
      <c r="F1418" s="104">
        <v>1862783234</v>
      </c>
      <c r="G1418" s="104">
        <v>0</v>
      </c>
      <c r="H1418" s="105">
        <f t="shared" si="42"/>
        <v>4969750696</v>
      </c>
      <c r="I1418" s="103">
        <v>0</v>
      </c>
    </row>
    <row r="1419" spans="1:9">
      <c r="A1419" s="101" t="s">
        <v>68</v>
      </c>
      <c r="B1419" s="88" t="s">
        <v>235</v>
      </c>
      <c r="C1419" s="102">
        <v>2003</v>
      </c>
      <c r="D1419" s="106">
        <v>1329171095</v>
      </c>
      <c r="E1419" s="106">
        <v>1551652692</v>
      </c>
      <c r="F1419" s="106">
        <v>2009881222</v>
      </c>
      <c r="G1419" s="106">
        <v>0</v>
      </c>
      <c r="H1419" s="105">
        <f t="shared" si="42"/>
        <v>4890705009</v>
      </c>
      <c r="I1419" s="103">
        <v>0</v>
      </c>
    </row>
    <row r="1420" spans="1:9">
      <c r="A1420" s="101" t="s">
        <v>68</v>
      </c>
      <c r="B1420" s="88" t="s">
        <v>235</v>
      </c>
      <c r="C1420" s="102">
        <v>2004</v>
      </c>
      <c r="D1420" s="106">
        <v>1416843063</v>
      </c>
      <c r="E1420" s="106">
        <v>1480694683</v>
      </c>
      <c r="F1420" s="106">
        <v>2133081032</v>
      </c>
      <c r="G1420" s="106">
        <v>0</v>
      </c>
      <c r="H1420" s="105">
        <f t="shared" si="42"/>
        <v>5030618778</v>
      </c>
      <c r="I1420" s="103">
        <v>0</v>
      </c>
    </row>
    <row r="1421" spans="1:9">
      <c r="A1421" s="101" t="s">
        <v>68</v>
      </c>
      <c r="B1421" s="88" t="s">
        <v>235</v>
      </c>
      <c r="C1421" s="102">
        <v>2005</v>
      </c>
      <c r="D1421" s="106">
        <v>1390839284</v>
      </c>
      <c r="E1421" s="106">
        <v>1414756410</v>
      </c>
      <c r="F1421" s="106">
        <v>2356388761.5599899</v>
      </c>
      <c r="G1421" s="106">
        <v>0</v>
      </c>
      <c r="H1421" s="105">
        <f t="shared" si="42"/>
        <v>5161984455.5599899</v>
      </c>
      <c r="I1421" s="103">
        <v>0</v>
      </c>
    </row>
    <row r="1422" spans="1:9">
      <c r="A1422" s="101" t="s">
        <v>68</v>
      </c>
      <c r="B1422" s="88" t="s">
        <v>235</v>
      </c>
      <c r="C1422" s="102">
        <v>2006</v>
      </c>
      <c r="D1422" s="103">
        <v>1508302360</v>
      </c>
      <c r="E1422" s="103">
        <v>1586695199</v>
      </c>
      <c r="F1422" s="103">
        <v>2619903242</v>
      </c>
      <c r="G1422" s="103">
        <v>0</v>
      </c>
      <c r="H1422" s="105">
        <f t="shared" si="42"/>
        <v>5714900801</v>
      </c>
      <c r="I1422" s="103">
        <v>0</v>
      </c>
    </row>
    <row r="1423" spans="1:9">
      <c r="A1423" s="101" t="s">
        <v>68</v>
      </c>
      <c r="B1423" s="88" t="s">
        <v>235</v>
      </c>
      <c r="C1423" s="102">
        <v>2007</v>
      </c>
      <c r="D1423" s="103">
        <v>1575162470</v>
      </c>
      <c r="E1423" s="103">
        <v>1578173954</v>
      </c>
      <c r="F1423" s="103">
        <v>3211067351</v>
      </c>
      <c r="G1423" s="103">
        <v>0</v>
      </c>
      <c r="H1423" s="105">
        <f t="shared" si="42"/>
        <v>6364403775</v>
      </c>
      <c r="I1423" s="103">
        <v>0</v>
      </c>
    </row>
    <row r="1424" spans="1:9">
      <c r="A1424" s="101" t="s">
        <v>68</v>
      </c>
      <c r="B1424" s="88" t="s">
        <v>235</v>
      </c>
      <c r="C1424" s="102">
        <v>2008</v>
      </c>
      <c r="D1424" s="103">
        <v>1646066616</v>
      </c>
      <c r="E1424" s="103">
        <v>2242256879</v>
      </c>
      <c r="F1424" s="103">
        <v>3805257119</v>
      </c>
      <c r="G1424" s="103">
        <v>0</v>
      </c>
      <c r="H1424" s="105">
        <f t="shared" si="42"/>
        <v>7693580614</v>
      </c>
      <c r="I1424" s="103">
        <v>0</v>
      </c>
    </row>
    <row r="1425" spans="1:11">
      <c r="A1425" s="101" t="s">
        <v>68</v>
      </c>
      <c r="B1425" s="88" t="s">
        <v>235</v>
      </c>
      <c r="C1425" s="102">
        <v>2009</v>
      </c>
      <c r="D1425" s="103">
        <v>1674205107</v>
      </c>
      <c r="E1425" s="103">
        <v>2243268235</v>
      </c>
      <c r="F1425" s="103">
        <v>4014438638</v>
      </c>
      <c r="G1425" s="103">
        <v>0</v>
      </c>
      <c r="H1425" s="105">
        <f t="shared" si="42"/>
        <v>7931911980</v>
      </c>
      <c r="I1425" s="103">
        <v>0</v>
      </c>
    </row>
    <row r="1426" spans="1:11">
      <c r="A1426" s="101" t="s">
        <v>68</v>
      </c>
      <c r="B1426" s="88" t="s">
        <v>235</v>
      </c>
      <c r="C1426" s="102">
        <v>2010</v>
      </c>
      <c r="D1426" s="103">
        <v>1717720032</v>
      </c>
      <c r="E1426" s="103">
        <v>2927415498</v>
      </c>
      <c r="F1426" s="103">
        <v>3827478465</v>
      </c>
      <c r="G1426" s="103">
        <v>0</v>
      </c>
      <c r="H1426" s="105">
        <f t="shared" si="42"/>
        <v>8472613995</v>
      </c>
      <c r="I1426" s="103">
        <v>0</v>
      </c>
    </row>
    <row r="1427" spans="1:11">
      <c r="A1427" s="101" t="s">
        <v>68</v>
      </c>
      <c r="B1427" s="88" t="s">
        <v>235</v>
      </c>
      <c r="C1427" s="102">
        <v>2011</v>
      </c>
      <c r="D1427" s="103">
        <v>1796389183</v>
      </c>
      <c r="E1427" s="103">
        <v>2112853248</v>
      </c>
      <c r="F1427" s="103">
        <v>4065516773.0599999</v>
      </c>
      <c r="G1427" s="103">
        <v>0</v>
      </c>
      <c r="H1427" s="105">
        <f t="shared" si="42"/>
        <v>7974759204.0599995</v>
      </c>
      <c r="I1427" s="103">
        <v>0</v>
      </c>
    </row>
    <row r="1428" spans="1:11">
      <c r="A1428" s="101" t="s">
        <v>68</v>
      </c>
      <c r="B1428" s="88" t="s">
        <v>235</v>
      </c>
      <c r="C1428" s="102">
        <v>2012</v>
      </c>
      <c r="D1428" s="103">
        <v>1910294440</v>
      </c>
      <c r="E1428" s="103">
        <v>2456078533</v>
      </c>
      <c r="F1428" s="103">
        <v>4259547737</v>
      </c>
      <c r="G1428" s="103">
        <v>0</v>
      </c>
      <c r="H1428" s="105">
        <f t="shared" si="42"/>
        <v>8625920710</v>
      </c>
      <c r="I1428" s="103">
        <v>0</v>
      </c>
    </row>
    <row r="1429" spans="1:11">
      <c r="A1429" s="101" t="s">
        <v>68</v>
      </c>
      <c r="B1429" s="88" t="s">
        <v>235</v>
      </c>
      <c r="C1429" s="102">
        <v>2013</v>
      </c>
      <c r="D1429" s="103">
        <v>1923786578</v>
      </c>
      <c r="E1429" s="103">
        <v>2304619456</v>
      </c>
      <c r="F1429" s="103">
        <v>3303225585</v>
      </c>
      <c r="G1429" s="103">
        <v>0</v>
      </c>
      <c r="H1429" s="105">
        <f t="shared" si="42"/>
        <v>7531631619</v>
      </c>
      <c r="I1429" s="103">
        <v>0</v>
      </c>
    </row>
    <row r="1430" spans="1:11">
      <c r="A1430" s="101" t="s">
        <v>68</v>
      </c>
      <c r="B1430" s="88" t="s">
        <v>235</v>
      </c>
      <c r="C1430" s="102">
        <v>2014</v>
      </c>
      <c r="D1430" s="103">
        <v>1942052134</v>
      </c>
      <c r="E1430" s="103">
        <v>2437376422</v>
      </c>
      <c r="F1430" s="103">
        <v>3693901601.1900001</v>
      </c>
      <c r="G1430" s="103">
        <v>0</v>
      </c>
      <c r="H1430" s="105">
        <f t="shared" si="42"/>
        <v>8073330157.1900005</v>
      </c>
      <c r="I1430" s="103">
        <v>0</v>
      </c>
    </row>
    <row r="1431" spans="1:11">
      <c r="A1431" s="101" t="s">
        <v>68</v>
      </c>
      <c r="B1431" s="88" t="s">
        <v>235</v>
      </c>
      <c r="C1431" s="102">
        <v>2015</v>
      </c>
      <c r="D1431" s="103">
        <v>2044134915</v>
      </c>
      <c r="E1431" s="103">
        <v>2931997944</v>
      </c>
      <c r="F1431" s="103">
        <v>3613263501</v>
      </c>
      <c r="G1431" s="103">
        <v>0</v>
      </c>
      <c r="H1431" s="105">
        <f t="shared" si="42"/>
        <v>8589396360</v>
      </c>
      <c r="I1431" s="103">
        <v>0</v>
      </c>
    </row>
    <row r="1432" spans="1:11">
      <c r="A1432" s="101" t="s">
        <v>68</v>
      </c>
      <c r="B1432" s="88" t="s">
        <v>235</v>
      </c>
      <c r="C1432" s="102">
        <v>2016</v>
      </c>
      <c r="D1432" s="103">
        <v>2120061316</v>
      </c>
      <c r="E1432" s="103">
        <v>3136176712</v>
      </c>
      <c r="F1432" s="103">
        <v>3951071097</v>
      </c>
      <c r="G1432" s="103">
        <v>0</v>
      </c>
      <c r="H1432" s="105">
        <f t="shared" si="42"/>
        <v>9207309125</v>
      </c>
      <c r="I1432" s="103">
        <v>0</v>
      </c>
    </row>
    <row r="1433" spans="1:11">
      <c r="A1433" s="101" t="s">
        <v>68</v>
      </c>
      <c r="B1433" s="88" t="s">
        <v>235</v>
      </c>
      <c r="C1433" s="102">
        <v>2017</v>
      </c>
      <c r="D1433" s="103">
        <v>2240435673</v>
      </c>
      <c r="E1433" s="103">
        <v>2996928638</v>
      </c>
      <c r="F1433" s="103">
        <v>4739825797.1599998</v>
      </c>
      <c r="G1433" s="103">
        <v>0</v>
      </c>
      <c r="H1433" s="105">
        <f t="shared" si="42"/>
        <v>9977190108.1599998</v>
      </c>
      <c r="I1433" s="103">
        <v>0</v>
      </c>
    </row>
    <row r="1434" spans="1:11">
      <c r="A1434" s="101" t="s">
        <v>68</v>
      </c>
      <c r="B1434" s="88" t="s">
        <v>235</v>
      </c>
      <c r="C1434" s="102">
        <v>2018</v>
      </c>
      <c r="D1434" s="103">
        <v>2257174323</v>
      </c>
      <c r="E1434" s="103">
        <v>3505794546</v>
      </c>
      <c r="F1434" s="103">
        <v>5179200677.0599995</v>
      </c>
      <c r="G1434" s="103">
        <v>0</v>
      </c>
      <c r="H1434" s="105">
        <f t="shared" si="42"/>
        <v>10942169546.059999</v>
      </c>
      <c r="I1434" s="103">
        <v>0</v>
      </c>
    </row>
    <row r="1435" spans="1:11">
      <c r="A1435" s="101" t="s">
        <v>68</v>
      </c>
      <c r="B1435" s="88" t="s">
        <v>235</v>
      </c>
      <c r="C1435" s="102">
        <v>2019</v>
      </c>
      <c r="D1435" s="103">
        <v>2374333283</v>
      </c>
      <c r="E1435" s="103">
        <v>3956768319</v>
      </c>
      <c r="F1435" s="103">
        <v>5377184579.7453995</v>
      </c>
      <c r="G1435" s="103">
        <v>0</v>
      </c>
      <c r="H1435" s="105">
        <f t="shared" si="42"/>
        <v>11708286181.745399</v>
      </c>
      <c r="I1435" s="103">
        <v>0</v>
      </c>
    </row>
    <row r="1436" spans="1:11">
      <c r="A1436" s="101" t="s">
        <v>68</v>
      </c>
      <c r="B1436" s="88" t="s">
        <v>235</v>
      </c>
      <c r="C1436" s="102">
        <v>2020</v>
      </c>
      <c r="D1436" s="103">
        <v>2436275499</v>
      </c>
      <c r="E1436" s="103">
        <v>3595448162</v>
      </c>
      <c r="F1436" s="103">
        <v>5847642242</v>
      </c>
      <c r="G1436" s="103">
        <v>0</v>
      </c>
      <c r="H1436" s="105">
        <f t="shared" si="42"/>
        <v>11879365903</v>
      </c>
      <c r="I1436" s="103">
        <v>0</v>
      </c>
      <c r="J1436" s="109" t="s">
        <v>687</v>
      </c>
      <c r="K1436" s="52" t="s">
        <v>677</v>
      </c>
    </row>
    <row r="1437" spans="1:11">
      <c r="A1437" s="101"/>
      <c r="B1437" s="107"/>
      <c r="D1437" s="104"/>
      <c r="E1437" s="104"/>
      <c r="F1437" s="104"/>
      <c r="G1437" s="104"/>
      <c r="H1437" s="103"/>
      <c r="I1437" s="103"/>
    </row>
    <row r="1438" spans="1:11">
      <c r="A1438" s="101" t="s">
        <v>69</v>
      </c>
      <c r="B1438" s="88" t="s">
        <v>562</v>
      </c>
      <c r="C1438" s="102">
        <v>1988</v>
      </c>
      <c r="D1438" s="104">
        <v>171874879</v>
      </c>
      <c r="E1438" s="104">
        <v>160470797</v>
      </c>
      <c r="F1438" s="104">
        <v>224310316</v>
      </c>
      <c r="G1438" s="104">
        <v>0</v>
      </c>
      <c r="H1438" s="105">
        <f>SUM(D1438:G1438)</f>
        <v>556655992</v>
      </c>
      <c r="I1438" s="103">
        <v>0</v>
      </c>
    </row>
    <row r="1439" spans="1:11">
      <c r="A1439" s="101" t="s">
        <v>69</v>
      </c>
      <c r="B1439" s="88" t="s">
        <v>562</v>
      </c>
      <c r="C1439" s="102">
        <v>1989</v>
      </c>
      <c r="D1439" s="104">
        <v>164165888</v>
      </c>
      <c r="E1439" s="104">
        <v>154402927</v>
      </c>
      <c r="F1439" s="104">
        <v>239395164</v>
      </c>
      <c r="G1439" s="104">
        <v>0</v>
      </c>
      <c r="H1439" s="105">
        <f t="shared" ref="H1439:H1470" si="43">SUM(D1439:G1439)</f>
        <v>557963979</v>
      </c>
      <c r="I1439" s="103">
        <v>0</v>
      </c>
    </row>
    <row r="1440" spans="1:11">
      <c r="A1440" s="101" t="s">
        <v>69</v>
      </c>
      <c r="B1440" s="88" t="s">
        <v>562</v>
      </c>
      <c r="C1440" s="102">
        <v>1990</v>
      </c>
      <c r="D1440" s="104">
        <v>167821811</v>
      </c>
      <c r="E1440" s="104">
        <v>165387971.84</v>
      </c>
      <c r="F1440" s="104">
        <v>254570615</v>
      </c>
      <c r="G1440" s="104">
        <v>0</v>
      </c>
      <c r="H1440" s="105">
        <f t="shared" si="43"/>
        <v>587780397.84000003</v>
      </c>
      <c r="I1440" s="103">
        <v>0</v>
      </c>
    </row>
    <row r="1441" spans="1:10">
      <c r="A1441" s="101" t="s">
        <v>69</v>
      </c>
      <c r="B1441" s="88" t="s">
        <v>562</v>
      </c>
      <c r="C1441" s="102">
        <v>1991</v>
      </c>
      <c r="D1441" s="104">
        <v>179567209</v>
      </c>
      <c r="E1441" s="104">
        <v>181276707</v>
      </c>
      <c r="F1441" s="104">
        <v>266294144</v>
      </c>
      <c r="G1441" s="104">
        <v>0</v>
      </c>
      <c r="H1441" s="105">
        <f t="shared" si="43"/>
        <v>627138060</v>
      </c>
      <c r="I1441" s="103">
        <v>0</v>
      </c>
    </row>
    <row r="1442" spans="1:10">
      <c r="A1442" s="101" t="s">
        <v>69</v>
      </c>
      <c r="B1442" s="88" t="s">
        <v>562</v>
      </c>
      <c r="C1442" s="102">
        <v>1992</v>
      </c>
      <c r="D1442" s="104">
        <v>189295694</v>
      </c>
      <c r="E1442" s="104">
        <v>177520864.19999999</v>
      </c>
      <c r="F1442" s="104">
        <v>293691882</v>
      </c>
      <c r="G1442" s="104">
        <v>0</v>
      </c>
      <c r="H1442" s="105">
        <f t="shared" si="43"/>
        <v>660508440.20000005</v>
      </c>
      <c r="I1442" s="103">
        <v>0</v>
      </c>
    </row>
    <row r="1443" spans="1:10">
      <c r="A1443" s="101" t="s">
        <v>69</v>
      </c>
      <c r="B1443" s="88" t="s">
        <v>562</v>
      </c>
      <c r="C1443" s="102">
        <v>1993</v>
      </c>
      <c r="D1443" s="104">
        <v>184534209</v>
      </c>
      <c r="E1443" s="104">
        <v>154806390</v>
      </c>
      <c r="F1443" s="104">
        <v>309129040</v>
      </c>
      <c r="G1443" s="104">
        <v>0</v>
      </c>
      <c r="H1443" s="105">
        <f t="shared" si="43"/>
        <v>648469639</v>
      </c>
      <c r="I1443" s="103">
        <v>0</v>
      </c>
    </row>
    <row r="1444" spans="1:10">
      <c r="A1444" s="101" t="s">
        <v>69</v>
      </c>
      <c r="B1444" s="88" t="s">
        <v>562</v>
      </c>
      <c r="C1444" s="102">
        <v>1994</v>
      </c>
      <c r="D1444" s="104">
        <v>204777549</v>
      </c>
      <c r="E1444" s="104">
        <v>198188809</v>
      </c>
      <c r="F1444" s="104">
        <v>336796117</v>
      </c>
      <c r="G1444" s="104">
        <v>0</v>
      </c>
      <c r="H1444" s="105">
        <f t="shared" si="43"/>
        <v>739762475</v>
      </c>
      <c r="I1444" s="103">
        <v>0</v>
      </c>
    </row>
    <row r="1445" spans="1:10">
      <c r="A1445" s="101" t="s">
        <v>69</v>
      </c>
      <c r="B1445" s="88" t="s">
        <v>562</v>
      </c>
      <c r="C1445" s="102">
        <v>1995</v>
      </c>
      <c r="D1445" s="104">
        <v>223151747</v>
      </c>
      <c r="E1445" s="104">
        <v>199043824</v>
      </c>
      <c r="F1445" s="104">
        <v>315070850</v>
      </c>
      <c r="G1445" s="104">
        <v>0</v>
      </c>
      <c r="H1445" s="105">
        <f t="shared" si="43"/>
        <v>737266421</v>
      </c>
      <c r="I1445" s="103">
        <v>0</v>
      </c>
    </row>
    <row r="1446" spans="1:10">
      <c r="A1446" s="101" t="s">
        <v>69</v>
      </c>
      <c r="B1446" s="88" t="s">
        <v>562</v>
      </c>
      <c r="C1446" s="102">
        <v>1996</v>
      </c>
      <c r="D1446" s="104">
        <v>231483651</v>
      </c>
      <c r="E1446" s="104">
        <v>145665585</v>
      </c>
      <c r="F1446" s="104">
        <v>351139255</v>
      </c>
      <c r="G1446" s="104">
        <v>0</v>
      </c>
      <c r="H1446" s="105">
        <f t="shared" si="43"/>
        <v>728288491</v>
      </c>
      <c r="I1446" s="103">
        <v>0</v>
      </c>
    </row>
    <row r="1447" spans="1:10">
      <c r="A1447" s="101" t="s">
        <v>69</v>
      </c>
      <c r="B1447" s="88" t="s">
        <v>562</v>
      </c>
      <c r="C1447" s="102">
        <v>1997</v>
      </c>
      <c r="D1447" s="104">
        <v>233356861</v>
      </c>
      <c r="E1447" s="104">
        <v>153521535</v>
      </c>
      <c r="F1447" s="104">
        <v>415557589</v>
      </c>
      <c r="G1447" s="104">
        <v>0</v>
      </c>
      <c r="H1447" s="105">
        <f t="shared" si="43"/>
        <v>802435985</v>
      </c>
      <c r="I1447" s="103">
        <v>0</v>
      </c>
    </row>
    <row r="1448" spans="1:10">
      <c r="A1448" s="101" t="s">
        <v>69</v>
      </c>
      <c r="B1448" s="88" t="s">
        <v>562</v>
      </c>
      <c r="C1448" s="102">
        <v>1998</v>
      </c>
      <c r="D1448" s="104">
        <v>225174978</v>
      </c>
      <c r="E1448" s="104">
        <v>143147379</v>
      </c>
      <c r="F1448" s="104">
        <v>410864385</v>
      </c>
      <c r="G1448" s="104">
        <v>0</v>
      </c>
      <c r="H1448" s="105">
        <f t="shared" si="43"/>
        <v>779186742</v>
      </c>
      <c r="I1448" s="103">
        <v>0</v>
      </c>
    </row>
    <row r="1449" spans="1:10">
      <c r="A1449" s="101" t="s">
        <v>69</v>
      </c>
      <c r="B1449" s="88" t="s">
        <v>562</v>
      </c>
      <c r="C1449" s="102">
        <v>1999</v>
      </c>
      <c r="D1449" s="104">
        <v>235379857</v>
      </c>
      <c r="E1449" s="104">
        <v>213865986</v>
      </c>
      <c r="F1449" s="104">
        <v>445546362</v>
      </c>
      <c r="G1449" s="104">
        <v>0</v>
      </c>
      <c r="H1449" s="105">
        <f t="shared" si="43"/>
        <v>894792205</v>
      </c>
      <c r="I1449" s="103">
        <v>0</v>
      </c>
    </row>
    <row r="1450" spans="1:10">
      <c r="A1450" s="101" t="s">
        <v>69</v>
      </c>
      <c r="B1450" s="88" t="s">
        <v>562</v>
      </c>
      <c r="C1450" s="102">
        <v>2000</v>
      </c>
      <c r="D1450" s="104">
        <v>239961279</v>
      </c>
      <c r="E1450" s="104">
        <v>218007368</v>
      </c>
      <c r="F1450" s="104">
        <v>466355760</v>
      </c>
      <c r="G1450" s="104">
        <v>0</v>
      </c>
      <c r="H1450" s="105">
        <f t="shared" si="43"/>
        <v>924324407</v>
      </c>
      <c r="I1450" s="103">
        <v>0</v>
      </c>
    </row>
    <row r="1451" spans="1:10">
      <c r="A1451" s="101" t="s">
        <v>69</v>
      </c>
      <c r="B1451" s="88" t="s">
        <v>562</v>
      </c>
      <c r="C1451" s="102">
        <v>2001</v>
      </c>
      <c r="D1451" s="104">
        <v>245809542</v>
      </c>
      <c r="E1451" s="104">
        <v>292699443</v>
      </c>
      <c r="F1451" s="104">
        <v>511256771</v>
      </c>
      <c r="G1451" s="104">
        <v>0</v>
      </c>
      <c r="H1451" s="105">
        <f t="shared" si="43"/>
        <v>1049765756</v>
      </c>
      <c r="I1451" s="103">
        <v>0</v>
      </c>
    </row>
    <row r="1452" spans="1:10">
      <c r="A1452" s="101" t="s">
        <v>69</v>
      </c>
      <c r="B1452" s="88" t="s">
        <v>562</v>
      </c>
      <c r="C1452" s="102">
        <v>2002</v>
      </c>
      <c r="D1452" s="104">
        <v>283298104</v>
      </c>
      <c r="E1452" s="104">
        <v>359384401</v>
      </c>
      <c r="F1452" s="104">
        <v>524895916</v>
      </c>
      <c r="G1452" s="104">
        <v>0</v>
      </c>
      <c r="H1452" s="105">
        <f t="shared" si="43"/>
        <v>1167578421</v>
      </c>
      <c r="I1452" s="103">
        <v>0</v>
      </c>
    </row>
    <row r="1453" spans="1:10">
      <c r="A1453" s="101" t="s">
        <v>69</v>
      </c>
      <c r="B1453" s="88" t="s">
        <v>562</v>
      </c>
      <c r="C1453" s="102">
        <v>2003</v>
      </c>
      <c r="D1453" s="106">
        <v>269449663</v>
      </c>
      <c r="E1453" s="106">
        <v>315582735</v>
      </c>
      <c r="F1453" s="106">
        <v>566158179</v>
      </c>
      <c r="G1453" s="104">
        <v>0</v>
      </c>
      <c r="H1453" s="105">
        <f t="shared" si="43"/>
        <v>1151190577</v>
      </c>
      <c r="I1453" s="103">
        <v>0</v>
      </c>
      <c r="J1453" s="114"/>
    </row>
    <row r="1454" spans="1:10">
      <c r="A1454" s="101" t="s">
        <v>69</v>
      </c>
      <c r="B1454" s="88" t="s">
        <v>562</v>
      </c>
      <c r="C1454" s="102">
        <v>2004</v>
      </c>
      <c r="D1454" s="106">
        <v>306844117</v>
      </c>
      <c r="E1454" s="106">
        <v>294072377</v>
      </c>
      <c r="F1454" s="106">
        <v>603701228</v>
      </c>
      <c r="G1454" s="104">
        <v>0</v>
      </c>
      <c r="H1454" s="105">
        <f t="shared" si="43"/>
        <v>1204617722</v>
      </c>
      <c r="I1454" s="103">
        <v>0</v>
      </c>
    </row>
    <row r="1455" spans="1:10">
      <c r="A1455" s="101" t="s">
        <v>69</v>
      </c>
      <c r="B1455" s="88" t="s">
        <v>562</v>
      </c>
      <c r="C1455" s="102">
        <v>2005</v>
      </c>
      <c r="D1455" s="106">
        <v>319199205</v>
      </c>
      <c r="E1455" s="106">
        <v>242601842</v>
      </c>
      <c r="F1455" s="106">
        <v>641529591.55999899</v>
      </c>
      <c r="G1455" s="104">
        <v>0</v>
      </c>
      <c r="H1455" s="105">
        <f t="shared" si="43"/>
        <v>1203330638.559999</v>
      </c>
      <c r="I1455" s="103">
        <v>0</v>
      </c>
    </row>
    <row r="1456" spans="1:10">
      <c r="A1456" s="101" t="s">
        <v>69</v>
      </c>
      <c r="B1456" s="88" t="s">
        <v>562</v>
      </c>
      <c r="C1456" s="102">
        <v>2006</v>
      </c>
      <c r="D1456" s="103">
        <v>338323244</v>
      </c>
      <c r="E1456" s="103">
        <v>303115714</v>
      </c>
      <c r="F1456" s="103">
        <v>705336064</v>
      </c>
      <c r="G1456" s="103">
        <v>0</v>
      </c>
      <c r="H1456" s="105">
        <f t="shared" si="43"/>
        <v>1346775022</v>
      </c>
      <c r="I1456" s="103">
        <v>0</v>
      </c>
    </row>
    <row r="1457" spans="1:11">
      <c r="A1457" s="101" t="s">
        <v>69</v>
      </c>
      <c r="B1457" s="88" t="s">
        <v>562</v>
      </c>
      <c r="C1457" s="102">
        <v>2007</v>
      </c>
      <c r="D1457" s="103">
        <v>371442131</v>
      </c>
      <c r="E1457" s="103">
        <v>321824767</v>
      </c>
      <c r="F1457" s="103">
        <v>758157353</v>
      </c>
      <c r="G1457" s="103">
        <v>0</v>
      </c>
      <c r="H1457" s="105">
        <f t="shared" si="43"/>
        <v>1451424251</v>
      </c>
      <c r="I1457" s="103">
        <v>0</v>
      </c>
    </row>
    <row r="1458" spans="1:11">
      <c r="A1458" s="101" t="s">
        <v>69</v>
      </c>
      <c r="B1458" s="88" t="s">
        <v>562</v>
      </c>
      <c r="C1458" s="102">
        <v>2008</v>
      </c>
      <c r="D1458" s="103">
        <v>417072791</v>
      </c>
      <c r="E1458" s="103">
        <v>391320986</v>
      </c>
      <c r="F1458" s="103">
        <v>789455310</v>
      </c>
      <c r="G1458" s="103">
        <v>0</v>
      </c>
      <c r="H1458" s="105">
        <f t="shared" si="43"/>
        <v>1597849087</v>
      </c>
      <c r="I1458" s="103">
        <v>0</v>
      </c>
    </row>
    <row r="1459" spans="1:11">
      <c r="A1459" s="101" t="s">
        <v>69</v>
      </c>
      <c r="B1459" s="88" t="s">
        <v>562</v>
      </c>
      <c r="C1459" s="102">
        <v>2009</v>
      </c>
      <c r="D1459" s="103">
        <v>450007311</v>
      </c>
      <c r="E1459" s="103">
        <v>326903554</v>
      </c>
      <c r="F1459" s="103">
        <v>824663481</v>
      </c>
      <c r="G1459" s="103">
        <v>0</v>
      </c>
      <c r="H1459" s="105">
        <f t="shared" si="43"/>
        <v>1601574346</v>
      </c>
      <c r="I1459" s="103">
        <v>0</v>
      </c>
    </row>
    <row r="1460" spans="1:11">
      <c r="A1460" s="101" t="s">
        <v>69</v>
      </c>
      <c r="B1460" s="88" t="s">
        <v>562</v>
      </c>
      <c r="C1460" s="102">
        <v>2010</v>
      </c>
      <c r="D1460" s="103">
        <v>478518624</v>
      </c>
      <c r="E1460" s="103">
        <v>300380731</v>
      </c>
      <c r="F1460" s="103">
        <v>874503936</v>
      </c>
      <c r="G1460" s="103">
        <v>0</v>
      </c>
      <c r="H1460" s="105">
        <f t="shared" si="43"/>
        <v>1653403291</v>
      </c>
      <c r="I1460" s="103">
        <v>0</v>
      </c>
    </row>
    <row r="1461" spans="1:11">
      <c r="A1461" s="101" t="s">
        <v>69</v>
      </c>
      <c r="B1461" s="88" t="s">
        <v>562</v>
      </c>
      <c r="C1461" s="102">
        <v>2011</v>
      </c>
      <c r="D1461" s="103">
        <v>503248281</v>
      </c>
      <c r="E1461" s="103">
        <v>308337154</v>
      </c>
      <c r="F1461" s="103">
        <v>887867281.20000005</v>
      </c>
      <c r="G1461" s="103">
        <v>0</v>
      </c>
      <c r="H1461" s="105">
        <f t="shared" si="43"/>
        <v>1699452716.2</v>
      </c>
      <c r="I1461" s="103">
        <v>0</v>
      </c>
    </row>
    <row r="1462" spans="1:11">
      <c r="A1462" s="101" t="s">
        <v>69</v>
      </c>
      <c r="B1462" s="88" t="s">
        <v>562</v>
      </c>
      <c r="C1462" s="102">
        <v>2012</v>
      </c>
      <c r="D1462" s="103">
        <v>548865772</v>
      </c>
      <c r="E1462" s="103">
        <v>360400578</v>
      </c>
      <c r="F1462" s="103">
        <v>955893219</v>
      </c>
      <c r="G1462" s="103">
        <v>0</v>
      </c>
      <c r="H1462" s="105">
        <f t="shared" si="43"/>
        <v>1865159569</v>
      </c>
      <c r="I1462" s="103">
        <v>0</v>
      </c>
    </row>
    <row r="1463" spans="1:11">
      <c r="A1463" s="101" t="s">
        <v>69</v>
      </c>
      <c r="B1463" s="88" t="s">
        <v>562</v>
      </c>
      <c r="C1463" s="102">
        <v>2013</v>
      </c>
      <c r="D1463" s="103">
        <v>551188249</v>
      </c>
      <c r="E1463" s="103">
        <v>373533466</v>
      </c>
      <c r="F1463" s="103">
        <v>895491424</v>
      </c>
      <c r="G1463" s="103">
        <v>0</v>
      </c>
      <c r="H1463" s="105">
        <f t="shared" si="43"/>
        <v>1820213139</v>
      </c>
      <c r="I1463" s="103">
        <v>0</v>
      </c>
    </row>
    <row r="1464" spans="1:11">
      <c r="A1464" s="101" t="s">
        <v>69</v>
      </c>
      <c r="B1464" s="88" t="s">
        <v>562</v>
      </c>
      <c r="C1464" s="102">
        <v>2014</v>
      </c>
      <c r="D1464" s="103">
        <v>580195770</v>
      </c>
      <c r="E1464" s="103">
        <v>405284055</v>
      </c>
      <c r="F1464" s="103">
        <v>917815928.23000002</v>
      </c>
      <c r="G1464" s="103">
        <v>0</v>
      </c>
      <c r="H1464" s="105">
        <f t="shared" si="43"/>
        <v>1903295753.23</v>
      </c>
      <c r="I1464" s="103">
        <v>0</v>
      </c>
    </row>
    <row r="1465" spans="1:11">
      <c r="A1465" s="101" t="s">
        <v>69</v>
      </c>
      <c r="B1465" s="88" t="s">
        <v>562</v>
      </c>
      <c r="C1465" s="102">
        <v>2015</v>
      </c>
      <c r="D1465" s="103">
        <v>694946343</v>
      </c>
      <c r="E1465" s="103">
        <v>462797225</v>
      </c>
      <c r="F1465" s="103">
        <v>1012972553</v>
      </c>
      <c r="G1465" s="103">
        <v>0</v>
      </c>
      <c r="H1465" s="105">
        <f t="shared" si="43"/>
        <v>2170716121</v>
      </c>
      <c r="I1465" s="103">
        <v>0</v>
      </c>
    </row>
    <row r="1466" spans="1:11">
      <c r="A1466" s="101" t="s">
        <v>69</v>
      </c>
      <c r="B1466" s="88" t="s">
        <v>562</v>
      </c>
      <c r="C1466" s="102">
        <v>2016</v>
      </c>
      <c r="D1466" s="103">
        <v>664190049</v>
      </c>
      <c r="E1466" s="103">
        <v>452220130</v>
      </c>
      <c r="F1466" s="103">
        <v>1059326169</v>
      </c>
      <c r="G1466" s="103">
        <v>0</v>
      </c>
      <c r="H1466" s="105">
        <f t="shared" si="43"/>
        <v>2175736348</v>
      </c>
      <c r="I1466" s="103">
        <v>0</v>
      </c>
    </row>
    <row r="1467" spans="1:11">
      <c r="A1467" s="101" t="s">
        <v>69</v>
      </c>
      <c r="B1467" s="88" t="s">
        <v>562</v>
      </c>
      <c r="C1467" s="102">
        <v>2017</v>
      </c>
      <c r="D1467" s="103">
        <v>765699291</v>
      </c>
      <c r="E1467" s="103">
        <v>431035987</v>
      </c>
      <c r="F1467" s="103">
        <v>1136708087.9200001</v>
      </c>
      <c r="G1467" s="103">
        <v>0</v>
      </c>
      <c r="H1467" s="105">
        <f t="shared" si="43"/>
        <v>2333443365.9200001</v>
      </c>
      <c r="I1467" s="103">
        <v>0</v>
      </c>
    </row>
    <row r="1468" spans="1:11">
      <c r="A1468" s="101" t="s">
        <v>69</v>
      </c>
      <c r="B1468" s="88" t="s">
        <v>562</v>
      </c>
      <c r="C1468" s="102">
        <v>2018</v>
      </c>
      <c r="D1468" s="103">
        <v>768013865</v>
      </c>
      <c r="E1468" s="103">
        <v>485892577</v>
      </c>
      <c r="F1468" s="103">
        <v>1156775340.03</v>
      </c>
      <c r="G1468" s="103">
        <v>0</v>
      </c>
      <c r="H1468" s="105">
        <f t="shared" si="43"/>
        <v>2410681782.0299997</v>
      </c>
      <c r="I1468" s="103">
        <v>0</v>
      </c>
    </row>
    <row r="1469" spans="1:11">
      <c r="A1469" s="101" t="s">
        <v>69</v>
      </c>
      <c r="B1469" s="88" t="s">
        <v>562</v>
      </c>
      <c r="C1469" s="102">
        <v>2019</v>
      </c>
      <c r="D1469" s="103">
        <v>809592750</v>
      </c>
      <c r="E1469" s="103">
        <v>479835805</v>
      </c>
      <c r="F1469" s="103">
        <v>1152094736.8814001</v>
      </c>
      <c r="G1469" s="103">
        <v>0</v>
      </c>
      <c r="H1469" s="105">
        <f t="shared" si="43"/>
        <v>2441523291.8814001</v>
      </c>
      <c r="I1469" s="103">
        <v>0</v>
      </c>
    </row>
    <row r="1470" spans="1:11">
      <c r="A1470" s="101" t="s">
        <v>69</v>
      </c>
      <c r="B1470" s="88" t="s">
        <v>562</v>
      </c>
      <c r="C1470" s="102">
        <v>2020</v>
      </c>
      <c r="D1470" s="103">
        <v>963966440</v>
      </c>
      <c r="E1470" s="103">
        <v>503466608</v>
      </c>
      <c r="F1470" s="103">
        <v>1173551693</v>
      </c>
      <c r="G1470" s="103">
        <v>0</v>
      </c>
      <c r="H1470" s="105">
        <f t="shared" si="43"/>
        <v>2640984741</v>
      </c>
      <c r="I1470" s="103">
        <v>0</v>
      </c>
      <c r="J1470" s="111" t="s">
        <v>708</v>
      </c>
      <c r="K1470" s="52" t="s">
        <v>677</v>
      </c>
    </row>
    <row r="1471" spans="1:11">
      <c r="A1471" s="101"/>
      <c r="B1471" s="107"/>
      <c r="D1471" s="104"/>
      <c r="E1471" s="104"/>
      <c r="F1471" s="104"/>
      <c r="G1471" s="104"/>
      <c r="H1471" s="103"/>
      <c r="I1471" s="103"/>
    </row>
    <row r="1472" spans="1:11">
      <c r="A1472" s="101" t="s">
        <v>70</v>
      </c>
      <c r="B1472" s="88" t="s">
        <v>421</v>
      </c>
      <c r="C1472" s="102">
        <v>1988</v>
      </c>
      <c r="D1472" s="104">
        <v>1094456855</v>
      </c>
      <c r="E1472" s="104">
        <v>630847662</v>
      </c>
      <c r="F1472" s="104">
        <v>1132760117</v>
      </c>
      <c r="G1472" s="104">
        <v>0</v>
      </c>
      <c r="H1472" s="105">
        <f>SUM(D1472:G1472)</f>
        <v>2858064634</v>
      </c>
      <c r="I1472" s="103">
        <v>42513662</v>
      </c>
      <c r="J1472" s="52" t="s">
        <v>690</v>
      </c>
    </row>
    <row r="1473" spans="1:10">
      <c r="A1473" s="101" t="s">
        <v>70</v>
      </c>
      <c r="B1473" s="88" t="s">
        <v>421</v>
      </c>
      <c r="C1473" s="102">
        <v>1989</v>
      </c>
      <c r="D1473" s="104">
        <v>1103309502</v>
      </c>
      <c r="E1473" s="104">
        <v>695982293</v>
      </c>
      <c r="F1473" s="104">
        <v>1181216142</v>
      </c>
      <c r="G1473" s="104">
        <v>0</v>
      </c>
      <c r="H1473" s="105">
        <f t="shared" ref="H1473:H1504" si="44">SUM(D1473:G1473)</f>
        <v>2980507937</v>
      </c>
      <c r="I1473" s="103">
        <v>59314805</v>
      </c>
      <c r="J1473" s="52" t="s">
        <v>690</v>
      </c>
    </row>
    <row r="1474" spans="1:10">
      <c r="A1474" s="101" t="s">
        <v>70</v>
      </c>
      <c r="B1474" s="88" t="s">
        <v>421</v>
      </c>
      <c r="C1474" s="102">
        <v>1990</v>
      </c>
      <c r="D1474" s="104">
        <v>1155059260</v>
      </c>
      <c r="E1474" s="104">
        <v>835584984.44000006</v>
      </c>
      <c r="F1474" s="104">
        <v>1212050455</v>
      </c>
      <c r="G1474" s="104">
        <v>0</v>
      </c>
      <c r="H1474" s="105">
        <f t="shared" si="44"/>
        <v>3202694699.4400001</v>
      </c>
      <c r="I1474" s="103">
        <v>59500579</v>
      </c>
      <c r="J1474" s="52" t="s">
        <v>690</v>
      </c>
    </row>
    <row r="1475" spans="1:10">
      <c r="A1475" s="101" t="s">
        <v>70</v>
      </c>
      <c r="B1475" s="88" t="s">
        <v>421</v>
      </c>
      <c r="C1475" s="102">
        <v>1991</v>
      </c>
      <c r="D1475" s="104">
        <v>1255918023</v>
      </c>
      <c r="E1475" s="104">
        <v>763382831</v>
      </c>
      <c r="F1475" s="104">
        <v>1305663313</v>
      </c>
      <c r="G1475" s="104">
        <v>0</v>
      </c>
      <c r="H1475" s="105">
        <f t="shared" si="44"/>
        <v>3324964167</v>
      </c>
      <c r="I1475" s="103">
        <v>67284316</v>
      </c>
      <c r="J1475" s="52" t="s">
        <v>690</v>
      </c>
    </row>
    <row r="1476" spans="1:10">
      <c r="A1476" s="101" t="s">
        <v>70</v>
      </c>
      <c r="B1476" s="88" t="s">
        <v>421</v>
      </c>
      <c r="C1476" s="102">
        <v>1992</v>
      </c>
      <c r="D1476" s="104">
        <v>1344609250</v>
      </c>
      <c r="E1476" s="104">
        <v>840424831.96000004</v>
      </c>
      <c r="F1476" s="104">
        <v>1368966567</v>
      </c>
      <c r="G1476" s="104">
        <v>0</v>
      </c>
      <c r="H1476" s="105">
        <f t="shared" si="44"/>
        <v>3554000648.96</v>
      </c>
      <c r="I1476" s="103">
        <v>83202481</v>
      </c>
      <c r="J1476" s="52" t="s">
        <v>690</v>
      </c>
    </row>
    <row r="1477" spans="1:10">
      <c r="A1477" s="101" t="s">
        <v>70</v>
      </c>
      <c r="B1477" s="88" t="s">
        <v>421</v>
      </c>
      <c r="C1477" s="102">
        <v>1993</v>
      </c>
      <c r="D1477" s="104">
        <v>1400980664</v>
      </c>
      <c r="E1477" s="104">
        <v>883362163</v>
      </c>
      <c r="F1477" s="104">
        <v>1483713333</v>
      </c>
      <c r="G1477" s="104">
        <v>0</v>
      </c>
      <c r="H1477" s="105">
        <f t="shared" si="44"/>
        <v>3768056160</v>
      </c>
      <c r="I1477" s="103">
        <v>74961477</v>
      </c>
      <c r="J1477" s="52" t="s">
        <v>690</v>
      </c>
    </row>
    <row r="1478" spans="1:10">
      <c r="A1478" s="101" t="s">
        <v>70</v>
      </c>
      <c r="B1478" s="88" t="s">
        <v>421</v>
      </c>
      <c r="C1478" s="102">
        <v>1994</v>
      </c>
      <c r="D1478" s="104">
        <v>1560367985</v>
      </c>
      <c r="E1478" s="104">
        <v>1037462461</v>
      </c>
      <c r="F1478" s="104">
        <v>1549027334</v>
      </c>
      <c r="G1478" s="104">
        <v>0</v>
      </c>
      <c r="H1478" s="105">
        <f t="shared" si="44"/>
        <v>4146857780</v>
      </c>
      <c r="I1478" s="103">
        <v>82789359</v>
      </c>
      <c r="J1478" s="52" t="s">
        <v>690</v>
      </c>
    </row>
    <row r="1479" spans="1:10">
      <c r="A1479" s="101" t="s">
        <v>70</v>
      </c>
      <c r="B1479" s="88" t="s">
        <v>421</v>
      </c>
      <c r="C1479" s="102">
        <v>1995</v>
      </c>
      <c r="D1479" s="104">
        <v>1727962837</v>
      </c>
      <c r="E1479" s="104">
        <v>1047808902</v>
      </c>
      <c r="F1479" s="104">
        <v>3719779960</v>
      </c>
      <c r="G1479" s="104">
        <v>0</v>
      </c>
      <c r="H1479" s="105">
        <f t="shared" si="44"/>
        <v>6495551699</v>
      </c>
      <c r="I1479" s="103">
        <v>91703614</v>
      </c>
      <c r="J1479" s="52" t="s">
        <v>690</v>
      </c>
    </row>
    <row r="1480" spans="1:10">
      <c r="A1480" s="101" t="s">
        <v>70</v>
      </c>
      <c r="B1480" s="88" t="s">
        <v>421</v>
      </c>
      <c r="C1480" s="102">
        <v>1996</v>
      </c>
      <c r="D1480" s="104">
        <v>1607097663</v>
      </c>
      <c r="E1480" s="104">
        <v>899183122</v>
      </c>
      <c r="F1480" s="104">
        <v>3042149224</v>
      </c>
      <c r="G1480" s="104">
        <v>0</v>
      </c>
      <c r="H1480" s="105">
        <f t="shared" si="44"/>
        <v>5548430009</v>
      </c>
      <c r="I1480" s="103">
        <v>71669381</v>
      </c>
      <c r="J1480" s="52" t="s">
        <v>690</v>
      </c>
    </row>
    <row r="1481" spans="1:10">
      <c r="A1481" s="101" t="s">
        <v>70</v>
      </c>
      <c r="B1481" s="88" t="s">
        <v>421</v>
      </c>
      <c r="C1481" s="102">
        <v>1997</v>
      </c>
      <c r="D1481" s="104">
        <v>1675851142</v>
      </c>
      <c r="E1481" s="104">
        <v>1050846109</v>
      </c>
      <c r="F1481" s="104">
        <v>2399520536</v>
      </c>
      <c r="G1481" s="104">
        <v>0</v>
      </c>
      <c r="H1481" s="105">
        <f t="shared" si="44"/>
        <v>5126217787</v>
      </c>
      <c r="I1481" s="103">
        <v>74931317</v>
      </c>
      <c r="J1481" s="52" t="s">
        <v>690</v>
      </c>
    </row>
    <row r="1482" spans="1:10">
      <c r="A1482" s="101" t="s">
        <v>70</v>
      </c>
      <c r="B1482" s="88" t="s">
        <v>421</v>
      </c>
      <c r="C1482" s="102">
        <v>1998</v>
      </c>
      <c r="D1482" s="104">
        <v>1751128399</v>
      </c>
      <c r="E1482" s="104">
        <v>1054235470</v>
      </c>
      <c r="F1482" s="104">
        <v>2446290662</v>
      </c>
      <c r="G1482" s="104">
        <v>0</v>
      </c>
      <c r="H1482" s="105">
        <f t="shared" si="44"/>
        <v>5251654531</v>
      </c>
      <c r="I1482" s="103">
        <v>56840224</v>
      </c>
      <c r="J1482" s="52" t="s">
        <v>690</v>
      </c>
    </row>
    <row r="1483" spans="1:10">
      <c r="A1483" s="101" t="s">
        <v>70</v>
      </c>
      <c r="B1483" s="88" t="s">
        <v>421</v>
      </c>
      <c r="C1483" s="102">
        <v>1999</v>
      </c>
      <c r="D1483" s="104">
        <v>2047396226</v>
      </c>
      <c r="E1483" s="104">
        <v>1504172662</v>
      </c>
      <c r="F1483" s="104">
        <v>2691537939</v>
      </c>
      <c r="G1483" s="104">
        <v>0</v>
      </c>
      <c r="H1483" s="105">
        <f t="shared" si="44"/>
        <v>6243106827</v>
      </c>
      <c r="I1483" s="103">
        <v>59059716</v>
      </c>
      <c r="J1483" s="52" t="s">
        <v>690</v>
      </c>
    </row>
    <row r="1484" spans="1:10">
      <c r="A1484" s="101" t="s">
        <v>70</v>
      </c>
      <c r="B1484" s="88" t="s">
        <v>421</v>
      </c>
      <c r="C1484" s="102">
        <v>2000</v>
      </c>
      <c r="D1484" s="104">
        <v>1941843631</v>
      </c>
      <c r="E1484" s="104">
        <v>1993897874</v>
      </c>
      <c r="F1484" s="104">
        <v>2734710007</v>
      </c>
      <c r="G1484" s="104">
        <v>0</v>
      </c>
      <c r="H1484" s="105">
        <f t="shared" si="44"/>
        <v>6670451512</v>
      </c>
      <c r="I1484" s="103">
        <v>61462214</v>
      </c>
      <c r="J1484" s="52" t="s">
        <v>690</v>
      </c>
    </row>
    <row r="1485" spans="1:10">
      <c r="A1485" s="101" t="s">
        <v>70</v>
      </c>
      <c r="B1485" s="88" t="s">
        <v>421</v>
      </c>
      <c r="C1485" s="102">
        <v>2001</v>
      </c>
      <c r="D1485" s="104">
        <v>1827245940</v>
      </c>
      <c r="E1485" s="104">
        <v>2222183682</v>
      </c>
      <c r="F1485" s="104">
        <v>2947465238</v>
      </c>
      <c r="G1485" s="104"/>
      <c r="H1485" s="105">
        <f t="shared" si="44"/>
        <v>6996894860</v>
      </c>
      <c r="I1485" s="103">
        <v>91598965</v>
      </c>
      <c r="J1485" s="52" t="s">
        <v>690</v>
      </c>
    </row>
    <row r="1486" spans="1:10">
      <c r="A1486" s="101" t="s">
        <v>70</v>
      </c>
      <c r="B1486" s="88" t="s">
        <v>421</v>
      </c>
      <c r="C1486" s="102">
        <v>2002</v>
      </c>
      <c r="D1486" s="104">
        <v>1856272245</v>
      </c>
      <c r="E1486" s="104">
        <v>2787661531</v>
      </c>
      <c r="F1486" s="104">
        <v>3160529817</v>
      </c>
      <c r="G1486" s="104">
        <v>0</v>
      </c>
      <c r="H1486" s="105">
        <f t="shared" si="44"/>
        <v>7804463593</v>
      </c>
      <c r="I1486" s="103">
        <v>136100928</v>
      </c>
      <c r="J1486" s="52" t="s">
        <v>690</v>
      </c>
    </row>
    <row r="1487" spans="1:10">
      <c r="A1487" s="101" t="s">
        <v>70</v>
      </c>
      <c r="B1487" s="88" t="s">
        <v>421</v>
      </c>
      <c r="C1487" s="102">
        <v>2003</v>
      </c>
      <c r="D1487" s="106">
        <v>1948227424</v>
      </c>
      <c r="E1487" s="106">
        <v>2390825804</v>
      </c>
      <c r="F1487" s="106">
        <v>3395318045</v>
      </c>
      <c r="G1487" s="106">
        <v>0</v>
      </c>
      <c r="H1487" s="105">
        <f t="shared" si="44"/>
        <v>7734371273</v>
      </c>
      <c r="I1487" s="103">
        <v>120381291</v>
      </c>
      <c r="J1487" s="52" t="s">
        <v>690</v>
      </c>
    </row>
    <row r="1488" spans="1:10">
      <c r="A1488" s="101" t="s">
        <v>70</v>
      </c>
      <c r="B1488" s="88" t="s">
        <v>421</v>
      </c>
      <c r="C1488" s="102">
        <v>2004</v>
      </c>
      <c r="D1488" s="106">
        <v>2069665421</v>
      </c>
      <c r="E1488" s="106">
        <v>2272702063</v>
      </c>
      <c r="F1488" s="106">
        <v>3633432198</v>
      </c>
      <c r="G1488" s="106">
        <v>0</v>
      </c>
      <c r="H1488" s="105">
        <f t="shared" si="44"/>
        <v>7975799682</v>
      </c>
      <c r="I1488" s="103">
        <v>122200801</v>
      </c>
      <c r="J1488" s="52" t="s">
        <v>690</v>
      </c>
    </row>
    <row r="1489" spans="1:11">
      <c r="A1489" s="101" t="s">
        <v>70</v>
      </c>
      <c r="B1489" s="88" t="s">
        <v>421</v>
      </c>
      <c r="C1489" s="102">
        <v>2005</v>
      </c>
      <c r="D1489" s="106">
        <v>2005776067</v>
      </c>
      <c r="E1489" s="106">
        <v>2154340621</v>
      </c>
      <c r="F1489" s="106">
        <v>4235582734.4099898</v>
      </c>
      <c r="G1489" s="106">
        <v>0</v>
      </c>
      <c r="H1489" s="105">
        <f t="shared" si="44"/>
        <v>8395699422.4099903</v>
      </c>
      <c r="I1489" s="103">
        <v>105110301</v>
      </c>
      <c r="J1489" s="52" t="s">
        <v>690</v>
      </c>
    </row>
    <row r="1490" spans="1:11">
      <c r="A1490" s="101" t="s">
        <v>70</v>
      </c>
      <c r="B1490" s="88" t="s">
        <v>421</v>
      </c>
      <c r="C1490" s="102">
        <v>2006</v>
      </c>
      <c r="D1490" s="103">
        <v>2098133996</v>
      </c>
      <c r="E1490" s="103">
        <v>2570841828</v>
      </c>
      <c r="F1490" s="103">
        <v>4641595940</v>
      </c>
      <c r="G1490" s="103">
        <v>0</v>
      </c>
      <c r="H1490" s="105">
        <f t="shared" si="44"/>
        <v>9310571764</v>
      </c>
      <c r="I1490" s="103">
        <v>170244485</v>
      </c>
      <c r="J1490" s="52" t="s">
        <v>690</v>
      </c>
    </row>
    <row r="1491" spans="1:11">
      <c r="A1491" s="101" t="s">
        <v>70</v>
      </c>
      <c r="B1491" s="88" t="s">
        <v>421</v>
      </c>
      <c r="C1491" s="102">
        <v>2007</v>
      </c>
      <c r="D1491" s="103">
        <v>2234888240</v>
      </c>
      <c r="E1491" s="103">
        <v>2503034109</v>
      </c>
      <c r="F1491" s="103">
        <v>5265221613</v>
      </c>
      <c r="G1491" s="103">
        <v>2998</v>
      </c>
      <c r="H1491" s="105">
        <f t="shared" si="44"/>
        <v>10003146960</v>
      </c>
      <c r="I1491" s="103">
        <v>154641262</v>
      </c>
      <c r="J1491" s="52" t="s">
        <v>690</v>
      </c>
    </row>
    <row r="1492" spans="1:11">
      <c r="A1492" s="101" t="s">
        <v>70</v>
      </c>
      <c r="B1492" s="88" t="s">
        <v>421</v>
      </c>
      <c r="C1492" s="102">
        <v>2008</v>
      </c>
      <c r="D1492" s="103">
        <v>2278400961</v>
      </c>
      <c r="E1492" s="103">
        <v>3335856406</v>
      </c>
      <c r="F1492" s="103">
        <v>5569394754</v>
      </c>
      <c r="G1492" s="103">
        <v>0</v>
      </c>
      <c r="H1492" s="105">
        <f t="shared" si="44"/>
        <v>11183652121</v>
      </c>
      <c r="I1492" s="103">
        <v>239720744</v>
      </c>
      <c r="J1492" s="52" t="s">
        <v>690</v>
      </c>
    </row>
    <row r="1493" spans="1:11">
      <c r="A1493" s="101" t="s">
        <v>70</v>
      </c>
      <c r="B1493" s="88" t="s">
        <v>421</v>
      </c>
      <c r="C1493" s="102">
        <v>2009</v>
      </c>
      <c r="D1493" s="103">
        <v>2496355863</v>
      </c>
      <c r="E1493" s="103">
        <v>3011164712</v>
      </c>
      <c r="F1493" s="103">
        <v>5743443977</v>
      </c>
      <c r="G1493" s="103">
        <v>0</v>
      </c>
      <c r="H1493" s="105">
        <f t="shared" si="44"/>
        <v>11250964552</v>
      </c>
      <c r="I1493" s="103">
        <v>181148784</v>
      </c>
      <c r="J1493" s="52" t="s">
        <v>690</v>
      </c>
    </row>
    <row r="1494" spans="1:11">
      <c r="A1494" s="101" t="s">
        <v>70</v>
      </c>
      <c r="B1494" s="88" t="s">
        <v>421</v>
      </c>
      <c r="C1494" s="102">
        <v>2010</v>
      </c>
      <c r="D1494" s="103">
        <v>2532009409</v>
      </c>
      <c r="E1494" s="103">
        <v>2577891984</v>
      </c>
      <c r="F1494" s="103">
        <v>6040510733</v>
      </c>
      <c r="G1494" s="103">
        <v>0</v>
      </c>
      <c r="H1494" s="105">
        <f t="shared" si="44"/>
        <v>11150412126</v>
      </c>
      <c r="I1494" s="103">
        <v>184568416</v>
      </c>
      <c r="J1494" s="52" t="s">
        <v>690</v>
      </c>
    </row>
    <row r="1495" spans="1:11">
      <c r="A1495" s="101" t="s">
        <v>70</v>
      </c>
      <c r="B1495" s="88" t="s">
        <v>421</v>
      </c>
      <c r="C1495" s="102">
        <v>2011</v>
      </c>
      <c r="D1495" s="103">
        <v>2527858979</v>
      </c>
      <c r="E1495" s="103">
        <v>2779369697</v>
      </c>
      <c r="F1495" s="103">
        <v>6352208316.5</v>
      </c>
      <c r="G1495" s="103">
        <v>0</v>
      </c>
      <c r="H1495" s="105">
        <f t="shared" si="44"/>
        <v>11659436992.5</v>
      </c>
      <c r="I1495" s="103">
        <v>226498440</v>
      </c>
      <c r="J1495" s="52" t="s">
        <v>690</v>
      </c>
    </row>
    <row r="1496" spans="1:11">
      <c r="A1496" s="101" t="s">
        <v>70</v>
      </c>
      <c r="B1496" s="88" t="s">
        <v>421</v>
      </c>
      <c r="C1496" s="102">
        <v>2012</v>
      </c>
      <c r="D1496" s="103">
        <v>2626662450</v>
      </c>
      <c r="E1496" s="103">
        <v>3213367923</v>
      </c>
      <c r="F1496" s="103">
        <v>5385580350</v>
      </c>
      <c r="G1496" s="103">
        <v>0</v>
      </c>
      <c r="H1496" s="105">
        <f t="shared" si="44"/>
        <v>11225610723</v>
      </c>
      <c r="I1496" s="103">
        <v>161566474</v>
      </c>
      <c r="J1496" s="52" t="s">
        <v>690</v>
      </c>
    </row>
    <row r="1497" spans="1:11">
      <c r="A1497" s="101" t="s">
        <v>70</v>
      </c>
      <c r="B1497" s="88" t="s">
        <v>421</v>
      </c>
      <c r="C1497" s="102">
        <v>2013</v>
      </c>
      <c r="D1497" s="103">
        <v>2666813381</v>
      </c>
      <c r="E1497" s="103">
        <v>2933678462</v>
      </c>
      <c r="F1497" s="103">
        <v>5548789709</v>
      </c>
      <c r="G1497" s="103">
        <v>0</v>
      </c>
      <c r="H1497" s="105">
        <f t="shared" si="44"/>
        <v>11149281552</v>
      </c>
      <c r="I1497" s="103">
        <v>227853848</v>
      </c>
      <c r="J1497" s="52" t="s">
        <v>690</v>
      </c>
    </row>
    <row r="1498" spans="1:11">
      <c r="A1498" s="101" t="s">
        <v>70</v>
      </c>
      <c r="B1498" s="88" t="s">
        <v>421</v>
      </c>
      <c r="C1498" s="102">
        <v>2014</v>
      </c>
      <c r="D1498" s="103">
        <v>2745978814</v>
      </c>
      <c r="E1498" s="103">
        <v>3106994300</v>
      </c>
      <c r="F1498" s="103">
        <v>6083023566.9300003</v>
      </c>
      <c r="G1498" s="103">
        <v>0</v>
      </c>
      <c r="H1498" s="105">
        <f t="shared" si="44"/>
        <v>11935996680.93</v>
      </c>
      <c r="I1498" s="103">
        <v>212651683</v>
      </c>
      <c r="J1498" s="52" t="s">
        <v>690</v>
      </c>
    </row>
    <row r="1499" spans="1:11">
      <c r="A1499" s="101" t="s">
        <v>70</v>
      </c>
      <c r="B1499" s="88" t="s">
        <v>421</v>
      </c>
      <c r="C1499" s="102">
        <v>2015</v>
      </c>
      <c r="D1499" s="103">
        <v>2821342750</v>
      </c>
      <c r="E1499" s="103">
        <v>3476461169</v>
      </c>
      <c r="F1499" s="103">
        <v>6534760071</v>
      </c>
      <c r="G1499" s="103">
        <v>0</v>
      </c>
      <c r="H1499" s="105">
        <f t="shared" si="44"/>
        <v>12832563990</v>
      </c>
      <c r="I1499" s="103">
        <v>191261642</v>
      </c>
      <c r="J1499" s="52" t="s">
        <v>690</v>
      </c>
    </row>
    <row r="1500" spans="1:11">
      <c r="A1500" s="101" t="s">
        <v>70</v>
      </c>
      <c r="B1500" s="88" t="s">
        <v>421</v>
      </c>
      <c r="C1500" s="102">
        <v>2016</v>
      </c>
      <c r="D1500" s="103">
        <v>2924906165</v>
      </c>
      <c r="E1500" s="103">
        <v>3771450287</v>
      </c>
      <c r="F1500" s="103">
        <v>7066758476</v>
      </c>
      <c r="G1500" s="103">
        <v>0</v>
      </c>
      <c r="H1500" s="105">
        <f t="shared" si="44"/>
        <v>13763114928</v>
      </c>
      <c r="I1500" s="103">
        <v>214177327</v>
      </c>
      <c r="J1500" s="52" t="s">
        <v>690</v>
      </c>
    </row>
    <row r="1501" spans="1:11">
      <c r="A1501" s="101" t="s">
        <v>70</v>
      </c>
      <c r="B1501" s="88" t="s">
        <v>421</v>
      </c>
      <c r="C1501" s="102">
        <v>2017</v>
      </c>
      <c r="D1501" s="103">
        <v>3037471154</v>
      </c>
      <c r="E1501" s="103">
        <v>3404723655</v>
      </c>
      <c r="F1501" s="103">
        <v>7464834783.3199997</v>
      </c>
      <c r="G1501" s="103">
        <v>0</v>
      </c>
      <c r="H1501" s="105">
        <f t="shared" si="44"/>
        <v>13907029592.32</v>
      </c>
      <c r="I1501" s="103">
        <v>0</v>
      </c>
      <c r="J1501" s="111" t="s">
        <v>709</v>
      </c>
    </row>
    <row r="1502" spans="1:11">
      <c r="A1502" s="101" t="s">
        <v>70</v>
      </c>
      <c r="B1502" s="88" t="s">
        <v>421</v>
      </c>
      <c r="C1502" s="102">
        <v>2018</v>
      </c>
      <c r="D1502" s="103">
        <v>3152372766</v>
      </c>
      <c r="E1502" s="103">
        <v>4817332621</v>
      </c>
      <c r="F1502" s="103">
        <v>7895454562.6499996</v>
      </c>
      <c r="G1502" s="103">
        <v>0</v>
      </c>
      <c r="H1502" s="105">
        <f t="shared" si="44"/>
        <v>15865159949.65</v>
      </c>
      <c r="I1502" s="103">
        <v>0</v>
      </c>
      <c r="J1502" s="111" t="s">
        <v>623</v>
      </c>
    </row>
    <row r="1503" spans="1:11">
      <c r="A1503" s="101" t="s">
        <v>70</v>
      </c>
      <c r="B1503" s="88" t="s">
        <v>421</v>
      </c>
      <c r="C1503" s="102">
        <v>2019</v>
      </c>
      <c r="D1503" s="103">
        <v>3199856108</v>
      </c>
      <c r="E1503" s="103">
        <v>4254716108</v>
      </c>
      <c r="F1503" s="103">
        <v>7495838126.472599</v>
      </c>
      <c r="G1503" s="103">
        <v>0</v>
      </c>
      <c r="H1503" s="105">
        <f t="shared" si="44"/>
        <v>14950410342.472599</v>
      </c>
      <c r="I1503" s="103">
        <v>0</v>
      </c>
      <c r="J1503" s="111" t="s">
        <v>689</v>
      </c>
      <c r="K1503" s="52" t="s">
        <v>677</v>
      </c>
    </row>
    <row r="1504" spans="1:11">
      <c r="A1504" s="101" t="s">
        <v>70</v>
      </c>
      <c r="B1504" s="88" t="s">
        <v>421</v>
      </c>
      <c r="C1504" s="102">
        <v>2020</v>
      </c>
      <c r="D1504" s="103">
        <v>3263806418</v>
      </c>
      <c r="E1504" s="103">
        <v>5031440780</v>
      </c>
      <c r="F1504" s="103">
        <v>7726495621</v>
      </c>
      <c r="G1504" s="103">
        <v>0</v>
      </c>
      <c r="H1504" s="105">
        <f t="shared" si="44"/>
        <v>16021742819</v>
      </c>
      <c r="I1504" s="103">
        <v>0</v>
      </c>
      <c r="J1504" s="111" t="s">
        <v>680</v>
      </c>
    </row>
    <row r="1505" spans="1:9">
      <c r="A1505" s="101"/>
      <c r="B1505" s="107"/>
      <c r="D1505" s="104"/>
      <c r="E1505" s="104"/>
      <c r="F1505" s="104"/>
      <c r="G1505" s="104"/>
      <c r="H1505" s="103"/>
      <c r="I1505" s="103"/>
    </row>
    <row r="1506" spans="1:9">
      <c r="A1506" s="101" t="s">
        <v>71</v>
      </c>
      <c r="B1506" s="88" t="s">
        <v>202</v>
      </c>
      <c r="C1506" s="102">
        <v>1988</v>
      </c>
      <c r="D1506" s="104">
        <v>3815419554</v>
      </c>
      <c r="E1506" s="104">
        <v>2268537114</v>
      </c>
      <c r="F1506" s="104">
        <v>4422066159</v>
      </c>
      <c r="G1506" s="104">
        <v>1339828984</v>
      </c>
      <c r="H1506" s="105">
        <f>SUM(D1506:G1506)</f>
        <v>11845851811</v>
      </c>
      <c r="I1506" s="103">
        <v>0</v>
      </c>
    </row>
    <row r="1507" spans="1:9">
      <c r="A1507" s="101" t="s">
        <v>71</v>
      </c>
      <c r="B1507" s="88" t="s">
        <v>202</v>
      </c>
      <c r="C1507" s="102">
        <v>1989</v>
      </c>
      <c r="D1507" s="104">
        <v>3599963635</v>
      </c>
      <c r="E1507" s="104">
        <v>2384369898</v>
      </c>
      <c r="F1507" s="104">
        <v>4945087925</v>
      </c>
      <c r="G1507" s="104">
        <v>1438852364</v>
      </c>
      <c r="H1507" s="105">
        <f t="shared" ref="H1507:H1538" si="45">SUM(D1507:G1507)</f>
        <v>12368273822</v>
      </c>
      <c r="I1507" s="103">
        <v>0</v>
      </c>
    </row>
    <row r="1508" spans="1:9">
      <c r="A1508" s="101" t="s">
        <v>71</v>
      </c>
      <c r="B1508" s="88" t="s">
        <v>202</v>
      </c>
      <c r="C1508" s="102">
        <v>1990</v>
      </c>
      <c r="D1508" s="104">
        <v>3756690986</v>
      </c>
      <c r="E1508" s="104">
        <v>2554557045.7199998</v>
      </c>
      <c r="F1508" s="104">
        <v>5435265671</v>
      </c>
      <c r="G1508" s="104">
        <v>1412926882</v>
      </c>
      <c r="H1508" s="105">
        <f t="shared" si="45"/>
        <v>13159440584.719999</v>
      </c>
      <c r="I1508" s="103">
        <v>0</v>
      </c>
    </row>
    <row r="1509" spans="1:9">
      <c r="A1509" s="101" t="s">
        <v>71</v>
      </c>
      <c r="B1509" s="88" t="s">
        <v>202</v>
      </c>
      <c r="C1509" s="102">
        <v>1991</v>
      </c>
      <c r="D1509" s="104">
        <v>4101784095</v>
      </c>
      <c r="E1509" s="104">
        <v>2470818838</v>
      </c>
      <c r="F1509" s="104">
        <v>5494771599</v>
      </c>
      <c r="G1509" s="104">
        <v>1445275145</v>
      </c>
      <c r="H1509" s="105">
        <f t="shared" si="45"/>
        <v>13512649677</v>
      </c>
      <c r="I1509" s="103">
        <v>0</v>
      </c>
    </row>
    <row r="1510" spans="1:9">
      <c r="A1510" s="101" t="s">
        <v>71</v>
      </c>
      <c r="B1510" s="88" t="s">
        <v>202</v>
      </c>
      <c r="C1510" s="102">
        <v>1992</v>
      </c>
      <c r="D1510" s="104">
        <v>4260916595</v>
      </c>
      <c r="E1510" s="104">
        <v>3112732687.8000002</v>
      </c>
      <c r="F1510" s="104">
        <v>5850881673</v>
      </c>
      <c r="G1510" s="104">
        <v>1183778858</v>
      </c>
      <c r="H1510" s="105">
        <f t="shared" si="45"/>
        <v>14408309813.799999</v>
      </c>
      <c r="I1510" s="103">
        <v>0</v>
      </c>
    </row>
    <row r="1511" spans="1:9">
      <c r="A1511" s="101" t="s">
        <v>71</v>
      </c>
      <c r="B1511" s="88" t="s">
        <v>202</v>
      </c>
      <c r="C1511" s="102">
        <v>1993</v>
      </c>
      <c r="D1511" s="104">
        <v>4568272333</v>
      </c>
      <c r="E1511" s="104">
        <v>2424316050</v>
      </c>
      <c r="F1511" s="104">
        <v>6040321328</v>
      </c>
      <c r="G1511" s="104">
        <v>1038398764</v>
      </c>
      <c r="H1511" s="105">
        <f t="shared" si="45"/>
        <v>14071308475</v>
      </c>
      <c r="I1511" s="103">
        <v>0</v>
      </c>
    </row>
    <row r="1512" spans="1:9">
      <c r="A1512" s="101" t="s">
        <v>71</v>
      </c>
      <c r="B1512" s="88" t="s">
        <v>202</v>
      </c>
      <c r="C1512" s="102">
        <v>1994</v>
      </c>
      <c r="D1512" s="104">
        <v>4856277402</v>
      </c>
      <c r="E1512" s="104">
        <v>2960162037</v>
      </c>
      <c r="F1512" s="104">
        <v>6105777363</v>
      </c>
      <c r="G1512" s="104">
        <v>1144681743</v>
      </c>
      <c r="H1512" s="105">
        <f t="shared" si="45"/>
        <v>15066898545</v>
      </c>
      <c r="I1512" s="103">
        <v>0</v>
      </c>
    </row>
    <row r="1513" spans="1:9">
      <c r="A1513" s="101" t="s">
        <v>71</v>
      </c>
      <c r="B1513" s="88" t="s">
        <v>202</v>
      </c>
      <c r="C1513" s="102">
        <v>1995</v>
      </c>
      <c r="D1513" s="104">
        <v>5045233055</v>
      </c>
      <c r="E1513" s="104">
        <v>3078479254</v>
      </c>
      <c r="F1513" s="104">
        <v>6243546186</v>
      </c>
      <c r="G1513" s="104">
        <v>1064458213</v>
      </c>
      <c r="H1513" s="105">
        <f t="shared" si="45"/>
        <v>15431716708</v>
      </c>
      <c r="I1513" s="103">
        <v>0</v>
      </c>
    </row>
    <row r="1514" spans="1:9">
      <c r="A1514" s="101" t="s">
        <v>71</v>
      </c>
      <c r="B1514" s="88" t="s">
        <v>202</v>
      </c>
      <c r="C1514" s="102">
        <v>1996</v>
      </c>
      <c r="D1514" s="104">
        <v>4996187312</v>
      </c>
      <c r="E1514" s="104">
        <v>2841705439</v>
      </c>
      <c r="F1514" s="104">
        <v>6530505680</v>
      </c>
      <c r="G1514" s="104">
        <v>808306230</v>
      </c>
      <c r="H1514" s="105">
        <f t="shared" si="45"/>
        <v>15176704661</v>
      </c>
      <c r="I1514" s="103">
        <v>0</v>
      </c>
    </row>
    <row r="1515" spans="1:9">
      <c r="A1515" s="101" t="s">
        <v>71</v>
      </c>
      <c r="B1515" s="88" t="s">
        <v>202</v>
      </c>
      <c r="C1515" s="102">
        <v>1997</v>
      </c>
      <c r="D1515" s="104">
        <v>5173395954</v>
      </c>
      <c r="E1515" s="104">
        <v>3023595878</v>
      </c>
      <c r="F1515" s="104">
        <v>6772660413</v>
      </c>
      <c r="G1515" s="104">
        <v>1019117116</v>
      </c>
      <c r="H1515" s="105">
        <f t="shared" si="45"/>
        <v>15988769361</v>
      </c>
      <c r="I1515" s="103">
        <v>0</v>
      </c>
    </row>
    <row r="1516" spans="1:9">
      <c r="A1516" s="101" t="s">
        <v>71</v>
      </c>
      <c r="B1516" s="88" t="s">
        <v>202</v>
      </c>
      <c r="C1516" s="102">
        <v>1998</v>
      </c>
      <c r="D1516" s="104">
        <v>5217470879</v>
      </c>
      <c r="E1516" s="104">
        <v>3117683503</v>
      </c>
      <c r="F1516" s="104">
        <v>7159771033</v>
      </c>
      <c r="G1516" s="104">
        <v>732298784</v>
      </c>
      <c r="H1516" s="105">
        <f t="shared" si="45"/>
        <v>16227224199</v>
      </c>
      <c r="I1516" s="103">
        <v>0</v>
      </c>
    </row>
    <row r="1517" spans="1:9">
      <c r="A1517" s="101" t="s">
        <v>71</v>
      </c>
      <c r="B1517" s="88" t="s">
        <v>202</v>
      </c>
      <c r="C1517" s="102">
        <v>1999</v>
      </c>
      <c r="D1517" s="104">
        <v>5473118724</v>
      </c>
      <c r="E1517" s="104">
        <v>4524771408</v>
      </c>
      <c r="F1517" s="104">
        <v>7789530339</v>
      </c>
      <c r="G1517" s="104">
        <v>875632734</v>
      </c>
      <c r="H1517" s="105">
        <f t="shared" si="45"/>
        <v>18663053205</v>
      </c>
      <c r="I1517" s="103">
        <v>0</v>
      </c>
    </row>
    <row r="1518" spans="1:9">
      <c r="A1518" s="101" t="s">
        <v>71</v>
      </c>
      <c r="B1518" s="88" t="s">
        <v>202</v>
      </c>
      <c r="C1518" s="102">
        <v>2000</v>
      </c>
      <c r="D1518" s="104">
        <v>5363813458</v>
      </c>
      <c r="E1518" s="104">
        <v>4589376804</v>
      </c>
      <c r="F1518" s="104">
        <v>8238565256</v>
      </c>
      <c r="G1518" s="104">
        <v>930820115</v>
      </c>
      <c r="H1518" s="105">
        <f t="shared" si="45"/>
        <v>19122575633</v>
      </c>
      <c r="I1518" s="103">
        <v>0</v>
      </c>
    </row>
    <row r="1519" spans="1:9">
      <c r="A1519" s="101" t="s">
        <v>71</v>
      </c>
      <c r="B1519" s="88" t="s">
        <v>202</v>
      </c>
      <c r="C1519" s="102">
        <v>2001</v>
      </c>
      <c r="D1519" s="104">
        <v>5911727433</v>
      </c>
      <c r="E1519" s="104">
        <v>6833667279.0699902</v>
      </c>
      <c r="F1519" s="104">
        <v>12519125940</v>
      </c>
      <c r="G1519" s="104">
        <v>972205677</v>
      </c>
      <c r="H1519" s="105">
        <f t="shared" si="45"/>
        <v>26236726329.069992</v>
      </c>
      <c r="I1519" s="103">
        <v>0</v>
      </c>
    </row>
    <row r="1520" spans="1:9">
      <c r="A1520" s="101" t="s">
        <v>71</v>
      </c>
      <c r="B1520" s="88" t="s">
        <v>202</v>
      </c>
      <c r="C1520" s="102">
        <v>2002</v>
      </c>
      <c r="D1520" s="104">
        <v>5984160901</v>
      </c>
      <c r="E1520" s="104">
        <v>9353909601</v>
      </c>
      <c r="F1520" s="104">
        <v>10085143681</v>
      </c>
      <c r="G1520" s="104">
        <v>1388948010</v>
      </c>
      <c r="H1520" s="105">
        <f t="shared" si="45"/>
        <v>26812162193</v>
      </c>
      <c r="I1520" s="103">
        <v>0</v>
      </c>
    </row>
    <row r="1521" spans="1:10">
      <c r="A1521" s="101" t="s">
        <v>71</v>
      </c>
      <c r="B1521" s="88" t="s">
        <v>202</v>
      </c>
      <c r="C1521" s="102">
        <v>2003</v>
      </c>
      <c r="D1521" s="106">
        <v>6199516177</v>
      </c>
      <c r="E1521" s="106">
        <v>8631385888</v>
      </c>
      <c r="F1521" s="106">
        <v>11295441071</v>
      </c>
      <c r="G1521" s="106">
        <v>1301404741</v>
      </c>
      <c r="H1521" s="105">
        <f t="shared" si="45"/>
        <v>27427747877</v>
      </c>
      <c r="I1521" s="103">
        <v>0</v>
      </c>
    </row>
    <row r="1522" spans="1:10">
      <c r="A1522" s="101" t="s">
        <v>71</v>
      </c>
      <c r="B1522" s="88" t="s">
        <v>202</v>
      </c>
      <c r="C1522" s="102">
        <v>2004</v>
      </c>
      <c r="D1522" s="106">
        <v>6550951224</v>
      </c>
      <c r="E1522" s="106">
        <v>7505503713</v>
      </c>
      <c r="F1522" s="106">
        <v>12215265686</v>
      </c>
      <c r="G1522" s="106">
        <v>1426515894</v>
      </c>
      <c r="H1522" s="105">
        <f t="shared" si="45"/>
        <v>27698236517</v>
      </c>
      <c r="I1522" s="103">
        <v>0</v>
      </c>
    </row>
    <row r="1523" spans="1:10">
      <c r="A1523" s="101" t="s">
        <v>71</v>
      </c>
      <c r="B1523" s="88" t="s">
        <v>202</v>
      </c>
      <c r="C1523" s="102">
        <v>2005</v>
      </c>
      <c r="D1523" s="106">
        <v>6657225931</v>
      </c>
      <c r="E1523" s="106">
        <v>8088609503</v>
      </c>
      <c r="F1523" s="106">
        <v>13909037431</v>
      </c>
      <c r="G1523" s="106">
        <v>413601202</v>
      </c>
      <c r="H1523" s="105">
        <f t="shared" si="45"/>
        <v>29068474067</v>
      </c>
      <c r="I1523" s="103">
        <v>111496799</v>
      </c>
      <c r="J1523" s="52" t="s">
        <v>675</v>
      </c>
    </row>
    <row r="1524" spans="1:10">
      <c r="A1524" s="101" t="s">
        <v>71</v>
      </c>
      <c r="B1524" s="88" t="s">
        <v>202</v>
      </c>
      <c r="C1524" s="102">
        <v>2006</v>
      </c>
      <c r="D1524" s="103">
        <v>7264913881</v>
      </c>
      <c r="E1524" s="103">
        <v>9633442441</v>
      </c>
      <c r="F1524" s="103">
        <v>15474603274</v>
      </c>
      <c r="G1524" s="103">
        <v>263035259</v>
      </c>
      <c r="H1524" s="105">
        <f t="shared" si="45"/>
        <v>32635994855</v>
      </c>
      <c r="I1524" s="103">
        <v>153773541</v>
      </c>
      <c r="J1524" s="52" t="s">
        <v>675</v>
      </c>
    </row>
    <row r="1525" spans="1:10">
      <c r="A1525" s="101" t="s">
        <v>71</v>
      </c>
      <c r="B1525" s="88" t="s">
        <v>202</v>
      </c>
      <c r="C1525" s="102">
        <v>2007</v>
      </c>
      <c r="D1525" s="103">
        <v>7622698764</v>
      </c>
      <c r="E1525" s="103">
        <v>9538505848</v>
      </c>
      <c r="F1525" s="103">
        <v>17682293749</v>
      </c>
      <c r="G1525" s="103">
        <v>288076403</v>
      </c>
      <c r="H1525" s="105">
        <f t="shared" si="45"/>
        <v>35131574764</v>
      </c>
      <c r="I1525" s="103">
        <v>143224160</v>
      </c>
      <c r="J1525" s="52" t="s">
        <v>675</v>
      </c>
    </row>
    <row r="1526" spans="1:10">
      <c r="A1526" s="101" t="s">
        <v>71</v>
      </c>
      <c r="B1526" s="88" t="s">
        <v>202</v>
      </c>
      <c r="C1526" s="102">
        <v>2008</v>
      </c>
      <c r="D1526" s="103">
        <v>7814055699</v>
      </c>
      <c r="E1526" s="103">
        <v>12056332025</v>
      </c>
      <c r="F1526" s="103">
        <v>18897688295</v>
      </c>
      <c r="G1526" s="103">
        <v>258789568</v>
      </c>
      <c r="H1526" s="105">
        <f t="shared" si="45"/>
        <v>39026865587</v>
      </c>
      <c r="I1526" s="103">
        <v>176873118</v>
      </c>
      <c r="J1526" s="52" t="s">
        <v>675</v>
      </c>
    </row>
    <row r="1527" spans="1:10">
      <c r="A1527" s="101" t="s">
        <v>71</v>
      </c>
      <c r="B1527" s="88" t="s">
        <v>202</v>
      </c>
      <c r="C1527" s="102">
        <v>2009</v>
      </c>
      <c r="D1527" s="103">
        <v>8312953288</v>
      </c>
      <c r="E1527" s="103">
        <v>10534229038</v>
      </c>
      <c r="F1527" s="103">
        <v>19493137323</v>
      </c>
      <c r="G1527" s="103">
        <v>335584242</v>
      </c>
      <c r="H1527" s="105">
        <f t="shared" si="45"/>
        <v>38675903891</v>
      </c>
      <c r="I1527" s="103">
        <v>80667936</v>
      </c>
      <c r="J1527" s="52" t="s">
        <v>675</v>
      </c>
    </row>
    <row r="1528" spans="1:10">
      <c r="A1528" s="101" t="s">
        <v>71</v>
      </c>
      <c r="B1528" s="88" t="s">
        <v>202</v>
      </c>
      <c r="C1528" s="102">
        <v>2010</v>
      </c>
      <c r="D1528" s="103">
        <v>8667468764</v>
      </c>
      <c r="E1528" s="103">
        <v>9038799334</v>
      </c>
      <c r="F1528" s="103">
        <v>20538515463</v>
      </c>
      <c r="G1528" s="103">
        <v>189844865</v>
      </c>
      <c r="H1528" s="105">
        <f t="shared" si="45"/>
        <v>38434628426</v>
      </c>
      <c r="I1528" s="103">
        <v>91253714</v>
      </c>
      <c r="J1528" s="52" t="s">
        <v>675</v>
      </c>
    </row>
    <row r="1529" spans="1:10">
      <c r="A1529" s="101" t="s">
        <v>71</v>
      </c>
      <c r="B1529" s="88" t="s">
        <v>202</v>
      </c>
      <c r="C1529" s="102">
        <v>2011</v>
      </c>
      <c r="D1529" s="103">
        <v>9191938651</v>
      </c>
      <c r="E1529" s="103">
        <v>9080676285</v>
      </c>
      <c r="F1529" s="103">
        <v>20650737570</v>
      </c>
      <c r="G1529" s="103">
        <v>244780838</v>
      </c>
      <c r="H1529" s="105">
        <f t="shared" si="45"/>
        <v>39168133344</v>
      </c>
      <c r="I1529" s="103">
        <v>77768369</v>
      </c>
      <c r="J1529" s="52" t="s">
        <v>675</v>
      </c>
    </row>
    <row r="1530" spans="1:10">
      <c r="A1530" s="101" t="s">
        <v>71</v>
      </c>
      <c r="B1530" s="88" t="s">
        <v>202</v>
      </c>
      <c r="C1530" s="102">
        <v>2012</v>
      </c>
      <c r="D1530" s="103">
        <v>9696114854</v>
      </c>
      <c r="E1530" s="103">
        <v>10259833214</v>
      </c>
      <c r="F1530" s="103">
        <v>23410376830</v>
      </c>
      <c r="G1530" s="103">
        <v>315222026</v>
      </c>
      <c r="H1530" s="105">
        <f t="shared" si="45"/>
        <v>43681546924</v>
      </c>
      <c r="I1530" s="103">
        <v>91618150</v>
      </c>
      <c r="J1530" s="52" t="s">
        <v>675</v>
      </c>
    </row>
    <row r="1531" spans="1:10">
      <c r="A1531" s="101" t="s">
        <v>71</v>
      </c>
      <c r="B1531" s="88" t="s">
        <v>202</v>
      </c>
      <c r="C1531" s="102">
        <v>2013</v>
      </c>
      <c r="D1531" s="103">
        <v>10050040204</v>
      </c>
      <c r="E1531" s="103">
        <v>9848355328</v>
      </c>
      <c r="F1531" s="103">
        <v>22990920607</v>
      </c>
      <c r="G1531" s="103">
        <v>336320362</v>
      </c>
      <c r="H1531" s="105">
        <f t="shared" si="45"/>
        <v>43225636501</v>
      </c>
      <c r="I1531" s="103">
        <v>96237107</v>
      </c>
      <c r="J1531" s="52" t="s">
        <v>675</v>
      </c>
    </row>
    <row r="1532" spans="1:10">
      <c r="A1532" s="101" t="s">
        <v>71</v>
      </c>
      <c r="B1532" s="88" t="s">
        <v>202</v>
      </c>
      <c r="C1532" s="102">
        <v>2014</v>
      </c>
      <c r="D1532" s="103">
        <v>10368167225</v>
      </c>
      <c r="E1532" s="103">
        <v>10380730543</v>
      </c>
      <c r="F1532" s="103">
        <v>25107701208</v>
      </c>
      <c r="G1532" s="103">
        <v>277240921</v>
      </c>
      <c r="H1532" s="105">
        <f t="shared" si="45"/>
        <v>46133839897</v>
      </c>
      <c r="I1532" s="103">
        <v>119954432</v>
      </c>
      <c r="J1532" s="52" t="s">
        <v>675</v>
      </c>
    </row>
    <row r="1533" spans="1:10">
      <c r="A1533" s="101" t="s">
        <v>71</v>
      </c>
      <c r="B1533" s="88" t="s">
        <v>202</v>
      </c>
      <c r="C1533" s="102">
        <v>2015</v>
      </c>
      <c r="D1533" s="103">
        <v>10814229853</v>
      </c>
      <c r="E1533" s="103">
        <v>12053126891</v>
      </c>
      <c r="F1533" s="103">
        <v>26921409521</v>
      </c>
      <c r="G1533" s="103">
        <v>299495477</v>
      </c>
      <c r="H1533" s="105">
        <f t="shared" si="45"/>
        <v>50088261742</v>
      </c>
      <c r="I1533" s="103">
        <v>991011167</v>
      </c>
      <c r="J1533" s="52" t="s">
        <v>675</v>
      </c>
    </row>
    <row r="1534" spans="1:10">
      <c r="A1534" s="101" t="s">
        <v>71</v>
      </c>
      <c r="B1534" s="88" t="s">
        <v>202</v>
      </c>
      <c r="C1534" s="102">
        <v>2016</v>
      </c>
      <c r="D1534" s="103">
        <v>11003763589</v>
      </c>
      <c r="E1534" s="103">
        <v>13054416656</v>
      </c>
      <c r="F1534" s="103">
        <v>27057913014</v>
      </c>
      <c r="G1534" s="103">
        <v>351851006</v>
      </c>
      <c r="H1534" s="105">
        <f t="shared" si="45"/>
        <v>51467944265</v>
      </c>
      <c r="I1534" s="103">
        <v>179777391</v>
      </c>
      <c r="J1534" s="52" t="s">
        <v>675</v>
      </c>
    </row>
    <row r="1535" spans="1:10">
      <c r="A1535" s="101" t="s">
        <v>71</v>
      </c>
      <c r="B1535" s="88" t="s">
        <v>202</v>
      </c>
      <c r="C1535" s="102">
        <v>2017</v>
      </c>
      <c r="D1535" s="103">
        <v>11533302135</v>
      </c>
      <c r="E1535" s="103">
        <v>12277752819</v>
      </c>
      <c r="F1535" s="103">
        <v>27860842629</v>
      </c>
      <c r="G1535" s="103">
        <v>266775659</v>
      </c>
      <c r="H1535" s="105">
        <f t="shared" si="45"/>
        <v>51938673242</v>
      </c>
      <c r="I1535" s="103">
        <v>134608782</v>
      </c>
      <c r="J1535" s="52" t="s">
        <v>675</v>
      </c>
    </row>
    <row r="1536" spans="1:10">
      <c r="A1536" s="101" t="s">
        <v>71</v>
      </c>
      <c r="B1536" s="88" t="s">
        <v>202</v>
      </c>
      <c r="C1536" s="102">
        <v>2018</v>
      </c>
      <c r="D1536" s="103">
        <v>11953545493</v>
      </c>
      <c r="E1536" s="103">
        <v>15989369255</v>
      </c>
      <c r="F1536" s="103">
        <v>24141500092.02</v>
      </c>
      <c r="G1536" s="103">
        <v>265031541</v>
      </c>
      <c r="H1536" s="105">
        <f t="shared" si="45"/>
        <v>52349446381.020004</v>
      </c>
      <c r="I1536" s="103">
        <v>171444711</v>
      </c>
      <c r="J1536" s="52" t="s">
        <v>675</v>
      </c>
    </row>
    <row r="1537" spans="1:11">
      <c r="A1537" s="101" t="s">
        <v>71</v>
      </c>
      <c r="B1537" s="88" t="s">
        <v>202</v>
      </c>
      <c r="C1537" s="102">
        <v>2019</v>
      </c>
      <c r="D1537" s="103">
        <v>12535447148</v>
      </c>
      <c r="E1537" s="103">
        <v>15096908842</v>
      </c>
      <c r="F1537" s="103">
        <v>31754308069.053501</v>
      </c>
      <c r="G1537" s="103">
        <v>303292151</v>
      </c>
      <c r="H1537" s="105">
        <f t="shared" si="45"/>
        <v>59689956210.053497</v>
      </c>
      <c r="I1537" s="103">
        <v>211160548</v>
      </c>
      <c r="J1537" s="111" t="s">
        <v>681</v>
      </c>
      <c r="K1537" s="52" t="s">
        <v>677</v>
      </c>
    </row>
    <row r="1538" spans="1:11">
      <c r="A1538" s="101" t="s">
        <v>71</v>
      </c>
      <c r="B1538" s="88" t="s">
        <v>202</v>
      </c>
      <c r="C1538" s="102">
        <v>2020</v>
      </c>
      <c r="D1538" s="103">
        <v>12742538294</v>
      </c>
      <c r="E1538" s="103">
        <v>15361914789</v>
      </c>
      <c r="F1538" s="103">
        <v>32161111608</v>
      </c>
      <c r="G1538" s="103">
        <v>529317686</v>
      </c>
      <c r="H1538" s="105">
        <f t="shared" si="45"/>
        <v>60794882377</v>
      </c>
      <c r="I1538" s="103">
        <v>173112983</v>
      </c>
      <c r="J1538" s="111" t="s">
        <v>678</v>
      </c>
    </row>
    <row r="1539" spans="1:11">
      <c r="A1539" s="101"/>
      <c r="B1539" s="107"/>
      <c r="D1539" s="104"/>
      <c r="E1539" s="104"/>
      <c r="F1539" s="104"/>
      <c r="G1539" s="104"/>
      <c r="H1539" s="103"/>
      <c r="I1539" s="103"/>
    </row>
    <row r="1540" spans="1:11">
      <c r="A1540" s="101" t="s">
        <v>72</v>
      </c>
      <c r="B1540" s="88" t="s">
        <v>341</v>
      </c>
      <c r="C1540" s="102">
        <v>1988</v>
      </c>
      <c r="D1540" s="104">
        <v>313526813</v>
      </c>
      <c r="E1540" s="104">
        <v>290557522</v>
      </c>
      <c r="F1540" s="104">
        <v>470386838</v>
      </c>
      <c r="G1540" s="104">
        <v>0</v>
      </c>
      <c r="H1540" s="105">
        <f>SUM(D1540:G1540)</f>
        <v>1074471173</v>
      </c>
      <c r="I1540" s="103">
        <v>0</v>
      </c>
    </row>
    <row r="1541" spans="1:11">
      <c r="A1541" s="101" t="s">
        <v>72</v>
      </c>
      <c r="B1541" s="88" t="s">
        <v>341</v>
      </c>
      <c r="C1541" s="102">
        <v>1989</v>
      </c>
      <c r="D1541" s="104">
        <v>299172790</v>
      </c>
      <c r="E1541" s="104">
        <v>379254528</v>
      </c>
      <c r="F1541" s="104">
        <v>581428474</v>
      </c>
      <c r="G1541" s="104">
        <v>0</v>
      </c>
      <c r="H1541" s="105">
        <f t="shared" ref="H1541:H1572" si="46">SUM(D1541:G1541)</f>
        <v>1259855792</v>
      </c>
      <c r="I1541" s="103">
        <v>0</v>
      </c>
    </row>
    <row r="1542" spans="1:11">
      <c r="A1542" s="101" t="s">
        <v>72</v>
      </c>
      <c r="B1542" s="88" t="s">
        <v>341</v>
      </c>
      <c r="C1542" s="102">
        <v>1990</v>
      </c>
      <c r="D1542" s="104">
        <v>318604445</v>
      </c>
      <c r="E1542" s="104">
        <v>414986860.44</v>
      </c>
      <c r="F1542" s="104">
        <v>644904260</v>
      </c>
      <c r="G1542" s="104">
        <v>0</v>
      </c>
      <c r="H1542" s="105">
        <f t="shared" si="46"/>
        <v>1378495565.4400001</v>
      </c>
      <c r="I1542" s="103">
        <v>0</v>
      </c>
    </row>
    <row r="1543" spans="1:11">
      <c r="A1543" s="101" t="s">
        <v>72</v>
      </c>
      <c r="B1543" s="88" t="s">
        <v>341</v>
      </c>
      <c r="C1543" s="102">
        <v>1991</v>
      </c>
      <c r="D1543" s="104">
        <v>354581693</v>
      </c>
      <c r="E1543" s="104">
        <v>340404656</v>
      </c>
      <c r="F1543" s="104">
        <v>506517887</v>
      </c>
      <c r="G1543" s="104">
        <v>140164604</v>
      </c>
      <c r="H1543" s="105">
        <f t="shared" si="46"/>
        <v>1341668840</v>
      </c>
      <c r="I1543" s="103">
        <v>0</v>
      </c>
    </row>
    <row r="1544" spans="1:11">
      <c r="A1544" s="101" t="s">
        <v>72</v>
      </c>
      <c r="B1544" s="88" t="s">
        <v>341</v>
      </c>
      <c r="C1544" s="102">
        <v>1992</v>
      </c>
      <c r="D1544" s="104">
        <v>387308050</v>
      </c>
      <c r="E1544" s="104">
        <v>349394173.12</v>
      </c>
      <c r="F1544" s="104">
        <v>524792525</v>
      </c>
      <c r="G1544" s="104">
        <v>117830898</v>
      </c>
      <c r="H1544" s="105">
        <f t="shared" si="46"/>
        <v>1379325646.1199999</v>
      </c>
      <c r="I1544" s="103">
        <v>0</v>
      </c>
    </row>
    <row r="1545" spans="1:11">
      <c r="A1545" s="101" t="s">
        <v>72</v>
      </c>
      <c r="B1545" s="88" t="s">
        <v>341</v>
      </c>
      <c r="C1545" s="102">
        <v>1993</v>
      </c>
      <c r="D1545" s="104">
        <v>404053511</v>
      </c>
      <c r="E1545" s="104">
        <v>284964556</v>
      </c>
      <c r="F1545" s="104">
        <v>572786897</v>
      </c>
      <c r="G1545" s="104">
        <v>118494471</v>
      </c>
      <c r="H1545" s="105">
        <f t="shared" si="46"/>
        <v>1380299435</v>
      </c>
      <c r="I1545" s="103">
        <v>0</v>
      </c>
    </row>
    <row r="1546" spans="1:11">
      <c r="A1546" s="101" t="s">
        <v>72</v>
      </c>
      <c r="B1546" s="88" t="s">
        <v>341</v>
      </c>
      <c r="C1546" s="102">
        <v>1994</v>
      </c>
      <c r="D1546" s="104">
        <v>448122101</v>
      </c>
      <c r="E1546" s="104">
        <v>335080149</v>
      </c>
      <c r="F1546" s="104">
        <v>598429341</v>
      </c>
      <c r="G1546" s="104">
        <v>82023413</v>
      </c>
      <c r="H1546" s="105">
        <f t="shared" si="46"/>
        <v>1463655004</v>
      </c>
      <c r="I1546" s="103">
        <v>0</v>
      </c>
    </row>
    <row r="1547" spans="1:11">
      <c r="A1547" s="101" t="s">
        <v>72</v>
      </c>
      <c r="B1547" s="88" t="s">
        <v>341</v>
      </c>
      <c r="C1547" s="102">
        <v>1995</v>
      </c>
      <c r="D1547" s="104">
        <v>466569480</v>
      </c>
      <c r="E1547" s="104">
        <v>361825176</v>
      </c>
      <c r="F1547" s="104">
        <v>618199870</v>
      </c>
      <c r="G1547" s="104">
        <v>74926370</v>
      </c>
      <c r="H1547" s="105">
        <f t="shared" si="46"/>
        <v>1521520896</v>
      </c>
      <c r="I1547" s="103">
        <v>0</v>
      </c>
    </row>
    <row r="1548" spans="1:11">
      <c r="A1548" s="101" t="s">
        <v>72</v>
      </c>
      <c r="B1548" s="88" t="s">
        <v>341</v>
      </c>
      <c r="C1548" s="102">
        <v>1996</v>
      </c>
      <c r="D1548" s="104">
        <v>538241101</v>
      </c>
      <c r="E1548" s="104">
        <v>293089887</v>
      </c>
      <c r="F1548" s="104">
        <v>896321487</v>
      </c>
      <c r="G1548" s="104">
        <v>57549757</v>
      </c>
      <c r="H1548" s="105">
        <f t="shared" si="46"/>
        <v>1785202232</v>
      </c>
      <c r="I1548" s="103">
        <v>0</v>
      </c>
    </row>
    <row r="1549" spans="1:11">
      <c r="A1549" s="101" t="s">
        <v>72</v>
      </c>
      <c r="B1549" s="88" t="s">
        <v>341</v>
      </c>
      <c r="C1549" s="102">
        <v>1997</v>
      </c>
      <c r="D1549" s="104">
        <v>519625457</v>
      </c>
      <c r="E1549" s="104">
        <v>344918051</v>
      </c>
      <c r="F1549" s="104">
        <v>929835181</v>
      </c>
      <c r="G1549" s="104">
        <v>45809089</v>
      </c>
      <c r="H1549" s="105">
        <f t="shared" si="46"/>
        <v>1840187778</v>
      </c>
      <c r="I1549" s="103">
        <v>0</v>
      </c>
    </row>
    <row r="1550" spans="1:11">
      <c r="A1550" s="101" t="s">
        <v>72</v>
      </c>
      <c r="B1550" s="88" t="s">
        <v>341</v>
      </c>
      <c r="C1550" s="102">
        <v>1998</v>
      </c>
      <c r="D1550" s="104">
        <v>537069568</v>
      </c>
      <c r="E1550" s="104">
        <v>331698352</v>
      </c>
      <c r="F1550" s="104">
        <v>1022320045</v>
      </c>
      <c r="G1550" s="104">
        <v>41350152</v>
      </c>
      <c r="H1550" s="105">
        <f t="shared" si="46"/>
        <v>1932438117</v>
      </c>
      <c r="I1550" s="103">
        <v>0</v>
      </c>
    </row>
    <row r="1551" spans="1:11">
      <c r="A1551" s="101" t="s">
        <v>72</v>
      </c>
      <c r="B1551" s="88" t="s">
        <v>341</v>
      </c>
      <c r="C1551" s="102">
        <v>1999</v>
      </c>
      <c r="D1551" s="104">
        <v>710486850</v>
      </c>
      <c r="E1551" s="104">
        <v>448838668</v>
      </c>
      <c r="F1551" s="104">
        <v>1149140939</v>
      </c>
      <c r="G1551" s="104">
        <v>25579174</v>
      </c>
      <c r="H1551" s="105">
        <f t="shared" si="46"/>
        <v>2334045631</v>
      </c>
      <c r="I1551" s="103">
        <v>0</v>
      </c>
    </row>
    <row r="1552" spans="1:11">
      <c r="A1552" s="101" t="s">
        <v>72</v>
      </c>
      <c r="B1552" s="88" t="s">
        <v>341</v>
      </c>
      <c r="C1552" s="102">
        <v>2000</v>
      </c>
      <c r="D1552" s="104">
        <v>523164041</v>
      </c>
      <c r="E1552" s="104">
        <v>485538959</v>
      </c>
      <c r="F1552" s="104">
        <v>1283676867</v>
      </c>
      <c r="G1552" s="104">
        <v>48591441</v>
      </c>
      <c r="H1552" s="105">
        <f t="shared" si="46"/>
        <v>2340971308</v>
      </c>
      <c r="I1552" s="103">
        <v>0</v>
      </c>
    </row>
    <row r="1553" spans="1:10">
      <c r="A1553" s="101" t="s">
        <v>72</v>
      </c>
      <c r="B1553" s="88" t="s">
        <v>341</v>
      </c>
      <c r="C1553" s="102">
        <v>2001</v>
      </c>
      <c r="D1553" s="104">
        <v>517566609</v>
      </c>
      <c r="E1553" s="104">
        <v>657243561</v>
      </c>
      <c r="F1553" s="104">
        <v>1425971566</v>
      </c>
      <c r="G1553" s="104">
        <v>38623752</v>
      </c>
      <c r="H1553" s="105">
        <f t="shared" si="46"/>
        <v>2639405488</v>
      </c>
      <c r="I1553" s="103">
        <v>1772286</v>
      </c>
      <c r="J1553" s="52" t="s">
        <v>675</v>
      </c>
    </row>
    <row r="1554" spans="1:10">
      <c r="A1554" s="101" t="s">
        <v>72</v>
      </c>
      <c r="B1554" s="88" t="s">
        <v>341</v>
      </c>
      <c r="C1554" s="102">
        <v>2002</v>
      </c>
      <c r="D1554" s="104">
        <v>538503454</v>
      </c>
      <c r="E1554" s="104">
        <v>893815012</v>
      </c>
      <c r="F1554" s="104">
        <v>1500294415</v>
      </c>
      <c r="G1554" s="104">
        <v>29649653</v>
      </c>
      <c r="H1554" s="105">
        <f t="shared" si="46"/>
        <v>2962262534</v>
      </c>
      <c r="I1554" s="103">
        <v>818982</v>
      </c>
      <c r="J1554" s="52" t="s">
        <v>675</v>
      </c>
    </row>
    <row r="1555" spans="1:10">
      <c r="A1555" s="101" t="s">
        <v>72</v>
      </c>
      <c r="B1555" s="88" t="s">
        <v>341</v>
      </c>
      <c r="C1555" s="102">
        <v>2003</v>
      </c>
      <c r="D1555" s="106">
        <v>601682895</v>
      </c>
      <c r="E1555" s="106">
        <v>862874288</v>
      </c>
      <c r="F1555" s="106">
        <v>1505793625</v>
      </c>
      <c r="G1555" s="106">
        <v>29971231</v>
      </c>
      <c r="H1555" s="105">
        <f t="shared" si="46"/>
        <v>3000322039</v>
      </c>
      <c r="I1555" s="103">
        <v>4633254</v>
      </c>
      <c r="J1555" s="52" t="s">
        <v>675</v>
      </c>
    </row>
    <row r="1556" spans="1:10">
      <c r="A1556" s="101" t="s">
        <v>72</v>
      </c>
      <c r="B1556" s="88" t="s">
        <v>341</v>
      </c>
      <c r="C1556" s="102">
        <v>2004</v>
      </c>
      <c r="D1556" s="106">
        <v>618140701</v>
      </c>
      <c r="E1556" s="106">
        <v>799269204</v>
      </c>
      <c r="F1556" s="106">
        <v>1592483757</v>
      </c>
      <c r="G1556" s="106">
        <v>26970899</v>
      </c>
      <c r="H1556" s="105">
        <f t="shared" si="46"/>
        <v>3036864561</v>
      </c>
      <c r="I1556" s="103">
        <v>4832155</v>
      </c>
      <c r="J1556" s="52" t="s">
        <v>675</v>
      </c>
    </row>
    <row r="1557" spans="1:10">
      <c r="A1557" s="101" t="s">
        <v>72</v>
      </c>
      <c r="B1557" s="88" t="s">
        <v>341</v>
      </c>
      <c r="C1557" s="102">
        <v>2005</v>
      </c>
      <c r="D1557" s="106">
        <v>672114026</v>
      </c>
      <c r="E1557" s="106">
        <v>444188124</v>
      </c>
      <c r="F1557" s="106">
        <v>1833857405</v>
      </c>
      <c r="G1557" s="106">
        <v>34156835</v>
      </c>
      <c r="H1557" s="105">
        <f t="shared" si="46"/>
        <v>2984316390</v>
      </c>
      <c r="I1557" s="103">
        <v>3102711</v>
      </c>
      <c r="J1557" s="52" t="s">
        <v>675</v>
      </c>
    </row>
    <row r="1558" spans="1:10">
      <c r="A1558" s="101" t="s">
        <v>72</v>
      </c>
      <c r="B1558" s="88" t="s">
        <v>341</v>
      </c>
      <c r="C1558" s="102">
        <v>2006</v>
      </c>
      <c r="D1558" s="103">
        <v>717123386</v>
      </c>
      <c r="E1558" s="103">
        <v>557218553</v>
      </c>
      <c r="F1558" s="103">
        <v>2024428717</v>
      </c>
      <c r="G1558" s="103">
        <v>21684280</v>
      </c>
      <c r="H1558" s="105">
        <f t="shared" si="46"/>
        <v>3320454936</v>
      </c>
      <c r="I1558" s="103">
        <v>9492005</v>
      </c>
      <c r="J1558" s="52" t="s">
        <v>675</v>
      </c>
    </row>
    <row r="1559" spans="1:10">
      <c r="A1559" s="101" t="s">
        <v>72</v>
      </c>
      <c r="B1559" s="88" t="s">
        <v>341</v>
      </c>
      <c r="C1559" s="102">
        <v>2007</v>
      </c>
      <c r="D1559" s="103">
        <v>833532196</v>
      </c>
      <c r="E1559" s="103">
        <v>811359536</v>
      </c>
      <c r="F1559" s="103">
        <v>2429981594</v>
      </c>
      <c r="G1559" s="103">
        <v>25065139</v>
      </c>
      <c r="H1559" s="105">
        <f t="shared" si="46"/>
        <v>4099938465</v>
      </c>
      <c r="I1559" s="103">
        <v>11133043</v>
      </c>
      <c r="J1559" s="52" t="s">
        <v>675</v>
      </c>
    </row>
    <row r="1560" spans="1:10">
      <c r="A1560" s="101" t="s">
        <v>72</v>
      </c>
      <c r="B1560" s="88" t="s">
        <v>341</v>
      </c>
      <c r="C1560" s="102">
        <v>2008</v>
      </c>
      <c r="D1560" s="103">
        <v>957444360</v>
      </c>
      <c r="E1560" s="103">
        <v>1136870003</v>
      </c>
      <c r="F1560" s="103">
        <v>2630663601</v>
      </c>
      <c r="G1560" s="103">
        <v>20685600</v>
      </c>
      <c r="H1560" s="105">
        <f t="shared" si="46"/>
        <v>4745663564</v>
      </c>
      <c r="I1560" s="103">
        <v>2552146</v>
      </c>
      <c r="J1560" s="52" t="s">
        <v>675</v>
      </c>
    </row>
    <row r="1561" spans="1:10">
      <c r="A1561" s="101" t="s">
        <v>72</v>
      </c>
      <c r="B1561" s="88" t="s">
        <v>341</v>
      </c>
      <c r="C1561" s="102">
        <v>2009</v>
      </c>
      <c r="D1561" s="103">
        <v>1020079089</v>
      </c>
      <c r="E1561" s="103">
        <v>1165745155</v>
      </c>
      <c r="F1561" s="103">
        <v>2794581852</v>
      </c>
      <c r="G1561" s="103">
        <v>29345507</v>
      </c>
      <c r="H1561" s="105">
        <f t="shared" si="46"/>
        <v>5009751603</v>
      </c>
      <c r="I1561" s="103">
        <v>2607029</v>
      </c>
      <c r="J1561" s="52" t="s">
        <v>675</v>
      </c>
    </row>
    <row r="1562" spans="1:10">
      <c r="A1562" s="101" t="s">
        <v>72</v>
      </c>
      <c r="B1562" s="88" t="s">
        <v>341</v>
      </c>
      <c r="C1562" s="102">
        <v>2010</v>
      </c>
      <c r="D1562" s="103">
        <v>1060189950</v>
      </c>
      <c r="E1562" s="103">
        <v>1153636758</v>
      </c>
      <c r="F1562" s="103">
        <v>3205672777</v>
      </c>
      <c r="G1562" s="103">
        <v>20351033</v>
      </c>
      <c r="H1562" s="105">
        <f t="shared" si="46"/>
        <v>5439850518</v>
      </c>
      <c r="I1562" s="103">
        <v>5976169</v>
      </c>
      <c r="J1562" s="52" t="s">
        <v>675</v>
      </c>
    </row>
    <row r="1563" spans="1:10">
      <c r="A1563" s="101" t="s">
        <v>72</v>
      </c>
      <c r="B1563" s="88" t="s">
        <v>341</v>
      </c>
      <c r="C1563" s="102">
        <v>2011</v>
      </c>
      <c r="D1563" s="103">
        <v>1267264674</v>
      </c>
      <c r="E1563" s="103">
        <v>1176975925</v>
      </c>
      <c r="F1563" s="103">
        <v>2753168526</v>
      </c>
      <c r="G1563" s="103">
        <v>19538105</v>
      </c>
      <c r="H1563" s="105">
        <f t="shared" si="46"/>
        <v>5216947230</v>
      </c>
      <c r="I1563" s="103">
        <v>3539802</v>
      </c>
      <c r="J1563" s="52" t="s">
        <v>675</v>
      </c>
    </row>
    <row r="1564" spans="1:10">
      <c r="A1564" s="101" t="s">
        <v>72</v>
      </c>
      <c r="B1564" s="88" t="s">
        <v>341</v>
      </c>
      <c r="C1564" s="102">
        <v>2012</v>
      </c>
      <c r="D1564" s="103">
        <v>1283194938</v>
      </c>
      <c r="E1564" s="103">
        <v>1179890529</v>
      </c>
      <c r="F1564" s="103">
        <v>2690058225</v>
      </c>
      <c r="G1564" s="103">
        <v>29621328</v>
      </c>
      <c r="H1564" s="105">
        <f t="shared" si="46"/>
        <v>5182765020</v>
      </c>
      <c r="I1564" s="103">
        <v>2992776</v>
      </c>
      <c r="J1564" s="52" t="s">
        <v>675</v>
      </c>
    </row>
    <row r="1565" spans="1:10">
      <c r="A1565" s="101" t="s">
        <v>72</v>
      </c>
      <c r="B1565" s="88" t="s">
        <v>341</v>
      </c>
      <c r="C1565" s="102">
        <v>2013</v>
      </c>
      <c r="D1565" s="103">
        <v>1224369912</v>
      </c>
      <c r="E1565" s="103">
        <v>1241619291</v>
      </c>
      <c r="F1565" s="103">
        <v>3052765845</v>
      </c>
      <c r="G1565" s="103">
        <v>26632346</v>
      </c>
      <c r="H1565" s="105">
        <f t="shared" si="46"/>
        <v>5545387394</v>
      </c>
      <c r="I1565" s="103">
        <v>3478639</v>
      </c>
      <c r="J1565" s="52" t="s">
        <v>675</v>
      </c>
    </row>
    <row r="1566" spans="1:10">
      <c r="A1566" s="101" t="s">
        <v>72</v>
      </c>
      <c r="B1566" s="88" t="s">
        <v>341</v>
      </c>
      <c r="C1566" s="102">
        <v>2014</v>
      </c>
      <c r="D1566" s="103">
        <v>1269662919</v>
      </c>
      <c r="E1566" s="103">
        <v>1554210503</v>
      </c>
      <c r="F1566" s="103">
        <v>1691946891</v>
      </c>
      <c r="G1566" s="103">
        <v>93253768</v>
      </c>
      <c r="H1566" s="105">
        <f t="shared" si="46"/>
        <v>4609074081</v>
      </c>
      <c r="I1566" s="103">
        <v>6602985</v>
      </c>
      <c r="J1566" s="52" t="s">
        <v>675</v>
      </c>
    </row>
    <row r="1567" spans="1:10">
      <c r="A1567" s="101" t="s">
        <v>72</v>
      </c>
      <c r="B1567" s="88" t="s">
        <v>341</v>
      </c>
      <c r="C1567" s="102">
        <v>2015</v>
      </c>
      <c r="D1567" s="103">
        <v>1314411420</v>
      </c>
      <c r="E1567" s="103">
        <v>1748222319</v>
      </c>
      <c r="F1567" s="103">
        <v>1635463146</v>
      </c>
      <c r="G1567" s="103">
        <v>135971039</v>
      </c>
      <c r="H1567" s="105">
        <f t="shared" si="46"/>
        <v>4834067924</v>
      </c>
      <c r="I1567" s="103">
        <v>8810241</v>
      </c>
      <c r="J1567" s="52" t="s">
        <v>675</v>
      </c>
    </row>
    <row r="1568" spans="1:10">
      <c r="A1568" s="101" t="s">
        <v>72</v>
      </c>
      <c r="B1568" s="88" t="s">
        <v>341</v>
      </c>
      <c r="C1568" s="102">
        <v>2016</v>
      </c>
      <c r="D1568" s="103">
        <v>1360619293</v>
      </c>
      <c r="E1568" s="103">
        <v>1882212898</v>
      </c>
      <c r="F1568" s="103">
        <v>1697030058</v>
      </c>
      <c r="G1568" s="103">
        <v>166935214</v>
      </c>
      <c r="H1568" s="105">
        <f t="shared" si="46"/>
        <v>5106797463</v>
      </c>
      <c r="I1568" s="103">
        <v>5295743</v>
      </c>
      <c r="J1568" s="52" t="s">
        <v>675</v>
      </c>
    </row>
    <row r="1569" spans="1:11">
      <c r="A1569" s="101" t="s">
        <v>72</v>
      </c>
      <c r="B1569" s="88" t="s">
        <v>341</v>
      </c>
      <c r="C1569" s="102">
        <v>2017</v>
      </c>
      <c r="D1569" s="103">
        <v>1504883321</v>
      </c>
      <c r="E1569" s="103">
        <v>1728023040</v>
      </c>
      <c r="F1569" s="103">
        <v>1846669728</v>
      </c>
      <c r="G1569" s="103">
        <v>111379151</v>
      </c>
      <c r="H1569" s="105">
        <f t="shared" si="46"/>
        <v>5190955240</v>
      </c>
      <c r="I1569" s="103">
        <v>10775136</v>
      </c>
      <c r="J1569" s="52" t="s">
        <v>675</v>
      </c>
    </row>
    <row r="1570" spans="1:11">
      <c r="A1570" s="101" t="s">
        <v>72</v>
      </c>
      <c r="B1570" s="88" t="s">
        <v>341</v>
      </c>
      <c r="C1570" s="102">
        <v>2018</v>
      </c>
      <c r="D1570" s="103">
        <v>1514599515</v>
      </c>
      <c r="E1570" s="103">
        <v>2244552282</v>
      </c>
      <c r="F1570" s="103">
        <v>2078105185.6500001</v>
      </c>
      <c r="G1570" s="103">
        <v>171442610</v>
      </c>
      <c r="H1570" s="105">
        <f t="shared" si="46"/>
        <v>6008699592.6499996</v>
      </c>
      <c r="I1570" s="103">
        <v>9483184</v>
      </c>
      <c r="J1570" s="52" t="s">
        <v>675</v>
      </c>
    </row>
    <row r="1571" spans="1:11">
      <c r="A1571" s="101" t="s">
        <v>72</v>
      </c>
      <c r="B1571" s="88" t="s">
        <v>341</v>
      </c>
      <c r="C1571" s="102">
        <v>2019</v>
      </c>
      <c r="D1571" s="103">
        <v>1534358559</v>
      </c>
      <c r="E1571" s="103">
        <v>2474490957</v>
      </c>
      <c r="F1571" s="103">
        <v>4210363018.8688002</v>
      </c>
      <c r="G1571" s="103">
        <v>150878442</v>
      </c>
      <c r="H1571" s="105">
        <f t="shared" si="46"/>
        <v>8370090976.8688002</v>
      </c>
      <c r="I1571" s="103">
        <v>24497227</v>
      </c>
      <c r="J1571" s="111" t="s">
        <v>681</v>
      </c>
      <c r="K1571" s="52" t="s">
        <v>710</v>
      </c>
    </row>
    <row r="1572" spans="1:11">
      <c r="A1572" s="101" t="s">
        <v>72</v>
      </c>
      <c r="B1572" s="88" t="s">
        <v>341</v>
      </c>
      <c r="C1572" s="102">
        <v>2020</v>
      </c>
      <c r="D1572" s="103">
        <v>1586599817</v>
      </c>
      <c r="E1572" s="103">
        <v>2108336301</v>
      </c>
      <c r="F1572" s="103">
        <v>4258792284</v>
      </c>
      <c r="G1572" s="103">
        <v>55558498</v>
      </c>
      <c r="H1572" s="105">
        <f t="shared" si="46"/>
        <v>8009286900</v>
      </c>
      <c r="I1572" s="103">
        <v>6719130</v>
      </c>
      <c r="J1572" s="111" t="s">
        <v>678</v>
      </c>
    </row>
    <row r="1573" spans="1:11">
      <c r="A1573" s="101"/>
      <c r="B1573" s="107"/>
      <c r="D1573" s="104"/>
      <c r="E1573" s="104"/>
      <c r="F1573" s="104"/>
      <c r="G1573" s="104"/>
      <c r="H1573" s="103"/>
      <c r="I1573" s="103"/>
    </row>
    <row r="1574" spans="1:11">
      <c r="A1574" s="101" t="s">
        <v>73</v>
      </c>
      <c r="B1574" s="88" t="s">
        <v>711</v>
      </c>
      <c r="C1574" s="102">
        <v>1988</v>
      </c>
      <c r="D1574" s="104">
        <v>122626500</v>
      </c>
      <c r="E1574" s="104">
        <v>110419005</v>
      </c>
      <c r="F1574" s="104">
        <v>93493091</v>
      </c>
      <c r="G1574" s="104">
        <v>32147720</v>
      </c>
      <c r="H1574" s="105">
        <f>SUM(D1574:G1574)</f>
        <v>358686316</v>
      </c>
      <c r="I1574" s="103">
        <v>0</v>
      </c>
    </row>
    <row r="1575" spans="1:11">
      <c r="A1575" s="101" t="s">
        <v>73</v>
      </c>
      <c r="B1575" s="88" t="s">
        <v>711</v>
      </c>
      <c r="C1575" s="102">
        <v>1989</v>
      </c>
      <c r="D1575" s="104">
        <v>121866023</v>
      </c>
      <c r="E1575" s="104">
        <v>103462668</v>
      </c>
      <c r="F1575" s="104">
        <v>114573357</v>
      </c>
      <c r="G1575" s="104">
        <v>31655100</v>
      </c>
      <c r="H1575" s="105">
        <f t="shared" ref="H1575:H1606" si="47">SUM(D1575:G1575)</f>
        <v>371557148</v>
      </c>
      <c r="I1575" s="103">
        <v>0</v>
      </c>
    </row>
    <row r="1576" spans="1:11">
      <c r="A1576" s="101" t="s">
        <v>73</v>
      </c>
      <c r="B1576" s="88" t="s">
        <v>711</v>
      </c>
      <c r="C1576" s="102">
        <v>1990</v>
      </c>
      <c r="D1576" s="104">
        <v>125284028</v>
      </c>
      <c r="E1576" s="104">
        <v>129964172.8</v>
      </c>
      <c r="F1576" s="104">
        <v>121889421</v>
      </c>
      <c r="G1576" s="104">
        <v>30348856</v>
      </c>
      <c r="H1576" s="105">
        <f t="shared" si="47"/>
        <v>407486477.80000001</v>
      </c>
      <c r="I1576" s="103">
        <v>0</v>
      </c>
    </row>
    <row r="1577" spans="1:11">
      <c r="A1577" s="101" t="s">
        <v>73</v>
      </c>
      <c r="B1577" s="88" t="s">
        <v>711</v>
      </c>
      <c r="C1577" s="102">
        <v>1991</v>
      </c>
      <c r="D1577" s="104">
        <v>140035940</v>
      </c>
      <c r="E1577" s="104">
        <v>97458725</v>
      </c>
      <c r="F1577" s="104">
        <v>121428543</v>
      </c>
      <c r="G1577" s="104">
        <v>46492982</v>
      </c>
      <c r="H1577" s="105">
        <f t="shared" si="47"/>
        <v>405416190</v>
      </c>
      <c r="I1577" s="103">
        <v>0</v>
      </c>
    </row>
    <row r="1578" spans="1:11">
      <c r="A1578" s="101" t="s">
        <v>73</v>
      </c>
      <c r="B1578" s="88" t="s">
        <v>711</v>
      </c>
      <c r="C1578" s="102">
        <v>1992</v>
      </c>
      <c r="D1578" s="104">
        <v>144127741</v>
      </c>
      <c r="E1578" s="104">
        <v>101249948.59999999</v>
      </c>
      <c r="F1578" s="104">
        <v>110744720</v>
      </c>
      <c r="G1578" s="104">
        <v>36425854</v>
      </c>
      <c r="H1578" s="105">
        <f t="shared" si="47"/>
        <v>392548263.60000002</v>
      </c>
      <c r="I1578" s="103">
        <v>0</v>
      </c>
    </row>
    <row r="1579" spans="1:11">
      <c r="A1579" s="101" t="s">
        <v>73</v>
      </c>
      <c r="B1579" s="88" t="s">
        <v>711</v>
      </c>
      <c r="C1579" s="102">
        <v>1993</v>
      </c>
      <c r="D1579" s="104">
        <v>149477430</v>
      </c>
      <c r="E1579" s="104">
        <v>91852476</v>
      </c>
      <c r="F1579" s="104">
        <v>100302377</v>
      </c>
      <c r="G1579" s="104">
        <v>24211331</v>
      </c>
      <c r="H1579" s="105">
        <f t="shared" si="47"/>
        <v>365843614</v>
      </c>
      <c r="I1579" s="103">
        <v>0</v>
      </c>
    </row>
    <row r="1580" spans="1:11">
      <c r="A1580" s="101" t="s">
        <v>73</v>
      </c>
      <c r="B1580" s="88" t="s">
        <v>711</v>
      </c>
      <c r="C1580" s="102">
        <v>1994</v>
      </c>
      <c r="D1580" s="104">
        <v>148603072</v>
      </c>
      <c r="E1580" s="104">
        <v>120243180</v>
      </c>
      <c r="F1580" s="104">
        <v>100735266</v>
      </c>
      <c r="G1580" s="104">
        <v>25504706</v>
      </c>
      <c r="H1580" s="105">
        <f t="shared" si="47"/>
        <v>395086224</v>
      </c>
      <c r="I1580" s="103">
        <v>0</v>
      </c>
    </row>
    <row r="1581" spans="1:11">
      <c r="A1581" s="101" t="s">
        <v>73</v>
      </c>
      <c r="B1581" s="88" t="s">
        <v>711</v>
      </c>
      <c r="C1581" s="102">
        <v>1995</v>
      </c>
      <c r="D1581" s="104">
        <v>156076340</v>
      </c>
      <c r="E1581" s="104">
        <v>130970112</v>
      </c>
      <c r="F1581" s="104">
        <v>103963046</v>
      </c>
      <c r="G1581" s="104">
        <v>26580328</v>
      </c>
      <c r="H1581" s="105">
        <f t="shared" si="47"/>
        <v>417589826</v>
      </c>
      <c r="I1581" s="103">
        <v>0</v>
      </c>
    </row>
    <row r="1582" spans="1:11">
      <c r="A1582" s="101" t="s">
        <v>73</v>
      </c>
      <c r="B1582" s="88" t="s">
        <v>711</v>
      </c>
      <c r="C1582" s="102">
        <v>1996</v>
      </c>
      <c r="D1582" s="104">
        <v>157634026</v>
      </c>
      <c r="E1582" s="104">
        <v>107804469</v>
      </c>
      <c r="F1582" s="104">
        <v>125040436</v>
      </c>
      <c r="G1582" s="104">
        <v>5126379</v>
      </c>
      <c r="H1582" s="105">
        <f t="shared" si="47"/>
        <v>395605310</v>
      </c>
      <c r="I1582" s="103">
        <v>0</v>
      </c>
    </row>
    <row r="1583" spans="1:11">
      <c r="A1583" s="101" t="s">
        <v>73</v>
      </c>
      <c r="B1583" s="88" t="s">
        <v>711</v>
      </c>
      <c r="C1583" s="102">
        <v>1997</v>
      </c>
      <c r="D1583" s="104">
        <v>185895076</v>
      </c>
      <c r="E1583" s="104">
        <v>134030611</v>
      </c>
      <c r="F1583" s="104">
        <v>136455905</v>
      </c>
      <c r="G1583" s="104">
        <v>19201038</v>
      </c>
      <c r="H1583" s="105">
        <f t="shared" si="47"/>
        <v>475582630</v>
      </c>
      <c r="I1583" s="103">
        <v>0</v>
      </c>
    </row>
    <row r="1584" spans="1:11">
      <c r="A1584" s="101" t="s">
        <v>73</v>
      </c>
      <c r="B1584" s="88" t="s">
        <v>711</v>
      </c>
      <c r="C1584" s="102">
        <v>1998</v>
      </c>
      <c r="D1584" s="104">
        <v>203025510</v>
      </c>
      <c r="E1584" s="104">
        <v>147820152</v>
      </c>
      <c r="F1584" s="104">
        <v>145892884</v>
      </c>
      <c r="G1584" s="104">
        <v>35091296</v>
      </c>
      <c r="H1584" s="105">
        <f t="shared" si="47"/>
        <v>531829842</v>
      </c>
      <c r="I1584" s="103">
        <v>0</v>
      </c>
    </row>
    <row r="1585" spans="1:9">
      <c r="A1585" s="101" t="s">
        <v>73</v>
      </c>
      <c r="B1585" s="88" t="s">
        <v>711</v>
      </c>
      <c r="C1585" s="102">
        <v>1999</v>
      </c>
      <c r="D1585" s="104">
        <v>172802446</v>
      </c>
      <c r="E1585" s="104">
        <v>157281818</v>
      </c>
      <c r="F1585" s="104">
        <v>162721759</v>
      </c>
      <c r="G1585" s="104">
        <v>20633887</v>
      </c>
      <c r="H1585" s="105">
        <f t="shared" si="47"/>
        <v>513439910</v>
      </c>
      <c r="I1585" s="103">
        <v>0</v>
      </c>
    </row>
    <row r="1586" spans="1:9">
      <c r="A1586" s="101" t="s">
        <v>73</v>
      </c>
      <c r="B1586" s="88" t="s">
        <v>711</v>
      </c>
      <c r="C1586" s="102">
        <v>2000</v>
      </c>
      <c r="D1586" s="104">
        <v>157480327</v>
      </c>
      <c r="E1586" s="104">
        <v>167531791</v>
      </c>
      <c r="F1586" s="104">
        <v>176952104</v>
      </c>
      <c r="G1586" s="104">
        <v>14182348</v>
      </c>
      <c r="H1586" s="105">
        <f t="shared" si="47"/>
        <v>516146570</v>
      </c>
      <c r="I1586" s="103">
        <v>0</v>
      </c>
    </row>
    <row r="1587" spans="1:9">
      <c r="A1587" s="101" t="s">
        <v>73</v>
      </c>
      <c r="B1587" s="88" t="s">
        <v>711</v>
      </c>
      <c r="C1587" s="102">
        <v>2001</v>
      </c>
      <c r="D1587" s="104">
        <v>163055866</v>
      </c>
      <c r="E1587" s="104">
        <v>208920556</v>
      </c>
      <c r="F1587" s="104">
        <v>180145681</v>
      </c>
      <c r="G1587" s="104">
        <v>26300720</v>
      </c>
      <c r="H1587" s="105">
        <f t="shared" si="47"/>
        <v>578422823</v>
      </c>
      <c r="I1587" s="103">
        <v>0</v>
      </c>
    </row>
    <row r="1588" spans="1:9">
      <c r="A1588" s="101" t="s">
        <v>73</v>
      </c>
      <c r="B1588" s="88" t="s">
        <v>711</v>
      </c>
      <c r="C1588" s="102">
        <v>2002</v>
      </c>
      <c r="D1588" s="104">
        <v>170834571</v>
      </c>
      <c r="E1588" s="104">
        <v>283646412</v>
      </c>
      <c r="F1588" s="104">
        <v>191392830</v>
      </c>
      <c r="G1588" s="104">
        <v>8116588</v>
      </c>
      <c r="H1588" s="105">
        <f t="shared" si="47"/>
        <v>653990401</v>
      </c>
      <c r="I1588" s="103">
        <v>0</v>
      </c>
    </row>
    <row r="1589" spans="1:9">
      <c r="A1589" s="101" t="s">
        <v>73</v>
      </c>
      <c r="B1589" s="88" t="s">
        <v>711</v>
      </c>
      <c r="C1589" s="102">
        <v>2003</v>
      </c>
      <c r="D1589" s="106">
        <v>177530714</v>
      </c>
      <c r="E1589" s="106">
        <v>258254076</v>
      </c>
      <c r="F1589" s="106">
        <v>196191535</v>
      </c>
      <c r="G1589" s="106">
        <v>10055004</v>
      </c>
      <c r="H1589" s="105">
        <f t="shared" si="47"/>
        <v>642031329</v>
      </c>
      <c r="I1589" s="103">
        <v>0</v>
      </c>
    </row>
    <row r="1590" spans="1:9">
      <c r="A1590" s="101" t="s">
        <v>73</v>
      </c>
      <c r="B1590" s="88" t="s">
        <v>711</v>
      </c>
      <c r="C1590" s="102">
        <v>2004</v>
      </c>
      <c r="D1590" s="106">
        <v>186017356</v>
      </c>
      <c r="E1590" s="106">
        <v>268779890</v>
      </c>
      <c r="F1590" s="106">
        <v>206948324</v>
      </c>
      <c r="G1590" s="106">
        <v>12025335</v>
      </c>
      <c r="H1590" s="105">
        <f t="shared" si="47"/>
        <v>673770905</v>
      </c>
      <c r="I1590" s="103">
        <v>0</v>
      </c>
    </row>
    <row r="1591" spans="1:9">
      <c r="A1591" s="101" t="s">
        <v>73</v>
      </c>
      <c r="B1591" s="88" t="s">
        <v>711</v>
      </c>
      <c r="C1591" s="102">
        <v>2005</v>
      </c>
      <c r="D1591" s="106">
        <v>185152502</v>
      </c>
      <c r="E1591" s="106">
        <v>236548777</v>
      </c>
      <c r="F1591" s="106">
        <v>239497821.16</v>
      </c>
      <c r="G1591" s="106">
        <v>13441274</v>
      </c>
      <c r="H1591" s="105">
        <f t="shared" si="47"/>
        <v>674640374.15999997</v>
      </c>
      <c r="I1591" s="103">
        <v>0</v>
      </c>
    </row>
    <row r="1592" spans="1:9">
      <c r="A1592" s="101" t="s">
        <v>73</v>
      </c>
      <c r="B1592" s="88" t="s">
        <v>711</v>
      </c>
      <c r="C1592" s="102">
        <v>2006</v>
      </c>
      <c r="D1592" s="103">
        <v>199520573</v>
      </c>
      <c r="E1592" s="103">
        <v>247475120</v>
      </c>
      <c r="F1592" s="103">
        <v>284171600</v>
      </c>
      <c r="G1592" s="103">
        <v>22308478</v>
      </c>
      <c r="H1592" s="105">
        <f t="shared" si="47"/>
        <v>753475771</v>
      </c>
      <c r="I1592" s="103">
        <v>0</v>
      </c>
    </row>
    <row r="1593" spans="1:9">
      <c r="A1593" s="101" t="s">
        <v>73</v>
      </c>
      <c r="B1593" s="88" t="s">
        <v>711</v>
      </c>
      <c r="C1593" s="102">
        <v>2007</v>
      </c>
      <c r="D1593" s="103">
        <v>212039129</v>
      </c>
      <c r="E1593" s="103">
        <v>247937825</v>
      </c>
      <c r="F1593" s="103">
        <v>366182457</v>
      </c>
      <c r="G1593" s="103">
        <v>11031139</v>
      </c>
      <c r="H1593" s="105">
        <f t="shared" si="47"/>
        <v>837190550</v>
      </c>
      <c r="I1593" s="103">
        <v>0</v>
      </c>
    </row>
    <row r="1594" spans="1:9">
      <c r="A1594" s="101" t="s">
        <v>73</v>
      </c>
      <c r="B1594" s="88" t="s">
        <v>711</v>
      </c>
      <c r="C1594" s="102">
        <v>2008</v>
      </c>
      <c r="D1594" s="103">
        <v>218058285</v>
      </c>
      <c r="E1594" s="103">
        <v>349485954</v>
      </c>
      <c r="F1594" s="103">
        <v>379046576</v>
      </c>
      <c r="G1594" s="103">
        <v>5983365</v>
      </c>
      <c r="H1594" s="105">
        <f t="shared" si="47"/>
        <v>952574180</v>
      </c>
      <c r="I1594" s="103">
        <v>0</v>
      </c>
    </row>
    <row r="1595" spans="1:9">
      <c r="A1595" s="101" t="s">
        <v>73</v>
      </c>
      <c r="B1595" s="88" t="s">
        <v>711</v>
      </c>
      <c r="C1595" s="102">
        <v>2009</v>
      </c>
      <c r="D1595" s="103">
        <v>212320959</v>
      </c>
      <c r="E1595" s="103">
        <v>361745779</v>
      </c>
      <c r="F1595" s="103">
        <v>437409588</v>
      </c>
      <c r="G1595" s="103">
        <v>22195721</v>
      </c>
      <c r="H1595" s="105">
        <f t="shared" si="47"/>
        <v>1033672047</v>
      </c>
      <c r="I1595" s="103">
        <v>0</v>
      </c>
    </row>
    <row r="1596" spans="1:9">
      <c r="A1596" s="101" t="s">
        <v>73</v>
      </c>
      <c r="B1596" s="88" t="s">
        <v>711</v>
      </c>
      <c r="C1596" s="102">
        <v>2010</v>
      </c>
      <c r="D1596" s="103">
        <v>228866126</v>
      </c>
      <c r="E1596" s="103">
        <v>296359502</v>
      </c>
      <c r="F1596" s="103">
        <v>483344143</v>
      </c>
      <c r="G1596" s="103">
        <v>14766102</v>
      </c>
      <c r="H1596" s="105">
        <f t="shared" si="47"/>
        <v>1023335873</v>
      </c>
      <c r="I1596" s="103">
        <v>0</v>
      </c>
    </row>
    <row r="1597" spans="1:9">
      <c r="A1597" s="101" t="s">
        <v>73</v>
      </c>
      <c r="B1597" s="88" t="s">
        <v>711</v>
      </c>
      <c r="C1597" s="102">
        <v>2011</v>
      </c>
      <c r="D1597" s="103">
        <v>272337659</v>
      </c>
      <c r="E1597" s="103">
        <v>350708627</v>
      </c>
      <c r="F1597" s="103">
        <v>448387273.58000004</v>
      </c>
      <c r="G1597" s="103">
        <v>20197399</v>
      </c>
      <c r="H1597" s="105">
        <f t="shared" si="47"/>
        <v>1091630958.5799999</v>
      </c>
      <c r="I1597" s="103">
        <v>0</v>
      </c>
    </row>
    <row r="1598" spans="1:9">
      <c r="A1598" s="101" t="s">
        <v>73</v>
      </c>
      <c r="B1598" s="88" t="s">
        <v>711</v>
      </c>
      <c r="C1598" s="102">
        <v>2012</v>
      </c>
      <c r="D1598" s="103">
        <v>231686232</v>
      </c>
      <c r="E1598" s="103">
        <v>333546998</v>
      </c>
      <c r="F1598" s="103">
        <v>375907026</v>
      </c>
      <c r="G1598" s="103">
        <v>10244346</v>
      </c>
      <c r="H1598" s="105">
        <f t="shared" si="47"/>
        <v>951384602</v>
      </c>
      <c r="I1598" s="103">
        <v>0</v>
      </c>
    </row>
    <row r="1599" spans="1:9">
      <c r="A1599" s="101" t="s">
        <v>73</v>
      </c>
      <c r="B1599" s="88" t="s">
        <v>711</v>
      </c>
      <c r="C1599" s="102">
        <v>2013</v>
      </c>
      <c r="D1599" s="103">
        <v>249423519</v>
      </c>
      <c r="E1599" s="103">
        <v>321840601</v>
      </c>
      <c r="F1599" s="103">
        <v>358462479</v>
      </c>
      <c r="G1599" s="103">
        <v>10065082</v>
      </c>
      <c r="H1599" s="105">
        <f t="shared" si="47"/>
        <v>939791681</v>
      </c>
      <c r="I1599" s="103">
        <v>0</v>
      </c>
    </row>
    <row r="1600" spans="1:9">
      <c r="A1600" s="101" t="s">
        <v>73</v>
      </c>
      <c r="B1600" s="88" t="s">
        <v>711</v>
      </c>
      <c r="C1600" s="102">
        <v>2014</v>
      </c>
      <c r="D1600" s="103">
        <v>251184345</v>
      </c>
      <c r="E1600" s="103">
        <v>353425000</v>
      </c>
      <c r="F1600" s="103">
        <v>309073981.49000001</v>
      </c>
      <c r="G1600" s="103">
        <v>11238252</v>
      </c>
      <c r="H1600" s="105">
        <f t="shared" si="47"/>
        <v>924921578.49000001</v>
      </c>
      <c r="I1600" s="103">
        <v>0</v>
      </c>
    </row>
    <row r="1601" spans="1:9">
      <c r="A1601" s="101" t="s">
        <v>73</v>
      </c>
      <c r="B1601" s="88" t="s">
        <v>711</v>
      </c>
      <c r="C1601" s="102">
        <v>2015</v>
      </c>
      <c r="D1601" s="103">
        <v>249665945</v>
      </c>
      <c r="E1601" s="103">
        <v>410119019</v>
      </c>
      <c r="F1601" s="103">
        <v>266860580</v>
      </c>
      <c r="G1601" s="103">
        <v>17263115</v>
      </c>
      <c r="H1601" s="105">
        <f t="shared" si="47"/>
        <v>943908659</v>
      </c>
      <c r="I1601" s="103">
        <v>0</v>
      </c>
    </row>
    <row r="1602" spans="1:9">
      <c r="A1602" s="101" t="s">
        <v>73</v>
      </c>
      <c r="B1602" s="88" t="s">
        <v>711</v>
      </c>
      <c r="C1602" s="102">
        <v>2016</v>
      </c>
      <c r="D1602" s="103">
        <v>254441984</v>
      </c>
      <c r="E1602" s="103">
        <v>457254410</v>
      </c>
      <c r="F1602" s="103">
        <v>257006629</v>
      </c>
      <c r="G1602" s="103">
        <v>26610254</v>
      </c>
      <c r="H1602" s="105">
        <f t="shared" si="47"/>
        <v>995313277</v>
      </c>
      <c r="I1602" s="103">
        <v>0</v>
      </c>
    </row>
    <row r="1603" spans="1:9">
      <c r="A1603" s="101" t="s">
        <v>73</v>
      </c>
      <c r="B1603" s="88" t="s">
        <v>711</v>
      </c>
      <c r="C1603" s="102">
        <v>2017</v>
      </c>
      <c r="D1603" s="103">
        <v>253159869</v>
      </c>
      <c r="E1603" s="103">
        <v>506932643</v>
      </c>
      <c r="F1603" s="103">
        <v>262053988.73000002</v>
      </c>
      <c r="G1603" s="103">
        <v>16735797</v>
      </c>
      <c r="H1603" s="105">
        <f t="shared" si="47"/>
        <v>1038882297.73</v>
      </c>
      <c r="I1603" s="103">
        <v>0</v>
      </c>
    </row>
    <row r="1604" spans="1:9">
      <c r="A1604" s="101" t="s">
        <v>73</v>
      </c>
      <c r="B1604" s="88" t="s">
        <v>711</v>
      </c>
      <c r="C1604" s="102">
        <v>2018</v>
      </c>
      <c r="D1604" s="103">
        <v>251361756</v>
      </c>
      <c r="E1604" s="103">
        <v>511012882</v>
      </c>
      <c r="F1604" s="103">
        <v>273785084</v>
      </c>
      <c r="G1604" s="103">
        <v>36209723</v>
      </c>
      <c r="H1604" s="105">
        <f t="shared" si="47"/>
        <v>1072369445</v>
      </c>
      <c r="I1604" s="103">
        <v>0</v>
      </c>
    </row>
    <row r="1605" spans="1:9">
      <c r="A1605" s="101" t="s">
        <v>73</v>
      </c>
      <c r="B1605" s="88" t="s">
        <v>711</v>
      </c>
      <c r="C1605" s="102">
        <v>2019</v>
      </c>
      <c r="D1605" s="103">
        <v>253083212</v>
      </c>
      <c r="E1605" s="103">
        <v>460908082</v>
      </c>
      <c r="F1605" s="103">
        <v>258645904.84999999</v>
      </c>
      <c r="G1605" s="103">
        <v>45647057</v>
      </c>
      <c r="H1605" s="105">
        <f t="shared" si="47"/>
        <v>1018284255.85</v>
      </c>
      <c r="I1605" s="103">
        <v>0</v>
      </c>
    </row>
    <row r="1606" spans="1:9">
      <c r="A1606" s="101" t="s">
        <v>73</v>
      </c>
      <c r="B1606" s="88" t="s">
        <v>711</v>
      </c>
      <c r="C1606" s="102">
        <v>2020</v>
      </c>
      <c r="D1606" s="103">
        <v>246921789</v>
      </c>
      <c r="E1606" s="103">
        <v>444453803</v>
      </c>
      <c r="F1606" s="103">
        <v>269800824</v>
      </c>
      <c r="G1606" s="103">
        <v>59734652</v>
      </c>
      <c r="H1606" s="105">
        <f t="shared" si="47"/>
        <v>1020911068</v>
      </c>
      <c r="I1606" s="103">
        <v>0</v>
      </c>
    </row>
    <row r="1607" spans="1:9">
      <c r="A1607" s="101"/>
      <c r="B1607" s="107"/>
      <c r="D1607" s="104"/>
      <c r="E1607" s="104"/>
      <c r="F1607" s="104"/>
      <c r="G1607" s="104"/>
      <c r="H1607" s="103"/>
      <c r="I1607" s="103"/>
    </row>
    <row r="1608" spans="1:9">
      <c r="A1608" s="101" t="s">
        <v>74</v>
      </c>
      <c r="B1608" s="88" t="s">
        <v>410</v>
      </c>
      <c r="C1608" s="102">
        <v>1988</v>
      </c>
      <c r="D1608" s="104">
        <v>1501089283</v>
      </c>
      <c r="E1608" s="104">
        <v>910923198</v>
      </c>
      <c r="F1608" s="104">
        <v>2363356212</v>
      </c>
      <c r="G1608" s="104">
        <v>0</v>
      </c>
      <c r="H1608" s="105">
        <f>SUM(D1608:G1608)</f>
        <v>4775368693</v>
      </c>
      <c r="I1608" s="103">
        <v>0</v>
      </c>
    </row>
    <row r="1609" spans="1:9">
      <c r="A1609" s="101" t="s">
        <v>74</v>
      </c>
      <c r="B1609" s="88" t="s">
        <v>410</v>
      </c>
      <c r="C1609" s="102">
        <v>1989</v>
      </c>
      <c r="D1609" s="104">
        <v>1543941404</v>
      </c>
      <c r="E1609" s="104">
        <v>1049042899</v>
      </c>
      <c r="F1609" s="104">
        <v>2657188303</v>
      </c>
      <c r="G1609" s="104">
        <v>0</v>
      </c>
      <c r="H1609" s="105">
        <f t="shared" ref="H1609:H1640" si="48">SUM(D1609:G1609)</f>
        <v>5250172606</v>
      </c>
      <c r="I1609" s="103">
        <v>0</v>
      </c>
    </row>
    <row r="1610" spans="1:9">
      <c r="A1610" s="101" t="s">
        <v>74</v>
      </c>
      <c r="B1610" s="88" t="s">
        <v>410</v>
      </c>
      <c r="C1610" s="102">
        <v>1990</v>
      </c>
      <c r="D1610" s="104">
        <v>1660561706</v>
      </c>
      <c r="E1610" s="104">
        <v>1103217804.1199999</v>
      </c>
      <c r="F1610" s="104">
        <v>2128224081</v>
      </c>
      <c r="G1610" s="104">
        <v>0</v>
      </c>
      <c r="H1610" s="105">
        <f t="shared" si="48"/>
        <v>4892003591.1199999</v>
      </c>
      <c r="I1610" s="103">
        <v>0</v>
      </c>
    </row>
    <row r="1611" spans="1:9">
      <c r="A1611" s="101" t="s">
        <v>74</v>
      </c>
      <c r="B1611" s="88" t="s">
        <v>410</v>
      </c>
      <c r="C1611" s="102">
        <v>1991</v>
      </c>
      <c r="D1611" s="104">
        <v>1729816670</v>
      </c>
      <c r="E1611" s="104">
        <v>945263271</v>
      </c>
      <c r="F1611" s="104">
        <v>2250538034</v>
      </c>
      <c r="G1611" s="104">
        <v>0</v>
      </c>
      <c r="H1611" s="105">
        <f t="shared" si="48"/>
        <v>4925617975</v>
      </c>
      <c r="I1611" s="103">
        <v>0</v>
      </c>
    </row>
    <row r="1612" spans="1:9">
      <c r="A1612" s="101" t="s">
        <v>74</v>
      </c>
      <c r="B1612" s="88" t="s">
        <v>410</v>
      </c>
      <c r="C1612" s="102">
        <v>1992</v>
      </c>
      <c r="D1612" s="104">
        <v>1889473142</v>
      </c>
      <c r="E1612" s="104">
        <v>1257251933.5599999</v>
      </c>
      <c r="F1612" s="104">
        <v>2348996620</v>
      </c>
      <c r="G1612" s="104">
        <v>0</v>
      </c>
      <c r="H1612" s="105">
        <f t="shared" si="48"/>
        <v>5495721695.5599995</v>
      </c>
      <c r="I1612" s="103">
        <v>0</v>
      </c>
    </row>
    <row r="1613" spans="1:9">
      <c r="A1613" s="101" t="s">
        <v>74</v>
      </c>
      <c r="B1613" s="88" t="s">
        <v>410</v>
      </c>
      <c r="C1613" s="102">
        <v>1993</v>
      </c>
      <c r="D1613" s="104">
        <v>1907656659</v>
      </c>
      <c r="E1613" s="104">
        <v>1126828951</v>
      </c>
      <c r="F1613" s="104">
        <v>2519918117</v>
      </c>
      <c r="G1613" s="104">
        <v>0</v>
      </c>
      <c r="H1613" s="105">
        <f t="shared" si="48"/>
        <v>5554403727</v>
      </c>
      <c r="I1613" s="103">
        <v>0</v>
      </c>
    </row>
    <row r="1614" spans="1:9">
      <c r="A1614" s="101" t="s">
        <v>74</v>
      </c>
      <c r="B1614" s="88" t="s">
        <v>410</v>
      </c>
      <c r="C1614" s="102">
        <v>1994</v>
      </c>
      <c r="D1614" s="104">
        <v>2049832358</v>
      </c>
      <c r="E1614" s="104">
        <v>1532486706</v>
      </c>
      <c r="F1614" s="104">
        <v>2520943348</v>
      </c>
      <c r="G1614" s="104">
        <v>0</v>
      </c>
      <c r="H1614" s="105">
        <f t="shared" si="48"/>
        <v>6103262412</v>
      </c>
      <c r="I1614" s="103">
        <v>0</v>
      </c>
    </row>
    <row r="1615" spans="1:9">
      <c r="A1615" s="101" t="s">
        <v>74</v>
      </c>
      <c r="B1615" s="88" t="s">
        <v>410</v>
      </c>
      <c r="C1615" s="102">
        <v>1995</v>
      </c>
      <c r="D1615" s="104">
        <v>2190692461</v>
      </c>
      <c r="E1615" s="104">
        <v>1400792149</v>
      </c>
      <c r="F1615" s="104">
        <v>2639522810</v>
      </c>
      <c r="G1615" s="104">
        <v>0</v>
      </c>
      <c r="H1615" s="105">
        <f t="shared" si="48"/>
        <v>6231007420</v>
      </c>
      <c r="I1615" s="103">
        <v>0</v>
      </c>
    </row>
    <row r="1616" spans="1:9">
      <c r="A1616" s="101" t="s">
        <v>74</v>
      </c>
      <c r="B1616" s="88" t="s">
        <v>410</v>
      </c>
      <c r="C1616" s="102">
        <v>1996</v>
      </c>
      <c r="D1616" s="104">
        <v>2227159561</v>
      </c>
      <c r="E1616" s="104">
        <v>1192305410</v>
      </c>
      <c r="F1616" s="104">
        <v>2690850982</v>
      </c>
      <c r="G1616" s="104">
        <v>0</v>
      </c>
      <c r="H1616" s="105">
        <f t="shared" si="48"/>
        <v>6110315953</v>
      </c>
      <c r="I1616" s="103">
        <v>0</v>
      </c>
    </row>
    <row r="1617" spans="1:10">
      <c r="A1617" s="101" t="s">
        <v>74</v>
      </c>
      <c r="B1617" s="88" t="s">
        <v>410</v>
      </c>
      <c r="C1617" s="102">
        <v>1997</v>
      </c>
      <c r="D1617" s="104">
        <v>2183619207</v>
      </c>
      <c r="E1617" s="104">
        <v>1364423874</v>
      </c>
      <c r="F1617" s="104">
        <v>2716987365</v>
      </c>
      <c r="G1617" s="104">
        <v>0</v>
      </c>
      <c r="H1617" s="105">
        <f t="shared" si="48"/>
        <v>6265030446</v>
      </c>
      <c r="I1617" s="103">
        <v>0</v>
      </c>
    </row>
    <row r="1618" spans="1:10">
      <c r="A1618" s="101" t="s">
        <v>74</v>
      </c>
      <c r="B1618" s="88" t="s">
        <v>410</v>
      </c>
      <c r="C1618" s="102">
        <v>1998</v>
      </c>
      <c r="D1618" s="104">
        <v>2343446115</v>
      </c>
      <c r="E1618" s="104">
        <v>1408582622</v>
      </c>
      <c r="F1618" s="104">
        <v>2828357943</v>
      </c>
      <c r="G1618" s="104">
        <v>0</v>
      </c>
      <c r="H1618" s="105">
        <f t="shared" si="48"/>
        <v>6580386680</v>
      </c>
      <c r="I1618" s="103">
        <v>0</v>
      </c>
    </row>
    <row r="1619" spans="1:10">
      <c r="A1619" s="101" t="s">
        <v>74</v>
      </c>
      <c r="B1619" s="88" t="s">
        <v>410</v>
      </c>
      <c r="C1619" s="102">
        <v>1999</v>
      </c>
      <c r="D1619" s="104">
        <v>2290594933</v>
      </c>
      <c r="E1619" s="104">
        <v>2028097258</v>
      </c>
      <c r="F1619" s="104">
        <v>3086655463</v>
      </c>
      <c r="G1619" s="104">
        <v>0</v>
      </c>
      <c r="H1619" s="105">
        <f t="shared" si="48"/>
        <v>7405347654</v>
      </c>
      <c r="I1619" s="103">
        <v>0</v>
      </c>
    </row>
    <row r="1620" spans="1:10">
      <c r="A1620" s="101" t="s">
        <v>74</v>
      </c>
      <c r="B1620" s="88" t="s">
        <v>410</v>
      </c>
      <c r="C1620" s="102">
        <v>2000</v>
      </c>
      <c r="D1620" s="104">
        <v>2495479386</v>
      </c>
      <c r="E1620" s="104">
        <v>2090547968</v>
      </c>
      <c r="F1620" s="104">
        <v>3622895043</v>
      </c>
      <c r="G1620" s="104">
        <v>0</v>
      </c>
      <c r="H1620" s="105">
        <f t="shared" si="48"/>
        <v>8208922397</v>
      </c>
      <c r="I1620" s="103">
        <v>0</v>
      </c>
    </row>
    <row r="1621" spans="1:10">
      <c r="A1621" s="101" t="s">
        <v>74</v>
      </c>
      <c r="B1621" s="88" t="s">
        <v>410</v>
      </c>
      <c r="C1621" s="102">
        <v>2001</v>
      </c>
      <c r="D1621" s="104">
        <v>2395872565</v>
      </c>
      <c r="E1621" s="104">
        <v>2486863710</v>
      </c>
      <c r="F1621" s="104">
        <v>3788332286</v>
      </c>
      <c r="G1621" s="104">
        <v>0</v>
      </c>
      <c r="H1621" s="105">
        <f t="shared" si="48"/>
        <v>8671068561</v>
      </c>
      <c r="I1621" s="103">
        <v>0</v>
      </c>
    </row>
    <row r="1622" spans="1:10">
      <c r="A1622" s="101" t="s">
        <v>74</v>
      </c>
      <c r="B1622" s="88" t="s">
        <v>410</v>
      </c>
      <c r="C1622" s="102">
        <v>2002</v>
      </c>
      <c r="D1622" s="104">
        <v>2422101179</v>
      </c>
      <c r="E1622" s="104">
        <v>3299077415</v>
      </c>
      <c r="F1622" s="104">
        <v>4625861868</v>
      </c>
      <c r="G1622" s="104">
        <v>0</v>
      </c>
      <c r="H1622" s="105">
        <f t="shared" si="48"/>
        <v>10347040462</v>
      </c>
      <c r="I1622" s="103">
        <v>0</v>
      </c>
    </row>
    <row r="1623" spans="1:10">
      <c r="A1623" s="101" t="s">
        <v>74</v>
      </c>
      <c r="B1623" s="88" t="s">
        <v>410</v>
      </c>
      <c r="C1623" s="102">
        <v>2003</v>
      </c>
      <c r="D1623" s="106">
        <v>2556657303</v>
      </c>
      <c r="E1623" s="106">
        <v>3079248641</v>
      </c>
      <c r="F1623" s="106">
        <v>5035520945</v>
      </c>
      <c r="G1623" s="106">
        <v>0</v>
      </c>
      <c r="H1623" s="105">
        <f t="shared" si="48"/>
        <v>10671426889</v>
      </c>
      <c r="I1623" s="103">
        <v>0</v>
      </c>
    </row>
    <row r="1624" spans="1:10">
      <c r="A1624" s="101" t="s">
        <v>74</v>
      </c>
      <c r="B1624" s="88" t="s">
        <v>410</v>
      </c>
      <c r="C1624" s="102">
        <v>2004</v>
      </c>
      <c r="D1624" s="106">
        <v>2614519974</v>
      </c>
      <c r="E1624" s="106">
        <v>2799229962</v>
      </c>
      <c r="F1624" s="106">
        <v>5516056428</v>
      </c>
      <c r="G1624" s="106">
        <v>0</v>
      </c>
      <c r="H1624" s="105">
        <f t="shared" si="48"/>
        <v>10929806364</v>
      </c>
      <c r="I1624" s="103">
        <v>0</v>
      </c>
    </row>
    <row r="1625" spans="1:10">
      <c r="A1625" s="101" t="s">
        <v>74</v>
      </c>
      <c r="B1625" s="88" t="s">
        <v>410</v>
      </c>
      <c r="C1625" s="102">
        <v>2005</v>
      </c>
      <c r="D1625" s="106">
        <v>2686824082</v>
      </c>
      <c r="E1625" s="106">
        <v>2409315752</v>
      </c>
      <c r="F1625" s="106">
        <v>5989332444.4399996</v>
      </c>
      <c r="G1625" s="106">
        <v>0</v>
      </c>
      <c r="H1625" s="105">
        <f t="shared" si="48"/>
        <v>11085472278.439999</v>
      </c>
      <c r="I1625" s="103">
        <v>0</v>
      </c>
    </row>
    <row r="1626" spans="1:10">
      <c r="A1626" s="101" t="s">
        <v>74</v>
      </c>
      <c r="B1626" s="88" t="s">
        <v>410</v>
      </c>
      <c r="C1626" s="102">
        <v>2006</v>
      </c>
      <c r="D1626" s="103">
        <v>2936162430</v>
      </c>
      <c r="E1626" s="103">
        <v>2702514754</v>
      </c>
      <c r="F1626" s="103">
        <v>5795171726</v>
      </c>
      <c r="G1626" s="103">
        <v>0</v>
      </c>
      <c r="H1626" s="105">
        <f t="shared" si="48"/>
        <v>11433848910</v>
      </c>
      <c r="I1626" s="103">
        <v>0</v>
      </c>
    </row>
    <row r="1627" spans="1:10">
      <c r="A1627" s="101" t="s">
        <v>74</v>
      </c>
      <c r="B1627" s="88" t="s">
        <v>410</v>
      </c>
      <c r="C1627" s="102">
        <v>2007</v>
      </c>
      <c r="D1627" s="103">
        <v>2991698548</v>
      </c>
      <c r="E1627" s="103">
        <v>2668467549</v>
      </c>
      <c r="F1627" s="103">
        <v>6636005822</v>
      </c>
      <c r="G1627" s="103">
        <v>0</v>
      </c>
      <c r="H1627" s="105">
        <f t="shared" si="48"/>
        <v>12296171919</v>
      </c>
      <c r="I1627" s="103">
        <v>0</v>
      </c>
    </row>
    <row r="1628" spans="1:10">
      <c r="A1628" s="101" t="s">
        <v>74</v>
      </c>
      <c r="B1628" s="88" t="s">
        <v>410</v>
      </c>
      <c r="C1628" s="102">
        <v>2008</v>
      </c>
      <c r="D1628" s="103">
        <v>3100365954</v>
      </c>
      <c r="E1628" s="103">
        <v>4007178223</v>
      </c>
      <c r="F1628" s="103">
        <v>7028334298</v>
      </c>
      <c r="G1628" s="103">
        <v>0</v>
      </c>
      <c r="H1628" s="105">
        <f t="shared" si="48"/>
        <v>14135878475</v>
      </c>
      <c r="I1628" s="103">
        <v>0</v>
      </c>
    </row>
    <row r="1629" spans="1:10">
      <c r="A1629" s="101" t="s">
        <v>74</v>
      </c>
      <c r="B1629" s="88" t="s">
        <v>410</v>
      </c>
      <c r="C1629" s="102">
        <v>2009</v>
      </c>
      <c r="D1629" s="103">
        <v>3482986689</v>
      </c>
      <c r="E1629" s="103">
        <v>3893096464</v>
      </c>
      <c r="F1629" s="103">
        <v>7287630663</v>
      </c>
      <c r="G1629" s="103">
        <v>0</v>
      </c>
      <c r="H1629" s="105">
        <f t="shared" si="48"/>
        <v>14663713816</v>
      </c>
      <c r="I1629" s="103">
        <v>0</v>
      </c>
    </row>
    <row r="1630" spans="1:10">
      <c r="A1630" s="101" t="s">
        <v>74</v>
      </c>
      <c r="B1630" s="88" t="s">
        <v>410</v>
      </c>
      <c r="C1630" s="102">
        <v>2010</v>
      </c>
      <c r="D1630" s="103">
        <v>3607092710</v>
      </c>
      <c r="E1630" s="103">
        <v>3469447420</v>
      </c>
      <c r="F1630" s="103">
        <v>7181231192</v>
      </c>
      <c r="G1630" s="103">
        <v>93676191</v>
      </c>
      <c r="H1630" s="105">
        <f t="shared" si="48"/>
        <v>14351447513</v>
      </c>
      <c r="I1630" s="103">
        <v>41955158</v>
      </c>
      <c r="J1630" s="52" t="s">
        <v>675</v>
      </c>
    </row>
    <row r="1631" spans="1:10">
      <c r="A1631" s="101" t="s">
        <v>74</v>
      </c>
      <c r="B1631" s="88" t="s">
        <v>410</v>
      </c>
      <c r="C1631" s="102">
        <v>2011</v>
      </c>
      <c r="D1631" s="103">
        <v>3709199847</v>
      </c>
      <c r="E1631" s="103">
        <v>3379817973</v>
      </c>
      <c r="F1631" s="103">
        <v>6944334442</v>
      </c>
      <c r="G1631" s="103">
        <v>128740547</v>
      </c>
      <c r="H1631" s="105">
        <f t="shared" si="48"/>
        <v>14162092809</v>
      </c>
      <c r="I1631" s="103">
        <v>19314425</v>
      </c>
      <c r="J1631" s="52" t="s">
        <v>675</v>
      </c>
    </row>
    <row r="1632" spans="1:10">
      <c r="A1632" s="101" t="s">
        <v>74</v>
      </c>
      <c r="B1632" s="88" t="s">
        <v>410</v>
      </c>
      <c r="C1632" s="102">
        <v>2012</v>
      </c>
      <c r="D1632" s="103">
        <v>3986860876</v>
      </c>
      <c r="E1632" s="103">
        <v>3970689965</v>
      </c>
      <c r="F1632" s="103">
        <v>6494107159</v>
      </c>
      <c r="G1632" s="103">
        <v>274323277</v>
      </c>
      <c r="H1632" s="105">
        <f t="shared" si="48"/>
        <v>14725981277</v>
      </c>
      <c r="I1632" s="103">
        <v>24157302</v>
      </c>
      <c r="J1632" s="52" t="s">
        <v>675</v>
      </c>
    </row>
    <row r="1633" spans="1:11">
      <c r="A1633" s="101" t="s">
        <v>74</v>
      </c>
      <c r="B1633" s="88" t="s">
        <v>410</v>
      </c>
      <c r="C1633" s="102">
        <v>2013</v>
      </c>
      <c r="D1633" s="103">
        <v>4033135508</v>
      </c>
      <c r="E1633" s="103">
        <v>3531711590</v>
      </c>
      <c r="F1633" s="103">
        <v>6563340419</v>
      </c>
      <c r="G1633" s="103">
        <v>283614056</v>
      </c>
      <c r="H1633" s="105">
        <f t="shared" si="48"/>
        <v>14411801573</v>
      </c>
      <c r="I1633" s="103">
        <v>30802327</v>
      </c>
      <c r="J1633" s="52" t="s">
        <v>675</v>
      </c>
    </row>
    <row r="1634" spans="1:11">
      <c r="A1634" s="101" t="s">
        <v>74</v>
      </c>
      <c r="B1634" s="88" t="s">
        <v>410</v>
      </c>
      <c r="C1634" s="102">
        <v>2014</v>
      </c>
      <c r="D1634" s="103">
        <v>3979237482</v>
      </c>
      <c r="E1634" s="103">
        <v>3923424548</v>
      </c>
      <c r="F1634" s="103">
        <v>6903382036</v>
      </c>
      <c r="G1634" s="103">
        <v>91084435</v>
      </c>
      <c r="H1634" s="105">
        <f t="shared" si="48"/>
        <v>14897128501</v>
      </c>
      <c r="I1634" s="103">
        <v>211691881</v>
      </c>
      <c r="J1634" s="52" t="s">
        <v>675</v>
      </c>
    </row>
    <row r="1635" spans="1:11">
      <c r="A1635" s="101" t="s">
        <v>74</v>
      </c>
      <c r="B1635" s="88" t="s">
        <v>410</v>
      </c>
      <c r="C1635" s="102">
        <v>2015</v>
      </c>
      <c r="D1635" s="103">
        <v>4227842413</v>
      </c>
      <c r="E1635" s="103">
        <v>4319855282</v>
      </c>
      <c r="F1635" s="103">
        <v>6654722914</v>
      </c>
      <c r="G1635" s="103">
        <v>125374007</v>
      </c>
      <c r="H1635" s="105">
        <f t="shared" si="48"/>
        <v>15327794616</v>
      </c>
      <c r="I1635" s="103">
        <v>142571001</v>
      </c>
      <c r="J1635" s="52" t="s">
        <v>675</v>
      </c>
    </row>
    <row r="1636" spans="1:11">
      <c r="A1636" s="101" t="s">
        <v>74</v>
      </c>
      <c r="B1636" s="88" t="s">
        <v>410</v>
      </c>
      <c r="C1636" s="102">
        <v>2016</v>
      </c>
      <c r="D1636" s="103">
        <v>4332097227</v>
      </c>
      <c r="E1636" s="103">
        <v>5229411861</v>
      </c>
      <c r="F1636" s="103">
        <v>6764697549</v>
      </c>
      <c r="G1636" s="103">
        <v>170089356</v>
      </c>
      <c r="H1636" s="105">
        <f t="shared" si="48"/>
        <v>16496295993</v>
      </c>
      <c r="I1636" s="103">
        <v>110280016</v>
      </c>
      <c r="J1636" s="52" t="s">
        <v>675</v>
      </c>
    </row>
    <row r="1637" spans="1:11">
      <c r="A1637" s="101" t="s">
        <v>74</v>
      </c>
      <c r="B1637" s="88" t="s">
        <v>410</v>
      </c>
      <c r="C1637" s="102">
        <v>2017</v>
      </c>
      <c r="D1637" s="103">
        <v>4367624287</v>
      </c>
      <c r="E1637" s="103">
        <v>4660135439</v>
      </c>
      <c r="F1637" s="103">
        <v>6853855281</v>
      </c>
      <c r="G1637" s="103">
        <v>136364845</v>
      </c>
      <c r="H1637" s="105">
        <f t="shared" si="48"/>
        <v>16017979852</v>
      </c>
      <c r="I1637" s="103">
        <v>76669176</v>
      </c>
      <c r="J1637" s="52" t="s">
        <v>675</v>
      </c>
    </row>
    <row r="1638" spans="1:11">
      <c r="A1638" s="101" t="s">
        <v>74</v>
      </c>
      <c r="B1638" s="88" t="s">
        <v>410</v>
      </c>
      <c r="C1638" s="102">
        <v>2018</v>
      </c>
      <c r="D1638" s="103">
        <v>4457171148</v>
      </c>
      <c r="E1638" s="103">
        <v>5138305054</v>
      </c>
      <c r="F1638" s="103">
        <v>9224537247.3899994</v>
      </c>
      <c r="G1638" s="103">
        <v>128124192</v>
      </c>
      <c r="H1638" s="105">
        <f t="shared" si="48"/>
        <v>18948137641.389999</v>
      </c>
      <c r="I1638" s="103">
        <v>108205166</v>
      </c>
      <c r="J1638" s="87" t="s">
        <v>676</v>
      </c>
      <c r="K1638" s="52" t="s">
        <v>677</v>
      </c>
    </row>
    <row r="1639" spans="1:11">
      <c r="A1639" s="101" t="s">
        <v>74</v>
      </c>
      <c r="B1639" s="88" t="s">
        <v>410</v>
      </c>
      <c r="C1639" s="102">
        <v>2019</v>
      </c>
      <c r="D1639" s="103">
        <v>4547725083</v>
      </c>
      <c r="E1639" s="103">
        <v>5397451168</v>
      </c>
      <c r="F1639" s="103">
        <v>11364852501.6159</v>
      </c>
      <c r="G1639" s="103">
        <v>147537505</v>
      </c>
      <c r="H1639" s="105">
        <f t="shared" si="48"/>
        <v>21457566257.615898</v>
      </c>
      <c r="I1639" s="103">
        <v>103627291</v>
      </c>
      <c r="J1639" s="109" t="s">
        <v>678</v>
      </c>
    </row>
    <row r="1640" spans="1:11">
      <c r="A1640" s="101" t="s">
        <v>74</v>
      </c>
      <c r="B1640" s="88" t="s">
        <v>410</v>
      </c>
      <c r="C1640" s="102">
        <v>2020</v>
      </c>
      <c r="D1640" s="103">
        <v>4495798592</v>
      </c>
      <c r="E1640" s="103">
        <v>5340133710</v>
      </c>
      <c r="F1640" s="103">
        <v>11097179855</v>
      </c>
      <c r="G1640" s="103">
        <v>157468168</v>
      </c>
      <c r="H1640" s="105">
        <f t="shared" si="48"/>
        <v>21090580325</v>
      </c>
      <c r="I1640" s="103">
        <v>62154387</v>
      </c>
      <c r="J1640" s="109" t="s">
        <v>678</v>
      </c>
    </row>
    <row r="1641" spans="1:11">
      <c r="A1641" s="101"/>
      <c r="B1641" s="107"/>
      <c r="D1641" s="104"/>
      <c r="E1641" s="104"/>
      <c r="F1641" s="104"/>
      <c r="G1641" s="104"/>
      <c r="H1641" s="105"/>
      <c r="I1641" s="103"/>
    </row>
    <row r="1642" spans="1:11">
      <c r="A1642" s="101" t="s">
        <v>75</v>
      </c>
      <c r="B1642" s="88" t="s">
        <v>712</v>
      </c>
      <c r="C1642" s="102">
        <v>1988</v>
      </c>
      <c r="D1642" s="104">
        <v>840791631</v>
      </c>
      <c r="E1642" s="104">
        <v>1043673472</v>
      </c>
      <c r="F1642" s="104">
        <v>591169771</v>
      </c>
      <c r="G1642" s="104">
        <v>437364236</v>
      </c>
      <c r="H1642" s="105">
        <f>SUM(D1642:G1642)</f>
        <v>2912999110</v>
      </c>
      <c r="I1642" s="103">
        <v>0</v>
      </c>
    </row>
    <row r="1643" spans="1:11">
      <c r="A1643" s="101" t="s">
        <v>75</v>
      </c>
      <c r="B1643" s="88" t="s">
        <v>712</v>
      </c>
      <c r="C1643" s="102">
        <v>1989</v>
      </c>
      <c r="D1643" s="104">
        <v>807137955</v>
      </c>
      <c r="E1643" s="104">
        <v>1210734505</v>
      </c>
      <c r="F1643" s="104">
        <v>640054085</v>
      </c>
      <c r="G1643" s="104">
        <v>488580358</v>
      </c>
      <c r="H1643" s="105">
        <f t="shared" ref="H1643:H1674" si="49">SUM(D1643:G1643)</f>
        <v>3146506903</v>
      </c>
      <c r="I1643" s="103">
        <v>0</v>
      </c>
    </row>
    <row r="1644" spans="1:11">
      <c r="A1644" s="101" t="s">
        <v>75</v>
      </c>
      <c r="B1644" s="88" t="s">
        <v>712</v>
      </c>
      <c r="C1644" s="102">
        <v>1990</v>
      </c>
      <c r="D1644" s="104">
        <v>894491367</v>
      </c>
      <c r="E1644" s="104">
        <v>1237761805.3199999</v>
      </c>
      <c r="F1644" s="104">
        <v>698740449</v>
      </c>
      <c r="G1644" s="104">
        <v>521619599</v>
      </c>
      <c r="H1644" s="105">
        <f t="shared" si="49"/>
        <v>3352613220.3199997</v>
      </c>
      <c r="I1644" s="103">
        <v>0</v>
      </c>
    </row>
    <row r="1645" spans="1:11">
      <c r="A1645" s="101" t="s">
        <v>75</v>
      </c>
      <c r="B1645" s="88" t="s">
        <v>712</v>
      </c>
      <c r="C1645" s="102">
        <v>1991</v>
      </c>
      <c r="D1645" s="104">
        <v>942705118</v>
      </c>
      <c r="E1645" s="104">
        <v>1153819584</v>
      </c>
      <c r="F1645" s="104">
        <v>779175455</v>
      </c>
      <c r="G1645" s="104">
        <v>668575581</v>
      </c>
      <c r="H1645" s="105">
        <f t="shared" si="49"/>
        <v>3544275738</v>
      </c>
      <c r="I1645" s="103">
        <v>0</v>
      </c>
    </row>
    <row r="1646" spans="1:11">
      <c r="A1646" s="101" t="s">
        <v>75</v>
      </c>
      <c r="B1646" s="88" t="s">
        <v>712</v>
      </c>
      <c r="C1646" s="102">
        <v>1992</v>
      </c>
      <c r="D1646" s="104">
        <v>978983875</v>
      </c>
      <c r="E1646" s="104">
        <v>1242921039.6400001</v>
      </c>
      <c r="F1646" s="104">
        <v>794668027</v>
      </c>
      <c r="G1646" s="104">
        <v>622392323</v>
      </c>
      <c r="H1646" s="105">
        <f t="shared" si="49"/>
        <v>3638965264.6400003</v>
      </c>
      <c r="I1646" s="103">
        <v>0</v>
      </c>
    </row>
    <row r="1647" spans="1:11">
      <c r="A1647" s="101" t="s">
        <v>75</v>
      </c>
      <c r="B1647" s="88" t="s">
        <v>712</v>
      </c>
      <c r="C1647" s="102">
        <v>1993</v>
      </c>
      <c r="D1647" s="104">
        <v>1043427820</v>
      </c>
      <c r="E1647" s="104">
        <v>1103729433</v>
      </c>
      <c r="F1647" s="104">
        <v>858202022</v>
      </c>
      <c r="G1647" s="104">
        <v>691524499</v>
      </c>
      <c r="H1647" s="105">
        <f t="shared" si="49"/>
        <v>3696883774</v>
      </c>
      <c r="I1647" s="103">
        <v>0</v>
      </c>
    </row>
    <row r="1648" spans="1:11">
      <c r="A1648" s="101" t="s">
        <v>75</v>
      </c>
      <c r="B1648" s="88" t="s">
        <v>712</v>
      </c>
      <c r="C1648" s="102">
        <v>1994</v>
      </c>
      <c r="D1648" s="104">
        <v>1124669859</v>
      </c>
      <c r="E1648" s="104">
        <v>1422941443</v>
      </c>
      <c r="F1648" s="104">
        <v>902566719</v>
      </c>
      <c r="G1648" s="104">
        <v>459774576</v>
      </c>
      <c r="H1648" s="105">
        <f t="shared" si="49"/>
        <v>3909952597</v>
      </c>
      <c r="I1648" s="103">
        <v>0</v>
      </c>
    </row>
    <row r="1649" spans="1:10">
      <c r="A1649" s="101" t="s">
        <v>75</v>
      </c>
      <c r="B1649" s="88" t="s">
        <v>712</v>
      </c>
      <c r="C1649" s="102">
        <v>1995</v>
      </c>
      <c r="D1649" s="104">
        <v>1162485889</v>
      </c>
      <c r="E1649" s="104">
        <v>1463600440</v>
      </c>
      <c r="F1649" s="104">
        <v>864885764</v>
      </c>
      <c r="G1649" s="104">
        <v>493225941</v>
      </c>
      <c r="H1649" s="105">
        <f t="shared" si="49"/>
        <v>3984198034</v>
      </c>
      <c r="I1649" s="103">
        <v>0</v>
      </c>
    </row>
    <row r="1650" spans="1:10">
      <c r="A1650" s="101" t="s">
        <v>75</v>
      </c>
      <c r="B1650" s="88" t="s">
        <v>712</v>
      </c>
      <c r="C1650" s="102">
        <v>1996</v>
      </c>
      <c r="D1650" s="104">
        <v>1236711432</v>
      </c>
      <c r="E1650" s="104">
        <v>1266424365</v>
      </c>
      <c r="F1650" s="104">
        <v>905247281</v>
      </c>
      <c r="G1650" s="104">
        <v>369674707</v>
      </c>
      <c r="H1650" s="105">
        <f t="shared" si="49"/>
        <v>3778057785</v>
      </c>
      <c r="I1650" s="103">
        <v>0</v>
      </c>
    </row>
    <row r="1651" spans="1:10">
      <c r="A1651" s="101" t="s">
        <v>75</v>
      </c>
      <c r="B1651" s="88" t="s">
        <v>712</v>
      </c>
      <c r="C1651" s="102">
        <v>1997</v>
      </c>
      <c r="D1651" s="104">
        <v>1242837207</v>
      </c>
      <c r="E1651" s="104">
        <v>1251259432</v>
      </c>
      <c r="F1651" s="104">
        <v>909853333</v>
      </c>
      <c r="G1651" s="104">
        <v>605162364</v>
      </c>
      <c r="H1651" s="105">
        <f t="shared" si="49"/>
        <v>4009112336</v>
      </c>
      <c r="I1651" s="103">
        <v>0</v>
      </c>
    </row>
    <row r="1652" spans="1:10">
      <c r="A1652" s="101" t="s">
        <v>75</v>
      </c>
      <c r="B1652" s="88" t="s">
        <v>712</v>
      </c>
      <c r="C1652" s="102">
        <v>1998</v>
      </c>
      <c r="D1652" s="104">
        <v>1232207831</v>
      </c>
      <c r="E1652" s="104">
        <v>1363392378</v>
      </c>
      <c r="F1652" s="104">
        <v>958797014</v>
      </c>
      <c r="G1652" s="104">
        <v>527811650</v>
      </c>
      <c r="H1652" s="105">
        <f t="shared" si="49"/>
        <v>4082208873</v>
      </c>
      <c r="I1652" s="103">
        <v>0</v>
      </c>
    </row>
    <row r="1653" spans="1:10">
      <c r="A1653" s="101" t="s">
        <v>75</v>
      </c>
      <c r="B1653" s="88" t="s">
        <v>712</v>
      </c>
      <c r="C1653" s="102">
        <v>1999</v>
      </c>
      <c r="D1653" s="104">
        <v>1271654835</v>
      </c>
      <c r="E1653" s="104">
        <v>2316038643</v>
      </c>
      <c r="F1653" s="104">
        <v>1100946533</v>
      </c>
      <c r="G1653" s="104">
        <v>455794281</v>
      </c>
      <c r="H1653" s="105">
        <f t="shared" si="49"/>
        <v>5144434292</v>
      </c>
      <c r="I1653" s="103">
        <v>0</v>
      </c>
    </row>
    <row r="1654" spans="1:10">
      <c r="A1654" s="101" t="s">
        <v>75</v>
      </c>
      <c r="B1654" s="88" t="s">
        <v>712</v>
      </c>
      <c r="C1654" s="102">
        <v>2000</v>
      </c>
      <c r="D1654" s="104">
        <v>1399369958</v>
      </c>
      <c r="E1654" s="104">
        <v>1872146199</v>
      </c>
      <c r="F1654" s="104">
        <v>1106871192</v>
      </c>
      <c r="G1654" s="104">
        <v>395949555</v>
      </c>
      <c r="H1654" s="105">
        <f t="shared" si="49"/>
        <v>4774336904</v>
      </c>
      <c r="I1654" s="103">
        <v>0</v>
      </c>
    </row>
    <row r="1655" spans="1:10">
      <c r="A1655" s="101" t="s">
        <v>75</v>
      </c>
      <c r="B1655" s="88" t="s">
        <v>712</v>
      </c>
      <c r="C1655" s="102">
        <v>2001</v>
      </c>
      <c r="D1655" s="104">
        <v>1371867485</v>
      </c>
      <c r="E1655" s="115">
        <v>2318848681</v>
      </c>
      <c r="F1655" s="104">
        <v>1215145558</v>
      </c>
      <c r="G1655" s="104">
        <v>246709902</v>
      </c>
      <c r="H1655" s="105">
        <f t="shared" si="49"/>
        <v>5152571626</v>
      </c>
      <c r="I1655" s="103">
        <v>23723945</v>
      </c>
      <c r="J1655" s="52" t="s">
        <v>675</v>
      </c>
    </row>
    <row r="1656" spans="1:10">
      <c r="A1656" s="101" t="s">
        <v>75</v>
      </c>
      <c r="B1656" s="88" t="s">
        <v>712</v>
      </c>
      <c r="C1656" s="102">
        <v>2002</v>
      </c>
      <c r="D1656" s="104">
        <v>1527129090</v>
      </c>
      <c r="E1656" s="104">
        <v>3062591423</v>
      </c>
      <c r="F1656" s="104">
        <v>1289837101</v>
      </c>
      <c r="G1656" s="104">
        <v>134508901</v>
      </c>
      <c r="H1656" s="105">
        <f t="shared" si="49"/>
        <v>6014066515</v>
      </c>
      <c r="I1656" s="103">
        <v>30730343</v>
      </c>
      <c r="J1656" s="52" t="s">
        <v>675</v>
      </c>
    </row>
    <row r="1657" spans="1:10">
      <c r="A1657" s="101" t="s">
        <v>75</v>
      </c>
      <c r="B1657" s="88" t="s">
        <v>712</v>
      </c>
      <c r="C1657" s="102">
        <v>2003</v>
      </c>
      <c r="D1657" s="106">
        <v>1539818330</v>
      </c>
      <c r="E1657" s="106">
        <v>2657266249</v>
      </c>
      <c r="F1657" s="106">
        <v>1474547040</v>
      </c>
      <c r="G1657" s="106">
        <v>107950133</v>
      </c>
      <c r="H1657" s="105">
        <f t="shared" si="49"/>
        <v>5779581752</v>
      </c>
      <c r="I1657" s="103">
        <v>30046356</v>
      </c>
      <c r="J1657" s="52" t="s">
        <v>675</v>
      </c>
    </row>
    <row r="1658" spans="1:10">
      <c r="A1658" s="101" t="s">
        <v>75</v>
      </c>
      <c r="B1658" s="88" t="s">
        <v>712</v>
      </c>
      <c r="C1658" s="102">
        <v>2004</v>
      </c>
      <c r="D1658" s="106">
        <v>1543364705</v>
      </c>
      <c r="E1658" s="106">
        <v>2441411809</v>
      </c>
      <c r="F1658" s="106">
        <v>1636749017</v>
      </c>
      <c r="G1658" s="106">
        <v>86959788</v>
      </c>
      <c r="H1658" s="105">
        <f t="shared" si="49"/>
        <v>5708485319</v>
      </c>
      <c r="I1658" s="103">
        <v>199140577</v>
      </c>
      <c r="J1658" s="52" t="s">
        <v>675</v>
      </c>
    </row>
    <row r="1659" spans="1:10">
      <c r="A1659" s="101" t="s">
        <v>75</v>
      </c>
      <c r="B1659" s="88" t="s">
        <v>712</v>
      </c>
      <c r="C1659" s="102">
        <v>2005</v>
      </c>
      <c r="D1659" s="106">
        <v>1658829760</v>
      </c>
      <c r="E1659" s="106">
        <v>1799373465</v>
      </c>
      <c r="F1659" s="106">
        <v>1796449633</v>
      </c>
      <c r="G1659" s="106">
        <v>113316782</v>
      </c>
      <c r="H1659" s="105">
        <f t="shared" si="49"/>
        <v>5367969640</v>
      </c>
      <c r="I1659" s="103">
        <v>13305202</v>
      </c>
      <c r="J1659" s="52" t="s">
        <v>675</v>
      </c>
    </row>
    <row r="1660" spans="1:10">
      <c r="A1660" s="101" t="s">
        <v>75</v>
      </c>
      <c r="B1660" s="88" t="s">
        <v>712</v>
      </c>
      <c r="C1660" s="102">
        <v>2006</v>
      </c>
      <c r="D1660" s="103">
        <v>1674325987</v>
      </c>
      <c r="E1660" s="103">
        <v>1929963560</v>
      </c>
      <c r="F1660" s="103">
        <v>2094078881</v>
      </c>
      <c r="G1660" s="103">
        <v>70571900</v>
      </c>
      <c r="H1660" s="105">
        <f t="shared" si="49"/>
        <v>5768940328</v>
      </c>
      <c r="I1660" s="103">
        <v>51596854</v>
      </c>
      <c r="J1660" s="52" t="s">
        <v>675</v>
      </c>
    </row>
    <row r="1661" spans="1:10">
      <c r="A1661" s="101" t="s">
        <v>75</v>
      </c>
      <c r="B1661" s="88" t="s">
        <v>712</v>
      </c>
      <c r="C1661" s="102">
        <v>2007</v>
      </c>
      <c r="D1661" s="103">
        <v>1692386178</v>
      </c>
      <c r="E1661" s="103">
        <v>2266111280</v>
      </c>
      <c r="F1661" s="103">
        <v>2433202435</v>
      </c>
      <c r="G1661" s="103">
        <v>95548221</v>
      </c>
      <c r="H1661" s="105">
        <f t="shared" si="49"/>
        <v>6487248114</v>
      </c>
      <c r="I1661" s="103">
        <v>109611907</v>
      </c>
      <c r="J1661" s="52" t="s">
        <v>675</v>
      </c>
    </row>
    <row r="1662" spans="1:10">
      <c r="A1662" s="101" t="s">
        <v>75</v>
      </c>
      <c r="B1662" s="88" t="s">
        <v>712</v>
      </c>
      <c r="C1662" s="102">
        <v>2008</v>
      </c>
      <c r="D1662" s="103">
        <v>1731890072</v>
      </c>
      <c r="E1662" s="103">
        <v>2950403754</v>
      </c>
      <c r="F1662" s="103">
        <v>2668272497</v>
      </c>
      <c r="G1662" s="103">
        <v>79422446</v>
      </c>
      <c r="H1662" s="105">
        <f t="shared" si="49"/>
        <v>7429988769</v>
      </c>
      <c r="I1662" s="103">
        <v>54436032</v>
      </c>
      <c r="J1662" s="52" t="s">
        <v>675</v>
      </c>
    </row>
    <row r="1663" spans="1:10">
      <c r="A1663" s="101" t="s">
        <v>75</v>
      </c>
      <c r="B1663" s="88" t="s">
        <v>712</v>
      </c>
      <c r="C1663" s="102">
        <v>2009</v>
      </c>
      <c r="D1663" s="103">
        <v>1864454247</v>
      </c>
      <c r="E1663" s="103">
        <v>2978714074</v>
      </c>
      <c r="F1663" s="103">
        <v>2765847273</v>
      </c>
      <c r="G1663" s="103">
        <v>91135205</v>
      </c>
      <c r="H1663" s="105">
        <f t="shared" si="49"/>
        <v>7700150799</v>
      </c>
      <c r="I1663" s="103">
        <v>62422429</v>
      </c>
      <c r="J1663" s="52" t="s">
        <v>675</v>
      </c>
    </row>
    <row r="1664" spans="1:10">
      <c r="A1664" s="101" t="s">
        <v>75</v>
      </c>
      <c r="B1664" s="88" t="s">
        <v>712</v>
      </c>
      <c r="C1664" s="102">
        <v>2010</v>
      </c>
      <c r="D1664" s="103">
        <v>1954403996</v>
      </c>
      <c r="E1664" s="103">
        <v>2823129275</v>
      </c>
      <c r="F1664" s="103">
        <v>2902109855</v>
      </c>
      <c r="G1664" s="103">
        <v>59491573</v>
      </c>
      <c r="H1664" s="105">
        <f t="shared" si="49"/>
        <v>7739134699</v>
      </c>
      <c r="I1664" s="103">
        <v>64086928</v>
      </c>
      <c r="J1664" s="52" t="s">
        <v>675</v>
      </c>
    </row>
    <row r="1665" spans="1:10">
      <c r="A1665" s="101" t="s">
        <v>75</v>
      </c>
      <c r="B1665" s="88" t="s">
        <v>712</v>
      </c>
      <c r="C1665" s="102">
        <v>2011</v>
      </c>
      <c r="D1665" s="103">
        <v>2019440686</v>
      </c>
      <c r="E1665" s="103">
        <v>2628272514</v>
      </c>
      <c r="F1665" s="103">
        <v>3747407935</v>
      </c>
      <c r="G1665" s="103">
        <v>135034467</v>
      </c>
      <c r="H1665" s="105">
        <f t="shared" si="49"/>
        <v>8530155602</v>
      </c>
      <c r="I1665" s="103">
        <v>43211320</v>
      </c>
      <c r="J1665" s="52" t="s">
        <v>675</v>
      </c>
    </row>
    <row r="1666" spans="1:10">
      <c r="A1666" s="101" t="s">
        <v>75</v>
      </c>
      <c r="B1666" s="88" t="s">
        <v>712</v>
      </c>
      <c r="C1666" s="102">
        <v>2012</v>
      </c>
      <c r="D1666" s="103">
        <v>2220767201</v>
      </c>
      <c r="E1666" s="103">
        <v>2613119780</v>
      </c>
      <c r="F1666" s="103">
        <v>2688872525</v>
      </c>
      <c r="G1666" s="103">
        <v>68544498</v>
      </c>
      <c r="H1666" s="105">
        <f t="shared" si="49"/>
        <v>7591304004</v>
      </c>
      <c r="I1666" s="103">
        <v>60246443</v>
      </c>
      <c r="J1666" s="52" t="s">
        <v>675</v>
      </c>
    </row>
    <row r="1667" spans="1:10">
      <c r="A1667" s="101" t="s">
        <v>75</v>
      </c>
      <c r="B1667" s="88" t="s">
        <v>712</v>
      </c>
      <c r="C1667" s="102">
        <v>2013</v>
      </c>
      <c r="D1667" s="103">
        <v>2266307486</v>
      </c>
      <c r="E1667" s="103">
        <v>2646323064</v>
      </c>
      <c r="F1667" s="103">
        <v>2922487381</v>
      </c>
      <c r="G1667" s="103">
        <v>108203293</v>
      </c>
      <c r="H1667" s="105">
        <f t="shared" si="49"/>
        <v>7943321224</v>
      </c>
      <c r="I1667" s="103">
        <v>57026441</v>
      </c>
      <c r="J1667" s="52" t="s">
        <v>675</v>
      </c>
    </row>
    <row r="1668" spans="1:10">
      <c r="A1668" s="101" t="s">
        <v>75</v>
      </c>
      <c r="B1668" s="88" t="s">
        <v>712</v>
      </c>
      <c r="C1668" s="102">
        <v>2014</v>
      </c>
      <c r="D1668" s="103">
        <v>2280689379</v>
      </c>
      <c r="E1668" s="103">
        <v>3012984185</v>
      </c>
      <c r="F1668" s="103">
        <v>3067648111</v>
      </c>
      <c r="G1668" s="103">
        <v>97981020</v>
      </c>
      <c r="H1668" s="105">
        <f t="shared" si="49"/>
        <v>8459302695</v>
      </c>
      <c r="I1668" s="103">
        <v>181265388</v>
      </c>
      <c r="J1668" s="52" t="s">
        <v>675</v>
      </c>
    </row>
    <row r="1669" spans="1:10">
      <c r="A1669" s="101" t="s">
        <v>75</v>
      </c>
      <c r="B1669" s="88" t="s">
        <v>712</v>
      </c>
      <c r="C1669" s="102">
        <v>2015</v>
      </c>
      <c r="D1669" s="103">
        <v>2363664860</v>
      </c>
      <c r="E1669" s="103">
        <v>3304830007</v>
      </c>
      <c r="F1669" s="103">
        <v>3534528722</v>
      </c>
      <c r="G1669" s="103">
        <v>156309311</v>
      </c>
      <c r="H1669" s="105">
        <f t="shared" si="49"/>
        <v>9359332900</v>
      </c>
      <c r="I1669" s="103">
        <v>156891266</v>
      </c>
      <c r="J1669" s="52" t="s">
        <v>675</v>
      </c>
    </row>
    <row r="1670" spans="1:10">
      <c r="A1670" s="101" t="s">
        <v>75</v>
      </c>
      <c r="B1670" s="88" t="s">
        <v>712</v>
      </c>
      <c r="C1670" s="102">
        <v>2016</v>
      </c>
      <c r="D1670" s="103">
        <v>2521207207</v>
      </c>
      <c r="E1670" s="103">
        <v>3574971552</v>
      </c>
      <c r="F1670" s="103">
        <v>3109214306</v>
      </c>
      <c r="G1670" s="103">
        <v>157124370</v>
      </c>
      <c r="H1670" s="105">
        <f t="shared" si="49"/>
        <v>9362517435</v>
      </c>
      <c r="I1670" s="103">
        <v>266478545</v>
      </c>
      <c r="J1670" s="52" t="s">
        <v>675</v>
      </c>
    </row>
    <row r="1671" spans="1:10">
      <c r="A1671" s="101" t="s">
        <v>75</v>
      </c>
      <c r="B1671" s="88" t="s">
        <v>712</v>
      </c>
      <c r="C1671" s="102">
        <v>2017</v>
      </c>
      <c r="D1671" s="103">
        <v>2560571203</v>
      </c>
      <c r="E1671" s="103">
        <v>3696175706</v>
      </c>
      <c r="F1671" s="103">
        <v>2574635733</v>
      </c>
      <c r="G1671" s="103">
        <v>191655840</v>
      </c>
      <c r="H1671" s="105">
        <f t="shared" si="49"/>
        <v>9023038482</v>
      </c>
      <c r="I1671" s="103">
        <v>205307690</v>
      </c>
      <c r="J1671" s="52" t="s">
        <v>675</v>
      </c>
    </row>
    <row r="1672" spans="1:10">
      <c r="A1672" s="101" t="s">
        <v>75</v>
      </c>
      <c r="B1672" s="88" t="s">
        <v>712</v>
      </c>
      <c r="C1672" s="102">
        <v>2018</v>
      </c>
      <c r="D1672" s="103">
        <v>2646136359</v>
      </c>
      <c r="E1672" s="103">
        <v>4163485045</v>
      </c>
      <c r="F1672" s="103">
        <v>2820521067.29</v>
      </c>
      <c r="G1672" s="103">
        <v>144011203</v>
      </c>
      <c r="H1672" s="105">
        <f t="shared" si="49"/>
        <v>9774153674.2900009</v>
      </c>
      <c r="I1672" s="103">
        <v>111461799</v>
      </c>
      <c r="J1672" s="52" t="s">
        <v>675</v>
      </c>
    </row>
    <row r="1673" spans="1:10">
      <c r="A1673" s="101" t="s">
        <v>75</v>
      </c>
      <c r="B1673" s="88" t="s">
        <v>712</v>
      </c>
      <c r="C1673" s="102">
        <v>2019</v>
      </c>
      <c r="D1673" s="103">
        <v>2760717548</v>
      </c>
      <c r="E1673" s="103">
        <v>4681629869</v>
      </c>
      <c r="F1673" s="103">
        <v>2925472238.5100002</v>
      </c>
      <c r="G1673" s="103">
        <v>142414388</v>
      </c>
      <c r="H1673" s="105">
        <f t="shared" si="49"/>
        <v>10510234043.51</v>
      </c>
      <c r="I1673" s="103">
        <v>113437641</v>
      </c>
      <c r="J1673" s="52" t="s">
        <v>675</v>
      </c>
    </row>
    <row r="1674" spans="1:10">
      <c r="A1674" s="101" t="s">
        <v>75</v>
      </c>
      <c r="B1674" s="88" t="s">
        <v>712</v>
      </c>
      <c r="C1674" s="102">
        <v>2020</v>
      </c>
      <c r="D1674" s="103">
        <v>2828570311</v>
      </c>
      <c r="E1674" s="103">
        <v>4551921834</v>
      </c>
      <c r="F1674" s="103">
        <v>2610716661</v>
      </c>
      <c r="G1674" s="103">
        <v>191024688</v>
      </c>
      <c r="H1674" s="105">
        <f t="shared" si="49"/>
        <v>10182233494</v>
      </c>
      <c r="I1674" s="103">
        <v>166310230</v>
      </c>
      <c r="J1674" s="52" t="s">
        <v>675</v>
      </c>
    </row>
    <row r="1675" spans="1:10">
      <c r="A1675" s="101"/>
      <c r="B1675" s="107"/>
      <c r="D1675" s="104"/>
      <c r="E1675" s="104"/>
      <c r="F1675" s="104"/>
      <c r="G1675" s="104"/>
      <c r="H1675" s="103"/>
      <c r="I1675" s="103"/>
    </row>
    <row r="1676" spans="1:10">
      <c r="A1676" s="101" t="s">
        <v>76</v>
      </c>
      <c r="B1676" s="88" t="s">
        <v>430</v>
      </c>
      <c r="C1676" s="102">
        <v>1988</v>
      </c>
      <c r="D1676" s="104">
        <v>319827097</v>
      </c>
      <c r="E1676" s="104">
        <v>211836963</v>
      </c>
      <c r="F1676" s="104">
        <v>350969222</v>
      </c>
      <c r="G1676" s="104">
        <v>0</v>
      </c>
      <c r="H1676" s="105">
        <f>SUM(D1676:G1676)</f>
        <v>882633282</v>
      </c>
      <c r="I1676" s="103">
        <v>0</v>
      </c>
    </row>
    <row r="1677" spans="1:10">
      <c r="A1677" s="101" t="s">
        <v>76</v>
      </c>
      <c r="B1677" s="88" t="s">
        <v>430</v>
      </c>
      <c r="C1677" s="102">
        <v>1989</v>
      </c>
      <c r="D1677" s="104">
        <v>321654307</v>
      </c>
      <c r="E1677" s="104">
        <v>219131663</v>
      </c>
      <c r="F1677" s="104">
        <v>371883149</v>
      </c>
      <c r="G1677" s="104">
        <v>0</v>
      </c>
      <c r="H1677" s="105">
        <f t="shared" ref="H1677:H1708" si="50">SUM(D1677:G1677)</f>
        <v>912669119</v>
      </c>
      <c r="I1677" s="103">
        <v>0</v>
      </c>
    </row>
    <row r="1678" spans="1:10">
      <c r="A1678" s="101" t="s">
        <v>76</v>
      </c>
      <c r="B1678" s="88" t="s">
        <v>430</v>
      </c>
      <c r="C1678" s="102">
        <v>1990</v>
      </c>
      <c r="D1678" s="104">
        <v>325388423</v>
      </c>
      <c r="E1678" s="104">
        <v>219521543.72</v>
      </c>
      <c r="F1678" s="104">
        <v>456136849</v>
      </c>
      <c r="G1678" s="104">
        <v>0</v>
      </c>
      <c r="H1678" s="105">
        <f t="shared" si="50"/>
        <v>1001046815.72</v>
      </c>
      <c r="I1678" s="103">
        <v>0</v>
      </c>
    </row>
    <row r="1679" spans="1:10">
      <c r="A1679" s="101" t="s">
        <v>76</v>
      </c>
      <c r="B1679" s="88" t="s">
        <v>430</v>
      </c>
      <c r="C1679" s="102">
        <v>1991</v>
      </c>
      <c r="D1679" s="104">
        <v>368245037</v>
      </c>
      <c r="E1679" s="104">
        <v>210735750</v>
      </c>
      <c r="F1679" s="104">
        <v>502025018</v>
      </c>
      <c r="G1679" s="104">
        <v>0</v>
      </c>
      <c r="H1679" s="105">
        <f t="shared" si="50"/>
        <v>1081005805</v>
      </c>
      <c r="I1679" s="103">
        <v>0</v>
      </c>
    </row>
    <row r="1680" spans="1:10">
      <c r="A1680" s="101" t="s">
        <v>76</v>
      </c>
      <c r="B1680" s="88" t="s">
        <v>430</v>
      </c>
      <c r="C1680" s="102">
        <v>1992</v>
      </c>
      <c r="D1680" s="104">
        <v>376679927</v>
      </c>
      <c r="E1680" s="104">
        <v>242273021.44</v>
      </c>
      <c r="F1680" s="104">
        <v>512768938</v>
      </c>
      <c r="G1680" s="104">
        <v>0</v>
      </c>
      <c r="H1680" s="105">
        <f t="shared" si="50"/>
        <v>1131721886.4400001</v>
      </c>
      <c r="I1680" s="103">
        <v>0</v>
      </c>
    </row>
    <row r="1681" spans="1:9">
      <c r="A1681" s="101" t="s">
        <v>76</v>
      </c>
      <c r="B1681" s="88" t="s">
        <v>430</v>
      </c>
      <c r="C1681" s="102">
        <v>1993</v>
      </c>
      <c r="D1681" s="104">
        <v>385572008</v>
      </c>
      <c r="E1681" s="104">
        <v>213513375</v>
      </c>
      <c r="F1681" s="104">
        <v>532791316</v>
      </c>
      <c r="G1681" s="104">
        <v>37437552</v>
      </c>
      <c r="H1681" s="105">
        <f t="shared" si="50"/>
        <v>1169314251</v>
      </c>
      <c r="I1681" s="103">
        <v>0</v>
      </c>
    </row>
    <row r="1682" spans="1:9">
      <c r="A1682" s="101" t="s">
        <v>76</v>
      </c>
      <c r="B1682" s="88" t="s">
        <v>430</v>
      </c>
      <c r="C1682" s="102">
        <v>1994</v>
      </c>
      <c r="D1682" s="104">
        <v>401468979</v>
      </c>
      <c r="E1682" s="104">
        <v>296839571</v>
      </c>
      <c r="F1682" s="104">
        <v>536393798</v>
      </c>
      <c r="G1682" s="104">
        <v>7407963</v>
      </c>
      <c r="H1682" s="105">
        <f t="shared" si="50"/>
        <v>1242110311</v>
      </c>
      <c r="I1682" s="103">
        <v>0</v>
      </c>
    </row>
    <row r="1683" spans="1:9">
      <c r="A1683" s="101" t="s">
        <v>76</v>
      </c>
      <c r="B1683" s="88" t="s">
        <v>430</v>
      </c>
      <c r="C1683" s="102">
        <v>1995</v>
      </c>
      <c r="D1683" s="104">
        <v>432912350</v>
      </c>
      <c r="E1683" s="104">
        <v>336766379</v>
      </c>
      <c r="F1683" s="104">
        <v>534013201</v>
      </c>
      <c r="G1683" s="104">
        <v>47207038</v>
      </c>
      <c r="H1683" s="105">
        <f t="shared" si="50"/>
        <v>1350898968</v>
      </c>
      <c r="I1683" s="103">
        <v>0</v>
      </c>
    </row>
    <row r="1684" spans="1:9">
      <c r="A1684" s="101" t="s">
        <v>76</v>
      </c>
      <c r="B1684" s="88" t="s">
        <v>430</v>
      </c>
      <c r="C1684" s="102">
        <v>1996</v>
      </c>
      <c r="D1684" s="104">
        <v>406121463</v>
      </c>
      <c r="E1684" s="104">
        <v>268629892</v>
      </c>
      <c r="F1684" s="104">
        <v>565547539</v>
      </c>
      <c r="G1684" s="104">
        <v>24256408</v>
      </c>
      <c r="H1684" s="105">
        <f t="shared" si="50"/>
        <v>1264555302</v>
      </c>
      <c r="I1684" s="103">
        <v>0</v>
      </c>
    </row>
    <row r="1685" spans="1:9">
      <c r="A1685" s="101" t="s">
        <v>76</v>
      </c>
      <c r="B1685" s="88" t="s">
        <v>430</v>
      </c>
      <c r="C1685" s="102">
        <v>1997</v>
      </c>
      <c r="D1685" s="104">
        <v>450394807</v>
      </c>
      <c r="E1685" s="104">
        <v>247316630</v>
      </c>
      <c r="F1685" s="104">
        <v>574590966</v>
      </c>
      <c r="G1685" s="104">
        <v>24959051</v>
      </c>
      <c r="H1685" s="105">
        <f t="shared" si="50"/>
        <v>1297261454</v>
      </c>
      <c r="I1685" s="103">
        <v>0</v>
      </c>
    </row>
    <row r="1686" spans="1:9">
      <c r="A1686" s="101" t="s">
        <v>76</v>
      </c>
      <c r="B1686" s="88" t="s">
        <v>430</v>
      </c>
      <c r="C1686" s="102">
        <v>1998</v>
      </c>
      <c r="D1686" s="104">
        <v>425880377</v>
      </c>
      <c r="E1686" s="104">
        <v>234904435</v>
      </c>
      <c r="F1686" s="104">
        <v>598353464</v>
      </c>
      <c r="G1686" s="104">
        <v>39620560</v>
      </c>
      <c r="H1686" s="105">
        <f t="shared" si="50"/>
        <v>1298758836</v>
      </c>
      <c r="I1686" s="103">
        <v>0</v>
      </c>
    </row>
    <row r="1687" spans="1:9">
      <c r="A1687" s="101" t="s">
        <v>76</v>
      </c>
      <c r="B1687" s="88" t="s">
        <v>430</v>
      </c>
      <c r="C1687" s="102">
        <v>1999</v>
      </c>
      <c r="D1687" s="104">
        <v>439607030</v>
      </c>
      <c r="E1687" s="104">
        <v>358157424</v>
      </c>
      <c r="F1687" s="104">
        <v>632570244</v>
      </c>
      <c r="G1687" s="104">
        <v>24780900</v>
      </c>
      <c r="H1687" s="105">
        <f t="shared" si="50"/>
        <v>1455115598</v>
      </c>
      <c r="I1687" s="103">
        <v>0</v>
      </c>
    </row>
    <row r="1688" spans="1:9">
      <c r="A1688" s="101" t="s">
        <v>76</v>
      </c>
      <c r="B1688" s="88" t="s">
        <v>430</v>
      </c>
      <c r="C1688" s="102">
        <v>2000</v>
      </c>
      <c r="D1688" s="104">
        <v>421738324</v>
      </c>
      <c r="E1688" s="104">
        <v>465418152</v>
      </c>
      <c r="F1688" s="104">
        <v>769156991</v>
      </c>
      <c r="G1688" s="104">
        <v>48703323</v>
      </c>
      <c r="H1688" s="105">
        <f t="shared" si="50"/>
        <v>1705016790</v>
      </c>
      <c r="I1688" s="103">
        <v>0</v>
      </c>
    </row>
    <row r="1689" spans="1:9">
      <c r="A1689" s="101" t="s">
        <v>76</v>
      </c>
      <c r="B1689" s="88" t="s">
        <v>430</v>
      </c>
      <c r="C1689" s="102">
        <v>2001</v>
      </c>
      <c r="D1689" s="104">
        <v>443160277</v>
      </c>
      <c r="E1689" s="104">
        <v>551473481</v>
      </c>
      <c r="F1689" s="104">
        <v>715831125</v>
      </c>
      <c r="G1689" s="104">
        <v>37221022</v>
      </c>
      <c r="H1689" s="105">
        <f t="shared" si="50"/>
        <v>1747685905</v>
      </c>
      <c r="I1689" s="103">
        <v>0</v>
      </c>
    </row>
    <row r="1690" spans="1:9">
      <c r="A1690" s="101" t="s">
        <v>76</v>
      </c>
      <c r="B1690" s="88" t="s">
        <v>430</v>
      </c>
      <c r="C1690" s="102">
        <v>2002</v>
      </c>
      <c r="D1690" s="104">
        <v>457602656</v>
      </c>
      <c r="E1690" s="104">
        <v>736784338</v>
      </c>
      <c r="F1690" s="104">
        <v>747998515</v>
      </c>
      <c r="G1690" s="104">
        <v>50596014</v>
      </c>
      <c r="H1690" s="105">
        <f t="shared" si="50"/>
        <v>1992981523</v>
      </c>
      <c r="I1690" s="103">
        <v>0</v>
      </c>
    </row>
    <row r="1691" spans="1:9">
      <c r="A1691" s="101" t="s">
        <v>76</v>
      </c>
      <c r="B1691" s="88" t="s">
        <v>430</v>
      </c>
      <c r="C1691" s="102">
        <v>2003</v>
      </c>
      <c r="D1691" s="106">
        <v>525934077</v>
      </c>
      <c r="E1691" s="106">
        <v>674311246</v>
      </c>
      <c r="F1691" s="106">
        <v>807594236</v>
      </c>
      <c r="G1691" s="106">
        <v>46897551</v>
      </c>
      <c r="H1691" s="105">
        <f t="shared" si="50"/>
        <v>2054737110</v>
      </c>
      <c r="I1691" s="103">
        <v>0</v>
      </c>
    </row>
    <row r="1692" spans="1:9">
      <c r="A1692" s="101" t="s">
        <v>76</v>
      </c>
      <c r="B1692" s="88" t="s">
        <v>430</v>
      </c>
      <c r="C1692" s="102">
        <v>2004</v>
      </c>
      <c r="D1692" s="106">
        <v>476263138</v>
      </c>
      <c r="E1692" s="106">
        <v>666732372</v>
      </c>
      <c r="F1692" s="106">
        <v>892259815</v>
      </c>
      <c r="G1692" s="106">
        <v>45922666</v>
      </c>
      <c r="H1692" s="105">
        <f t="shared" si="50"/>
        <v>2081177991</v>
      </c>
      <c r="I1692" s="103">
        <v>0</v>
      </c>
    </row>
    <row r="1693" spans="1:9">
      <c r="A1693" s="101" t="s">
        <v>76</v>
      </c>
      <c r="B1693" s="88" t="s">
        <v>430</v>
      </c>
      <c r="C1693" s="102">
        <v>2005</v>
      </c>
      <c r="D1693" s="106">
        <v>470023326</v>
      </c>
      <c r="E1693" s="106">
        <v>647375811</v>
      </c>
      <c r="F1693" s="106">
        <v>923470263.58999896</v>
      </c>
      <c r="G1693" s="106">
        <v>21479212</v>
      </c>
      <c r="H1693" s="105">
        <f t="shared" si="50"/>
        <v>2062348612.589999</v>
      </c>
      <c r="I1693" s="103">
        <v>0</v>
      </c>
    </row>
    <row r="1694" spans="1:9">
      <c r="A1694" s="101" t="s">
        <v>76</v>
      </c>
      <c r="B1694" s="88" t="s">
        <v>430</v>
      </c>
      <c r="C1694" s="102">
        <v>2006</v>
      </c>
      <c r="D1694" s="103">
        <v>479336054</v>
      </c>
      <c r="E1694" s="103">
        <v>678944503</v>
      </c>
      <c r="F1694" s="103">
        <v>1087344005</v>
      </c>
      <c r="G1694" s="103">
        <v>24705628</v>
      </c>
      <c r="H1694" s="105">
        <f t="shared" si="50"/>
        <v>2270330190</v>
      </c>
      <c r="I1694" s="103">
        <v>0</v>
      </c>
    </row>
    <row r="1695" spans="1:9">
      <c r="A1695" s="101" t="s">
        <v>76</v>
      </c>
      <c r="B1695" s="88" t="s">
        <v>430</v>
      </c>
      <c r="C1695" s="102">
        <v>2007</v>
      </c>
      <c r="D1695" s="103">
        <v>520140818</v>
      </c>
      <c r="E1695" s="103">
        <v>701143273</v>
      </c>
      <c r="F1695" s="103">
        <v>1559329552</v>
      </c>
      <c r="G1695" s="103">
        <v>57378516</v>
      </c>
      <c r="H1695" s="105">
        <f t="shared" si="50"/>
        <v>2837992159</v>
      </c>
      <c r="I1695" s="103">
        <v>0</v>
      </c>
    </row>
    <row r="1696" spans="1:9">
      <c r="A1696" s="101" t="s">
        <v>76</v>
      </c>
      <c r="B1696" s="88" t="s">
        <v>430</v>
      </c>
      <c r="C1696" s="102">
        <v>2008</v>
      </c>
      <c r="D1696" s="103">
        <v>548503131</v>
      </c>
      <c r="E1696" s="103">
        <v>960924016</v>
      </c>
      <c r="F1696" s="103">
        <v>1846642203</v>
      </c>
      <c r="G1696" s="103">
        <v>19611140</v>
      </c>
      <c r="H1696" s="105">
        <f t="shared" si="50"/>
        <v>3375680490</v>
      </c>
      <c r="I1696" s="103">
        <v>0</v>
      </c>
    </row>
    <row r="1697" spans="1:11">
      <c r="A1697" s="101" t="s">
        <v>76</v>
      </c>
      <c r="B1697" s="88" t="s">
        <v>430</v>
      </c>
      <c r="C1697" s="102">
        <v>2009</v>
      </c>
      <c r="D1697" s="103">
        <v>581361665</v>
      </c>
      <c r="E1697" s="103">
        <v>940916116</v>
      </c>
      <c r="F1697" s="103">
        <v>2023840771</v>
      </c>
      <c r="G1697" s="103">
        <v>23047060</v>
      </c>
      <c r="H1697" s="105">
        <f t="shared" si="50"/>
        <v>3569165612</v>
      </c>
      <c r="I1697" s="103">
        <v>0</v>
      </c>
    </row>
    <row r="1698" spans="1:11">
      <c r="A1698" s="101" t="s">
        <v>76</v>
      </c>
      <c r="B1698" s="88" t="s">
        <v>430</v>
      </c>
      <c r="C1698" s="102">
        <v>2010</v>
      </c>
      <c r="D1698" s="103">
        <v>606575632</v>
      </c>
      <c r="E1698" s="103">
        <v>792995584</v>
      </c>
      <c r="F1698" s="103">
        <v>1602643704</v>
      </c>
      <c r="G1698" s="103">
        <v>15715445</v>
      </c>
      <c r="H1698" s="105">
        <f t="shared" si="50"/>
        <v>3017930365</v>
      </c>
      <c r="I1698" s="103">
        <v>0</v>
      </c>
    </row>
    <row r="1699" spans="1:11">
      <c r="A1699" s="101" t="s">
        <v>76</v>
      </c>
      <c r="B1699" s="88" t="s">
        <v>430</v>
      </c>
      <c r="C1699" s="102">
        <v>2011</v>
      </c>
      <c r="D1699" s="103">
        <v>628744324</v>
      </c>
      <c r="E1699" s="103">
        <v>824314782</v>
      </c>
      <c r="F1699" s="103">
        <v>1254826753</v>
      </c>
      <c r="G1699" s="103">
        <v>24984765</v>
      </c>
      <c r="H1699" s="105">
        <f t="shared" si="50"/>
        <v>2732870624</v>
      </c>
      <c r="I1699" s="103">
        <v>3632716</v>
      </c>
      <c r="J1699" s="52" t="s">
        <v>675</v>
      </c>
    </row>
    <row r="1700" spans="1:11">
      <c r="A1700" s="101" t="s">
        <v>76</v>
      </c>
      <c r="B1700" s="88" t="s">
        <v>430</v>
      </c>
      <c r="C1700" s="102">
        <v>2012</v>
      </c>
      <c r="D1700" s="103">
        <v>626118704</v>
      </c>
      <c r="E1700" s="103">
        <v>898080117</v>
      </c>
      <c r="F1700" s="103">
        <v>1393808305</v>
      </c>
      <c r="G1700" s="103">
        <v>33949473</v>
      </c>
      <c r="H1700" s="105">
        <f t="shared" si="50"/>
        <v>2951956599</v>
      </c>
      <c r="I1700" s="103">
        <v>2750453</v>
      </c>
      <c r="J1700" s="52" t="s">
        <v>675</v>
      </c>
    </row>
    <row r="1701" spans="1:11">
      <c r="A1701" s="101" t="s">
        <v>76</v>
      </c>
      <c r="B1701" s="88" t="s">
        <v>430</v>
      </c>
      <c r="C1701" s="102">
        <v>2013</v>
      </c>
      <c r="D1701" s="103">
        <v>632457585</v>
      </c>
      <c r="E1701" s="103">
        <v>751590817</v>
      </c>
      <c r="F1701" s="103">
        <v>1266820246</v>
      </c>
      <c r="G1701" s="103">
        <v>59664335</v>
      </c>
      <c r="H1701" s="105">
        <f t="shared" si="50"/>
        <v>2710532983</v>
      </c>
      <c r="I1701" s="103">
        <v>2913488</v>
      </c>
      <c r="J1701" s="52" t="s">
        <v>675</v>
      </c>
    </row>
    <row r="1702" spans="1:11">
      <c r="A1702" s="101" t="s">
        <v>76</v>
      </c>
      <c r="B1702" s="88" t="s">
        <v>430</v>
      </c>
      <c r="C1702" s="102">
        <v>2014</v>
      </c>
      <c r="D1702" s="103">
        <v>621385857</v>
      </c>
      <c r="E1702" s="103">
        <v>871970824</v>
      </c>
      <c r="F1702" s="103">
        <v>1321618288</v>
      </c>
      <c r="G1702" s="103">
        <v>27821019</v>
      </c>
      <c r="H1702" s="105">
        <f t="shared" si="50"/>
        <v>2842795988</v>
      </c>
      <c r="I1702" s="103">
        <v>39812615</v>
      </c>
      <c r="J1702" s="52" t="s">
        <v>675</v>
      </c>
    </row>
    <row r="1703" spans="1:11">
      <c r="A1703" s="101" t="s">
        <v>76</v>
      </c>
      <c r="B1703" s="88" t="s">
        <v>430</v>
      </c>
      <c r="C1703" s="102">
        <v>2015</v>
      </c>
      <c r="D1703" s="103">
        <v>647884105</v>
      </c>
      <c r="E1703" s="103">
        <v>928364711</v>
      </c>
      <c r="F1703" s="103">
        <v>1358830261</v>
      </c>
      <c r="G1703" s="103">
        <v>26525285</v>
      </c>
      <c r="H1703" s="105">
        <f t="shared" si="50"/>
        <v>2961604362</v>
      </c>
      <c r="I1703" s="103">
        <v>22554247</v>
      </c>
      <c r="J1703" s="52" t="s">
        <v>675</v>
      </c>
    </row>
    <row r="1704" spans="1:11">
      <c r="A1704" s="101" t="s">
        <v>76</v>
      </c>
      <c r="B1704" s="88" t="s">
        <v>430</v>
      </c>
      <c r="C1704" s="102">
        <v>2016</v>
      </c>
      <c r="D1704" s="103">
        <v>620869620</v>
      </c>
      <c r="E1704" s="103">
        <v>1145015602</v>
      </c>
      <c r="F1704" s="103">
        <v>1437658314</v>
      </c>
      <c r="G1704" s="103">
        <v>34588604</v>
      </c>
      <c r="H1704" s="105">
        <f t="shared" si="50"/>
        <v>3238132140</v>
      </c>
      <c r="I1704" s="103">
        <v>14624609</v>
      </c>
      <c r="J1704" s="52" t="s">
        <v>675</v>
      </c>
    </row>
    <row r="1705" spans="1:11">
      <c r="A1705" s="101" t="s">
        <v>76</v>
      </c>
      <c r="B1705" s="88" t="s">
        <v>430</v>
      </c>
      <c r="C1705" s="102">
        <v>2017</v>
      </c>
      <c r="D1705" s="103">
        <v>652582690</v>
      </c>
      <c r="E1705" s="103">
        <v>917032089</v>
      </c>
      <c r="F1705" s="103">
        <v>1457337254</v>
      </c>
      <c r="G1705" s="103">
        <v>7490369</v>
      </c>
      <c r="H1705" s="105">
        <f t="shared" si="50"/>
        <v>3034442402</v>
      </c>
      <c r="I1705" s="103">
        <v>7713882</v>
      </c>
      <c r="J1705" s="52" t="s">
        <v>675</v>
      </c>
    </row>
    <row r="1706" spans="1:11">
      <c r="A1706" s="101" t="s">
        <v>76</v>
      </c>
      <c r="B1706" s="88" t="s">
        <v>430</v>
      </c>
      <c r="C1706" s="102">
        <v>2018</v>
      </c>
      <c r="D1706" s="103">
        <v>655563565</v>
      </c>
      <c r="E1706" s="103">
        <v>1052164060</v>
      </c>
      <c r="F1706" s="103">
        <v>1623204148.28</v>
      </c>
      <c r="G1706" s="103">
        <v>12205993</v>
      </c>
      <c r="H1706" s="105">
        <f t="shared" si="50"/>
        <v>3343137766.2799997</v>
      </c>
      <c r="I1706" s="103">
        <v>11501863</v>
      </c>
      <c r="J1706" s="87" t="s">
        <v>676</v>
      </c>
      <c r="K1706" s="52" t="s">
        <v>677</v>
      </c>
    </row>
    <row r="1707" spans="1:11">
      <c r="A1707" s="101" t="s">
        <v>76</v>
      </c>
      <c r="B1707" s="88" t="s">
        <v>430</v>
      </c>
      <c r="C1707" s="102">
        <v>2019</v>
      </c>
      <c r="D1707" s="103">
        <v>660901675</v>
      </c>
      <c r="E1707" s="103">
        <v>1075409692</v>
      </c>
      <c r="F1707" s="103">
        <v>1636226769.4137001</v>
      </c>
      <c r="G1707" s="103">
        <v>24046746</v>
      </c>
      <c r="H1707" s="105">
        <f t="shared" si="50"/>
        <v>3396584882.4137001</v>
      </c>
      <c r="I1707" s="103">
        <v>11622861</v>
      </c>
      <c r="J1707" s="109" t="s">
        <v>678</v>
      </c>
    </row>
    <row r="1708" spans="1:11">
      <c r="A1708" s="101" t="s">
        <v>76</v>
      </c>
      <c r="B1708" s="88" t="s">
        <v>430</v>
      </c>
      <c r="C1708" s="102">
        <v>2020</v>
      </c>
      <c r="D1708" s="103">
        <v>666454550</v>
      </c>
      <c r="E1708" s="103">
        <v>1091644294</v>
      </c>
      <c r="F1708" s="103">
        <v>1641809453</v>
      </c>
      <c r="G1708" s="103">
        <v>34578815</v>
      </c>
      <c r="H1708" s="105">
        <f t="shared" si="50"/>
        <v>3434487112</v>
      </c>
      <c r="I1708" s="103">
        <v>20394331</v>
      </c>
      <c r="J1708" s="109" t="s">
        <v>678</v>
      </c>
    </row>
    <row r="1709" spans="1:11">
      <c r="A1709" s="101"/>
      <c r="B1709" s="107"/>
      <c r="D1709" s="104"/>
      <c r="E1709" s="104"/>
      <c r="F1709" s="104"/>
      <c r="G1709" s="104"/>
      <c r="H1709" s="103"/>
      <c r="I1709" s="103"/>
    </row>
    <row r="1710" spans="1:11">
      <c r="A1710" s="101" t="s">
        <v>77</v>
      </c>
      <c r="B1710" s="88" t="s">
        <v>291</v>
      </c>
      <c r="C1710" s="102">
        <v>1988</v>
      </c>
      <c r="D1710" s="104">
        <v>983454251</v>
      </c>
      <c r="E1710" s="104">
        <v>1187279276</v>
      </c>
      <c r="F1710" s="104">
        <v>1120812622</v>
      </c>
      <c r="G1710" s="104">
        <v>0</v>
      </c>
      <c r="H1710" s="105">
        <f>SUM(D1710:G1710)</f>
        <v>3291546149</v>
      </c>
      <c r="I1710" s="103">
        <v>0</v>
      </c>
    </row>
    <row r="1711" spans="1:11">
      <c r="A1711" s="101" t="s">
        <v>77</v>
      </c>
      <c r="B1711" s="88" t="s">
        <v>291</v>
      </c>
      <c r="C1711" s="102">
        <v>1989</v>
      </c>
      <c r="D1711" s="104">
        <v>939877756</v>
      </c>
      <c r="E1711" s="104">
        <v>1340779418</v>
      </c>
      <c r="F1711" s="104">
        <v>1246550050</v>
      </c>
      <c r="G1711" s="104">
        <v>0</v>
      </c>
      <c r="H1711" s="105">
        <f t="shared" ref="H1711:H1742" si="51">SUM(D1711:G1711)</f>
        <v>3527207224</v>
      </c>
      <c r="I1711" s="103">
        <v>0</v>
      </c>
    </row>
    <row r="1712" spans="1:11">
      <c r="A1712" s="101" t="s">
        <v>77</v>
      </c>
      <c r="B1712" s="88" t="s">
        <v>291</v>
      </c>
      <c r="C1712" s="102">
        <v>1990</v>
      </c>
      <c r="D1712" s="104">
        <v>982868253</v>
      </c>
      <c r="E1712" s="104">
        <v>1455954371.1600001</v>
      </c>
      <c r="F1712" s="104">
        <v>1381928234</v>
      </c>
      <c r="G1712" s="104">
        <v>0</v>
      </c>
      <c r="H1712" s="105">
        <f t="shared" si="51"/>
        <v>3820750858.1599998</v>
      </c>
      <c r="I1712" s="103">
        <v>0</v>
      </c>
    </row>
    <row r="1713" spans="1:9">
      <c r="A1713" s="101" t="s">
        <v>77</v>
      </c>
      <c r="B1713" s="88" t="s">
        <v>291</v>
      </c>
      <c r="C1713" s="102">
        <v>1991</v>
      </c>
      <c r="D1713" s="104">
        <v>1076399245</v>
      </c>
      <c r="E1713" s="104">
        <v>1357274758</v>
      </c>
      <c r="F1713" s="104">
        <v>1469942227</v>
      </c>
      <c r="G1713" s="104">
        <v>0</v>
      </c>
      <c r="H1713" s="105">
        <f t="shared" si="51"/>
        <v>3903616230</v>
      </c>
      <c r="I1713" s="103">
        <v>0</v>
      </c>
    </row>
    <row r="1714" spans="1:9">
      <c r="A1714" s="101" t="s">
        <v>77</v>
      </c>
      <c r="B1714" s="88" t="s">
        <v>291</v>
      </c>
      <c r="C1714" s="102">
        <v>1992</v>
      </c>
      <c r="D1714" s="104">
        <v>1135747271</v>
      </c>
      <c r="E1714" s="104">
        <v>1301215746.5599999</v>
      </c>
      <c r="F1714" s="104">
        <v>1571640097</v>
      </c>
      <c r="G1714" s="104">
        <v>0</v>
      </c>
      <c r="H1714" s="105">
        <f t="shared" si="51"/>
        <v>4008603114.5599999</v>
      </c>
      <c r="I1714" s="103">
        <v>0</v>
      </c>
    </row>
    <row r="1715" spans="1:9">
      <c r="A1715" s="101" t="s">
        <v>77</v>
      </c>
      <c r="B1715" s="88" t="s">
        <v>291</v>
      </c>
      <c r="C1715" s="102">
        <v>1993</v>
      </c>
      <c r="D1715" s="104">
        <v>1202592049</v>
      </c>
      <c r="E1715" s="104">
        <v>1112059894</v>
      </c>
      <c r="F1715" s="104">
        <v>1686502690</v>
      </c>
      <c r="G1715" s="104">
        <v>0</v>
      </c>
      <c r="H1715" s="105">
        <f t="shared" si="51"/>
        <v>4001154633</v>
      </c>
      <c r="I1715" s="103">
        <v>0</v>
      </c>
    </row>
    <row r="1716" spans="1:9">
      <c r="A1716" s="101" t="s">
        <v>77</v>
      </c>
      <c r="B1716" s="88" t="s">
        <v>291</v>
      </c>
      <c r="C1716" s="102">
        <v>1994</v>
      </c>
      <c r="D1716" s="104">
        <v>1268795868</v>
      </c>
      <c r="E1716" s="104">
        <v>1319815450</v>
      </c>
      <c r="F1716" s="104">
        <v>1745011167</v>
      </c>
      <c r="G1716" s="104">
        <v>0</v>
      </c>
      <c r="H1716" s="105">
        <f t="shared" si="51"/>
        <v>4333622485</v>
      </c>
      <c r="I1716" s="103">
        <v>0</v>
      </c>
    </row>
    <row r="1717" spans="1:9">
      <c r="A1717" s="101" t="s">
        <v>77</v>
      </c>
      <c r="B1717" s="88" t="s">
        <v>291</v>
      </c>
      <c r="C1717" s="102">
        <v>1995</v>
      </c>
      <c r="D1717" s="104">
        <v>1377155879</v>
      </c>
      <c r="E1717" s="104">
        <v>1530405980</v>
      </c>
      <c r="F1717" s="104">
        <v>1767044880</v>
      </c>
      <c r="G1717" s="104">
        <v>0</v>
      </c>
      <c r="H1717" s="105">
        <f t="shared" si="51"/>
        <v>4674606739</v>
      </c>
      <c r="I1717" s="103">
        <v>0</v>
      </c>
    </row>
    <row r="1718" spans="1:9">
      <c r="A1718" s="101" t="s">
        <v>77</v>
      </c>
      <c r="B1718" s="88" t="s">
        <v>291</v>
      </c>
      <c r="C1718" s="102">
        <v>1996</v>
      </c>
      <c r="D1718" s="104">
        <v>1388187363</v>
      </c>
      <c r="E1718" s="104">
        <v>1123817700</v>
      </c>
      <c r="F1718" s="104">
        <v>2117462093</v>
      </c>
      <c r="G1718" s="104">
        <v>0</v>
      </c>
      <c r="H1718" s="105">
        <f t="shared" si="51"/>
        <v>4629467156</v>
      </c>
      <c r="I1718" s="103">
        <v>0</v>
      </c>
    </row>
    <row r="1719" spans="1:9">
      <c r="A1719" s="101" t="s">
        <v>77</v>
      </c>
      <c r="B1719" s="88" t="s">
        <v>291</v>
      </c>
      <c r="C1719" s="102">
        <v>1997</v>
      </c>
      <c r="D1719" s="104">
        <v>1330673454</v>
      </c>
      <c r="E1719" s="104">
        <v>1296128142</v>
      </c>
      <c r="F1719" s="104">
        <v>1966606840</v>
      </c>
      <c r="G1719" s="104">
        <v>0</v>
      </c>
      <c r="H1719" s="105">
        <f t="shared" si="51"/>
        <v>4593408436</v>
      </c>
      <c r="I1719" s="103">
        <v>0</v>
      </c>
    </row>
    <row r="1720" spans="1:9">
      <c r="A1720" s="101" t="s">
        <v>77</v>
      </c>
      <c r="B1720" s="88" t="s">
        <v>291</v>
      </c>
      <c r="C1720" s="102">
        <v>1998</v>
      </c>
      <c r="D1720" s="104">
        <v>1666545855</v>
      </c>
      <c r="E1720" s="104">
        <v>1359800366</v>
      </c>
      <c r="F1720" s="104">
        <v>2701101642</v>
      </c>
      <c r="G1720" s="104">
        <v>0</v>
      </c>
      <c r="H1720" s="105">
        <f t="shared" si="51"/>
        <v>5727447863</v>
      </c>
      <c r="I1720" s="103">
        <v>0</v>
      </c>
    </row>
    <row r="1721" spans="1:9">
      <c r="A1721" s="101" t="s">
        <v>77</v>
      </c>
      <c r="B1721" s="88" t="s">
        <v>291</v>
      </c>
      <c r="C1721" s="102">
        <v>1999</v>
      </c>
      <c r="D1721" s="104">
        <v>1487871383</v>
      </c>
      <c r="E1721" s="104">
        <v>1571644120</v>
      </c>
      <c r="F1721" s="104">
        <v>2914712068</v>
      </c>
      <c r="G1721" s="104">
        <v>0</v>
      </c>
      <c r="H1721" s="105">
        <f t="shared" si="51"/>
        <v>5974227571</v>
      </c>
      <c r="I1721" s="103">
        <v>0</v>
      </c>
    </row>
    <row r="1722" spans="1:9">
      <c r="A1722" s="101" t="s">
        <v>77</v>
      </c>
      <c r="B1722" s="88" t="s">
        <v>291</v>
      </c>
      <c r="C1722" s="102">
        <v>2000</v>
      </c>
      <c r="D1722" s="104">
        <v>1430064071</v>
      </c>
      <c r="E1722" s="104">
        <v>1770580874</v>
      </c>
      <c r="F1722" s="104">
        <v>3222048692</v>
      </c>
      <c r="G1722" s="104">
        <v>0</v>
      </c>
      <c r="H1722" s="105">
        <f t="shared" si="51"/>
        <v>6422693637</v>
      </c>
      <c r="I1722" s="103">
        <v>0</v>
      </c>
    </row>
    <row r="1723" spans="1:9">
      <c r="A1723" s="101" t="s">
        <v>77</v>
      </c>
      <c r="B1723" s="88" t="s">
        <v>291</v>
      </c>
      <c r="C1723" s="102">
        <v>2001</v>
      </c>
      <c r="D1723" s="104">
        <v>1501528707</v>
      </c>
      <c r="E1723" s="104">
        <v>2279654961</v>
      </c>
      <c r="F1723" s="104">
        <v>3549289750</v>
      </c>
      <c r="G1723" s="104">
        <v>0</v>
      </c>
      <c r="H1723" s="105">
        <f t="shared" si="51"/>
        <v>7330473418</v>
      </c>
      <c r="I1723" s="103">
        <v>0</v>
      </c>
    </row>
    <row r="1724" spans="1:9">
      <c r="A1724" s="101" t="s">
        <v>77</v>
      </c>
      <c r="B1724" s="88" t="s">
        <v>291</v>
      </c>
      <c r="C1724" s="102">
        <v>2002</v>
      </c>
      <c r="D1724" s="104">
        <v>1444948195</v>
      </c>
      <c r="E1724" s="104">
        <v>3123055348</v>
      </c>
      <c r="F1724" s="104">
        <v>3713329481</v>
      </c>
      <c r="G1724" s="104">
        <v>0</v>
      </c>
      <c r="H1724" s="105">
        <f t="shared" si="51"/>
        <v>8281333024</v>
      </c>
      <c r="I1724" s="103">
        <v>0</v>
      </c>
    </row>
    <row r="1725" spans="1:9">
      <c r="A1725" s="101" t="s">
        <v>77</v>
      </c>
      <c r="B1725" s="88" t="s">
        <v>291</v>
      </c>
      <c r="C1725" s="102">
        <v>2003</v>
      </c>
      <c r="D1725" s="106">
        <v>1655657032</v>
      </c>
      <c r="E1725" s="106">
        <v>2605889350</v>
      </c>
      <c r="F1725" s="106">
        <v>3932606069</v>
      </c>
      <c r="G1725" s="104">
        <v>0</v>
      </c>
      <c r="H1725" s="105">
        <f t="shared" si="51"/>
        <v>8194152451</v>
      </c>
      <c r="I1725" s="103">
        <v>0</v>
      </c>
    </row>
    <row r="1726" spans="1:9">
      <c r="A1726" s="101" t="s">
        <v>77</v>
      </c>
      <c r="B1726" s="88" t="s">
        <v>291</v>
      </c>
      <c r="C1726" s="102">
        <v>2004</v>
      </c>
      <c r="D1726" s="106">
        <v>1730265571</v>
      </c>
      <c r="E1726" s="106">
        <v>2325831748</v>
      </c>
      <c r="F1726" s="106">
        <v>4064383321</v>
      </c>
      <c r="G1726" s="104">
        <v>0</v>
      </c>
      <c r="H1726" s="105">
        <f t="shared" si="51"/>
        <v>8120480640</v>
      </c>
      <c r="I1726" s="103">
        <v>0</v>
      </c>
    </row>
    <row r="1727" spans="1:9">
      <c r="A1727" s="101" t="s">
        <v>77</v>
      </c>
      <c r="B1727" s="88" t="s">
        <v>291</v>
      </c>
      <c r="C1727" s="102">
        <v>2005</v>
      </c>
      <c r="D1727" s="106">
        <v>1765205723</v>
      </c>
      <c r="E1727" s="106">
        <v>1755752897</v>
      </c>
      <c r="F1727" s="106">
        <v>4591263222.8699903</v>
      </c>
      <c r="G1727" s="104">
        <v>0</v>
      </c>
      <c r="H1727" s="105">
        <f t="shared" si="51"/>
        <v>8112221842.8699903</v>
      </c>
      <c r="I1727" s="103">
        <v>0</v>
      </c>
    </row>
    <row r="1728" spans="1:9">
      <c r="A1728" s="101" t="s">
        <v>77</v>
      </c>
      <c r="B1728" s="88" t="s">
        <v>291</v>
      </c>
      <c r="C1728" s="102">
        <v>2006</v>
      </c>
      <c r="D1728" s="103">
        <v>1861350986</v>
      </c>
      <c r="E1728" s="103">
        <v>2269001472</v>
      </c>
      <c r="F1728" s="103">
        <v>4529139294</v>
      </c>
      <c r="G1728" s="103">
        <v>0</v>
      </c>
      <c r="H1728" s="105">
        <f t="shared" si="51"/>
        <v>8659491752</v>
      </c>
      <c r="I1728" s="103">
        <v>0</v>
      </c>
    </row>
    <row r="1729" spans="1:10">
      <c r="A1729" s="101" t="s">
        <v>77</v>
      </c>
      <c r="B1729" s="88" t="s">
        <v>291</v>
      </c>
      <c r="C1729" s="102">
        <v>2007</v>
      </c>
      <c r="D1729" s="103">
        <v>1998754287</v>
      </c>
      <c r="E1729" s="103">
        <v>2440261232</v>
      </c>
      <c r="F1729" s="103">
        <v>5259106045</v>
      </c>
      <c r="G1729" s="103">
        <v>0</v>
      </c>
      <c r="H1729" s="105">
        <f t="shared" si="51"/>
        <v>9698121564</v>
      </c>
      <c r="I1729" s="103">
        <v>0</v>
      </c>
    </row>
    <row r="1730" spans="1:10">
      <c r="A1730" s="101" t="s">
        <v>77</v>
      </c>
      <c r="B1730" s="88" t="s">
        <v>291</v>
      </c>
      <c r="C1730" s="102">
        <v>2008</v>
      </c>
      <c r="D1730" s="103">
        <v>1979623601</v>
      </c>
      <c r="E1730" s="103">
        <v>3356157996</v>
      </c>
      <c r="F1730" s="103">
        <v>5451118842</v>
      </c>
      <c r="G1730" s="103">
        <v>0</v>
      </c>
      <c r="H1730" s="105">
        <f t="shared" si="51"/>
        <v>10786900439</v>
      </c>
      <c r="I1730" s="103">
        <v>0</v>
      </c>
    </row>
    <row r="1731" spans="1:10">
      <c r="A1731" s="101" t="s">
        <v>77</v>
      </c>
      <c r="B1731" s="88" t="s">
        <v>291</v>
      </c>
      <c r="C1731" s="102">
        <v>2009</v>
      </c>
      <c r="D1731" s="103">
        <v>2073784687</v>
      </c>
      <c r="E1731" s="103">
        <v>3182730359</v>
      </c>
      <c r="F1731" s="103">
        <v>5500132259</v>
      </c>
      <c r="G1731" s="103">
        <v>0</v>
      </c>
      <c r="H1731" s="105">
        <f t="shared" si="51"/>
        <v>10756647305</v>
      </c>
      <c r="I1731" s="103">
        <v>0</v>
      </c>
    </row>
    <row r="1732" spans="1:10">
      <c r="A1732" s="101" t="s">
        <v>77</v>
      </c>
      <c r="B1732" s="88" t="s">
        <v>291</v>
      </c>
      <c r="C1732" s="102">
        <v>2010</v>
      </c>
      <c r="D1732" s="103">
        <v>2111985056</v>
      </c>
      <c r="E1732" s="103">
        <v>2753671184</v>
      </c>
      <c r="F1732" s="103">
        <v>5049423119</v>
      </c>
      <c r="G1732" s="103">
        <v>0</v>
      </c>
      <c r="H1732" s="105">
        <f t="shared" si="51"/>
        <v>9915079359</v>
      </c>
      <c r="I1732" s="103">
        <v>0</v>
      </c>
    </row>
    <row r="1733" spans="1:10">
      <c r="A1733" s="101" t="s">
        <v>77</v>
      </c>
      <c r="B1733" s="88" t="s">
        <v>291</v>
      </c>
      <c r="C1733" s="102">
        <v>2011</v>
      </c>
      <c r="D1733" s="103">
        <v>2210764960</v>
      </c>
      <c r="E1733" s="103">
        <v>2693037933</v>
      </c>
      <c r="F1733" s="103">
        <v>4983060377</v>
      </c>
      <c r="G1733" s="103">
        <v>0</v>
      </c>
      <c r="H1733" s="105">
        <f t="shared" si="51"/>
        <v>9886863270</v>
      </c>
      <c r="I1733" s="103">
        <v>0</v>
      </c>
    </row>
    <row r="1734" spans="1:10">
      <c r="A1734" s="101" t="s">
        <v>77</v>
      </c>
      <c r="B1734" s="88" t="s">
        <v>291</v>
      </c>
      <c r="C1734" s="102">
        <v>2012</v>
      </c>
      <c r="D1734" s="103">
        <v>2277685879</v>
      </c>
      <c r="E1734" s="103">
        <v>3080368151</v>
      </c>
      <c r="F1734" s="103">
        <v>4784544073</v>
      </c>
      <c r="G1734" s="103">
        <v>0</v>
      </c>
      <c r="H1734" s="105">
        <f t="shared" si="51"/>
        <v>10142598103</v>
      </c>
      <c r="I1734" s="103">
        <v>0</v>
      </c>
    </row>
    <row r="1735" spans="1:10">
      <c r="A1735" s="101" t="s">
        <v>77</v>
      </c>
      <c r="B1735" s="88" t="s">
        <v>291</v>
      </c>
      <c r="C1735" s="102">
        <v>2013</v>
      </c>
      <c r="D1735" s="103">
        <v>2351477080</v>
      </c>
      <c r="E1735" s="103">
        <v>2719503365</v>
      </c>
      <c r="F1735" s="103">
        <v>4311104753</v>
      </c>
      <c r="G1735" s="103">
        <v>0</v>
      </c>
      <c r="H1735" s="105">
        <f t="shared" si="51"/>
        <v>9382085198</v>
      </c>
      <c r="I1735" s="103">
        <v>0</v>
      </c>
    </row>
    <row r="1736" spans="1:10">
      <c r="A1736" s="101" t="s">
        <v>77</v>
      </c>
      <c r="B1736" s="88" t="s">
        <v>291</v>
      </c>
      <c r="C1736" s="102">
        <v>2014</v>
      </c>
      <c r="D1736" s="103">
        <v>2314671468</v>
      </c>
      <c r="E1736" s="103">
        <v>2867068449</v>
      </c>
      <c r="F1736" s="103">
        <v>3175460935</v>
      </c>
      <c r="G1736" s="103">
        <v>0</v>
      </c>
      <c r="H1736" s="105">
        <f t="shared" si="51"/>
        <v>8357200852</v>
      </c>
      <c r="I1736" s="103">
        <v>0</v>
      </c>
      <c r="J1736" s="116" t="s">
        <v>713</v>
      </c>
    </row>
    <row r="1737" spans="1:10">
      <c r="A1737" s="101" t="s">
        <v>77</v>
      </c>
      <c r="B1737" s="88" t="s">
        <v>291</v>
      </c>
      <c r="C1737" s="102">
        <v>2015</v>
      </c>
      <c r="D1737" s="103">
        <v>2348832828</v>
      </c>
      <c r="E1737" s="103">
        <v>3916091296</v>
      </c>
      <c r="F1737" s="103">
        <v>7730697467</v>
      </c>
      <c r="G1737" s="103">
        <v>0</v>
      </c>
      <c r="H1737" s="105">
        <f t="shared" si="51"/>
        <v>13995621591</v>
      </c>
      <c r="I1737" s="103">
        <v>0</v>
      </c>
      <c r="J1737" s="116" t="s">
        <v>713</v>
      </c>
    </row>
    <row r="1738" spans="1:10">
      <c r="A1738" s="101" t="s">
        <v>77</v>
      </c>
      <c r="B1738" s="88" t="s">
        <v>291</v>
      </c>
      <c r="C1738" s="102">
        <v>2016</v>
      </c>
      <c r="D1738" s="103">
        <v>2439177902</v>
      </c>
      <c r="E1738" s="103">
        <v>3577889735</v>
      </c>
      <c r="F1738" s="103">
        <v>5049548561</v>
      </c>
      <c r="G1738" s="103">
        <v>0</v>
      </c>
      <c r="H1738" s="105">
        <f t="shared" si="51"/>
        <v>11066616198</v>
      </c>
      <c r="I1738" s="103">
        <v>0</v>
      </c>
      <c r="J1738" s="116" t="s">
        <v>713</v>
      </c>
    </row>
    <row r="1739" spans="1:10">
      <c r="A1739" s="101" t="s">
        <v>77</v>
      </c>
      <c r="B1739" s="88" t="s">
        <v>291</v>
      </c>
      <c r="C1739" s="102">
        <v>2017</v>
      </c>
      <c r="D1739" s="103">
        <v>2536943637</v>
      </c>
      <c r="E1739" s="103">
        <v>3699829614</v>
      </c>
      <c r="F1739" s="103">
        <v>6688923429.6700001</v>
      </c>
      <c r="G1739" s="103">
        <v>0</v>
      </c>
      <c r="H1739" s="105">
        <f t="shared" si="51"/>
        <v>12925696680.67</v>
      </c>
      <c r="I1739" s="103">
        <v>0</v>
      </c>
      <c r="J1739" s="116" t="s">
        <v>713</v>
      </c>
    </row>
    <row r="1740" spans="1:10">
      <c r="A1740" s="101" t="s">
        <v>77</v>
      </c>
      <c r="B1740" s="88" t="s">
        <v>291</v>
      </c>
      <c r="C1740" s="102">
        <v>2018</v>
      </c>
      <c r="D1740" s="103">
        <v>2514449460</v>
      </c>
      <c r="E1740" s="103">
        <v>4140826136</v>
      </c>
      <c r="F1740" s="103">
        <v>5762298042</v>
      </c>
      <c r="G1740" s="103">
        <v>0</v>
      </c>
      <c r="H1740" s="105">
        <f t="shared" si="51"/>
        <v>12417573638</v>
      </c>
      <c r="I1740" s="103">
        <v>0</v>
      </c>
      <c r="J1740" s="116" t="s">
        <v>713</v>
      </c>
    </row>
    <row r="1741" spans="1:10">
      <c r="A1741" s="101" t="s">
        <v>77</v>
      </c>
      <c r="B1741" s="88" t="s">
        <v>291</v>
      </c>
      <c r="C1741" s="102">
        <v>2019</v>
      </c>
      <c r="D1741" s="103">
        <v>2710277413</v>
      </c>
      <c r="E1741" s="103">
        <v>4581105908</v>
      </c>
      <c r="F1741" s="103">
        <v>5862638762</v>
      </c>
      <c r="G1741" s="103">
        <v>0</v>
      </c>
      <c r="H1741" s="105">
        <f t="shared" si="51"/>
        <v>13154022083</v>
      </c>
      <c r="I1741" s="103">
        <v>0</v>
      </c>
      <c r="J1741" s="116" t="s">
        <v>713</v>
      </c>
    </row>
    <row r="1742" spans="1:10">
      <c r="A1742" s="101" t="s">
        <v>77</v>
      </c>
      <c r="B1742" s="88" t="s">
        <v>291</v>
      </c>
      <c r="C1742" s="102">
        <v>2020</v>
      </c>
      <c r="D1742" s="103">
        <v>2626443638</v>
      </c>
      <c r="E1742" s="103">
        <v>5055839175</v>
      </c>
      <c r="F1742" s="103">
        <v>5751275409</v>
      </c>
      <c r="G1742" s="103">
        <v>0</v>
      </c>
      <c r="H1742" s="105">
        <f t="shared" si="51"/>
        <v>13433558222</v>
      </c>
      <c r="I1742" s="103">
        <v>0</v>
      </c>
      <c r="J1742" s="116" t="s">
        <v>713</v>
      </c>
    </row>
    <row r="1743" spans="1:10">
      <c r="A1743" s="101"/>
      <c r="B1743" s="107"/>
      <c r="D1743" s="104"/>
      <c r="E1743" s="104"/>
      <c r="F1743" s="104"/>
      <c r="G1743" s="104"/>
      <c r="H1743" s="103"/>
      <c r="I1743" s="103"/>
    </row>
    <row r="1744" spans="1:10">
      <c r="A1744" s="101" t="s">
        <v>78</v>
      </c>
      <c r="B1744" s="88" t="s">
        <v>528</v>
      </c>
      <c r="C1744" s="102">
        <v>1988</v>
      </c>
      <c r="D1744" s="104">
        <v>97626321</v>
      </c>
      <c r="E1744" s="104">
        <v>94368976</v>
      </c>
      <c r="F1744" s="104">
        <v>85482029</v>
      </c>
      <c r="G1744" s="104">
        <v>0</v>
      </c>
      <c r="H1744" s="105">
        <f>SUM(D1744:G1744)</f>
        <v>277477326</v>
      </c>
      <c r="I1744" s="103">
        <v>0</v>
      </c>
    </row>
    <row r="1745" spans="1:9">
      <c r="A1745" s="101" t="s">
        <v>78</v>
      </c>
      <c r="B1745" s="88" t="s">
        <v>528</v>
      </c>
      <c r="C1745" s="102">
        <v>1989</v>
      </c>
      <c r="D1745" s="104">
        <v>90923902</v>
      </c>
      <c r="E1745" s="104">
        <v>84285866</v>
      </c>
      <c r="F1745" s="104">
        <v>90453608</v>
      </c>
      <c r="G1745" s="104">
        <v>0</v>
      </c>
      <c r="H1745" s="105">
        <f t="shared" ref="H1745:H1776" si="52">SUM(D1745:G1745)</f>
        <v>265663376</v>
      </c>
      <c r="I1745" s="103">
        <v>0</v>
      </c>
    </row>
    <row r="1746" spans="1:9">
      <c r="A1746" s="101" t="s">
        <v>78</v>
      </c>
      <c r="B1746" s="88" t="s">
        <v>528</v>
      </c>
      <c r="C1746" s="102">
        <v>1990</v>
      </c>
      <c r="D1746" s="104">
        <v>90058438</v>
      </c>
      <c r="E1746" s="104">
        <v>93698388.680000007</v>
      </c>
      <c r="F1746" s="104">
        <v>97798492</v>
      </c>
      <c r="G1746" s="104">
        <v>0</v>
      </c>
      <c r="H1746" s="105">
        <f t="shared" si="52"/>
        <v>281555318.68000001</v>
      </c>
      <c r="I1746" s="103">
        <v>0</v>
      </c>
    </row>
    <row r="1747" spans="1:9">
      <c r="A1747" s="101" t="s">
        <v>78</v>
      </c>
      <c r="B1747" s="88" t="s">
        <v>528</v>
      </c>
      <c r="C1747" s="102">
        <v>1991</v>
      </c>
      <c r="D1747" s="104">
        <v>96951799</v>
      </c>
      <c r="E1747" s="104">
        <v>81766219</v>
      </c>
      <c r="F1747" s="104">
        <v>99883708</v>
      </c>
      <c r="G1747" s="104">
        <v>0</v>
      </c>
      <c r="H1747" s="105">
        <f t="shared" si="52"/>
        <v>278601726</v>
      </c>
      <c r="I1747" s="103">
        <v>0</v>
      </c>
    </row>
    <row r="1748" spans="1:9">
      <c r="A1748" s="101" t="s">
        <v>78</v>
      </c>
      <c r="B1748" s="88" t="s">
        <v>528</v>
      </c>
      <c r="C1748" s="102">
        <v>1992</v>
      </c>
      <c r="D1748" s="104">
        <v>105896069</v>
      </c>
      <c r="E1748" s="104">
        <v>82392605.079999998</v>
      </c>
      <c r="F1748" s="104">
        <v>112094162</v>
      </c>
      <c r="G1748" s="104">
        <v>0</v>
      </c>
      <c r="H1748" s="105">
        <f t="shared" si="52"/>
        <v>300382836.07999998</v>
      </c>
      <c r="I1748" s="103">
        <v>0</v>
      </c>
    </row>
    <row r="1749" spans="1:9">
      <c r="A1749" s="101" t="s">
        <v>78</v>
      </c>
      <c r="B1749" s="88" t="s">
        <v>528</v>
      </c>
      <c r="C1749" s="102">
        <v>1993</v>
      </c>
      <c r="D1749" s="104">
        <v>110151591</v>
      </c>
      <c r="E1749" s="104">
        <v>66544761</v>
      </c>
      <c r="F1749" s="104">
        <v>123196590</v>
      </c>
      <c r="G1749" s="104">
        <v>0</v>
      </c>
      <c r="H1749" s="105">
        <f t="shared" si="52"/>
        <v>299892942</v>
      </c>
      <c r="I1749" s="103">
        <v>0</v>
      </c>
    </row>
    <row r="1750" spans="1:9">
      <c r="A1750" s="101" t="s">
        <v>78</v>
      </c>
      <c r="B1750" s="88" t="s">
        <v>528</v>
      </c>
      <c r="C1750" s="102">
        <v>1994</v>
      </c>
      <c r="D1750" s="104">
        <v>120563305</v>
      </c>
      <c r="E1750" s="104">
        <v>82776199</v>
      </c>
      <c r="F1750" s="104">
        <v>127681818</v>
      </c>
      <c r="G1750" s="104">
        <v>0</v>
      </c>
      <c r="H1750" s="105">
        <f t="shared" si="52"/>
        <v>331021322</v>
      </c>
      <c r="I1750" s="103">
        <v>0</v>
      </c>
    </row>
    <row r="1751" spans="1:9">
      <c r="A1751" s="101" t="s">
        <v>78</v>
      </c>
      <c r="B1751" s="88" t="s">
        <v>528</v>
      </c>
      <c r="C1751" s="102">
        <v>1995</v>
      </c>
      <c r="D1751" s="104">
        <v>128258372</v>
      </c>
      <c r="E1751" s="104">
        <v>91755805</v>
      </c>
      <c r="F1751" s="104">
        <v>125844578</v>
      </c>
      <c r="G1751" s="104">
        <v>0</v>
      </c>
      <c r="H1751" s="105">
        <f t="shared" si="52"/>
        <v>345858755</v>
      </c>
      <c r="I1751" s="103">
        <v>0</v>
      </c>
    </row>
    <row r="1752" spans="1:9">
      <c r="A1752" s="101" t="s">
        <v>78</v>
      </c>
      <c r="B1752" s="88" t="s">
        <v>528</v>
      </c>
      <c r="C1752" s="102">
        <v>1996</v>
      </c>
      <c r="D1752" s="104">
        <v>144853471</v>
      </c>
      <c r="E1752" s="104">
        <v>64293629</v>
      </c>
      <c r="F1752" s="104">
        <v>139762212</v>
      </c>
      <c r="G1752" s="104">
        <v>0</v>
      </c>
      <c r="H1752" s="105">
        <f t="shared" si="52"/>
        <v>348909312</v>
      </c>
      <c r="I1752" s="103">
        <v>0</v>
      </c>
    </row>
    <row r="1753" spans="1:9">
      <c r="A1753" s="101" t="s">
        <v>78</v>
      </c>
      <c r="B1753" s="88" t="s">
        <v>528</v>
      </c>
      <c r="C1753" s="102">
        <v>1997</v>
      </c>
      <c r="D1753" s="104">
        <v>132336804</v>
      </c>
      <c r="E1753" s="104">
        <v>73610903</v>
      </c>
      <c r="F1753" s="104">
        <v>137395545</v>
      </c>
      <c r="G1753" s="104">
        <v>0</v>
      </c>
      <c r="H1753" s="105">
        <f t="shared" si="52"/>
        <v>343343252</v>
      </c>
      <c r="I1753" s="103">
        <v>0</v>
      </c>
    </row>
    <row r="1754" spans="1:9">
      <c r="A1754" s="101" t="s">
        <v>78</v>
      </c>
      <c r="B1754" s="88" t="s">
        <v>528</v>
      </c>
      <c r="C1754" s="102">
        <v>1998</v>
      </c>
      <c r="D1754" s="104">
        <v>133370742</v>
      </c>
      <c r="E1754" s="104">
        <v>65128698</v>
      </c>
      <c r="F1754" s="104">
        <v>147217331</v>
      </c>
      <c r="G1754" s="104">
        <v>0</v>
      </c>
      <c r="H1754" s="105">
        <f t="shared" si="52"/>
        <v>345716771</v>
      </c>
      <c r="I1754" s="103">
        <v>0</v>
      </c>
    </row>
    <row r="1755" spans="1:9">
      <c r="A1755" s="101" t="s">
        <v>78</v>
      </c>
      <c r="B1755" s="88" t="s">
        <v>528</v>
      </c>
      <c r="C1755" s="102">
        <v>1999</v>
      </c>
      <c r="D1755" s="104">
        <v>132820331</v>
      </c>
      <c r="E1755" s="104">
        <v>84199803</v>
      </c>
      <c r="F1755" s="104">
        <v>164599319</v>
      </c>
      <c r="G1755" s="104">
        <v>0</v>
      </c>
      <c r="H1755" s="105">
        <f t="shared" si="52"/>
        <v>381619453</v>
      </c>
      <c r="I1755" s="103">
        <v>0</v>
      </c>
    </row>
    <row r="1756" spans="1:9">
      <c r="A1756" s="101" t="s">
        <v>78</v>
      </c>
      <c r="B1756" s="88" t="s">
        <v>528</v>
      </c>
      <c r="C1756" s="102">
        <v>2000</v>
      </c>
      <c r="D1756" s="104">
        <v>134954407</v>
      </c>
      <c r="E1756" s="104">
        <v>36964454</v>
      </c>
      <c r="F1756" s="104">
        <v>279127327</v>
      </c>
      <c r="G1756" s="104">
        <v>0</v>
      </c>
      <c r="H1756" s="105">
        <f t="shared" si="52"/>
        <v>451046188</v>
      </c>
      <c r="I1756" s="103">
        <v>0</v>
      </c>
    </row>
    <row r="1757" spans="1:9">
      <c r="A1757" s="101" t="s">
        <v>78</v>
      </c>
      <c r="B1757" s="88" t="s">
        <v>528</v>
      </c>
      <c r="C1757" s="102">
        <v>2001</v>
      </c>
      <c r="D1757" s="104">
        <v>140089330</v>
      </c>
      <c r="E1757" s="104">
        <v>119654633</v>
      </c>
      <c r="F1757" s="104">
        <v>307424423</v>
      </c>
      <c r="G1757" s="104">
        <v>0</v>
      </c>
      <c r="H1757" s="105">
        <f t="shared" si="52"/>
        <v>567168386</v>
      </c>
      <c r="I1757" s="103">
        <v>0</v>
      </c>
    </row>
    <row r="1758" spans="1:9">
      <c r="A1758" s="101" t="s">
        <v>78</v>
      </c>
      <c r="B1758" s="88" t="s">
        <v>528</v>
      </c>
      <c r="C1758" s="102">
        <v>2002</v>
      </c>
      <c r="D1758" s="104">
        <v>161370610</v>
      </c>
      <c r="E1758" s="104">
        <v>177390092</v>
      </c>
      <c r="F1758" s="104">
        <v>328364747</v>
      </c>
      <c r="G1758" s="104">
        <v>0</v>
      </c>
      <c r="H1758" s="105">
        <f t="shared" si="52"/>
        <v>667125449</v>
      </c>
      <c r="I1758" s="103">
        <v>0</v>
      </c>
    </row>
    <row r="1759" spans="1:9">
      <c r="A1759" s="101" t="s">
        <v>78</v>
      </c>
      <c r="B1759" s="88" t="s">
        <v>528</v>
      </c>
      <c r="C1759" s="102">
        <v>2003</v>
      </c>
      <c r="D1759" s="106">
        <v>158450513</v>
      </c>
      <c r="E1759" s="106">
        <v>160053167</v>
      </c>
      <c r="F1759" s="106">
        <v>358083018</v>
      </c>
      <c r="G1759" s="104">
        <v>0</v>
      </c>
      <c r="H1759" s="105">
        <f t="shared" si="52"/>
        <v>676586698</v>
      </c>
      <c r="I1759" s="103">
        <v>0</v>
      </c>
    </row>
    <row r="1760" spans="1:9">
      <c r="A1760" s="101" t="s">
        <v>78</v>
      </c>
      <c r="B1760" s="88" t="s">
        <v>528</v>
      </c>
      <c r="C1760" s="102">
        <v>2004</v>
      </c>
      <c r="D1760" s="106">
        <v>159012531</v>
      </c>
      <c r="E1760" s="106">
        <v>134792266</v>
      </c>
      <c r="F1760" s="106">
        <v>387015674</v>
      </c>
      <c r="G1760" s="104">
        <v>0</v>
      </c>
      <c r="H1760" s="105">
        <f t="shared" si="52"/>
        <v>680820471</v>
      </c>
      <c r="I1760" s="103">
        <v>0</v>
      </c>
    </row>
    <row r="1761" spans="1:11">
      <c r="A1761" s="101" t="s">
        <v>78</v>
      </c>
      <c r="B1761" s="88" t="s">
        <v>528</v>
      </c>
      <c r="C1761" s="102">
        <v>2005</v>
      </c>
      <c r="D1761" s="106">
        <v>167391676</v>
      </c>
      <c r="E1761" s="106">
        <v>145690563</v>
      </c>
      <c r="F1761" s="106">
        <v>427144070.98000002</v>
      </c>
      <c r="G1761" s="104">
        <v>0</v>
      </c>
      <c r="H1761" s="105">
        <f t="shared" si="52"/>
        <v>740226309.98000002</v>
      </c>
      <c r="I1761" s="103">
        <v>0</v>
      </c>
    </row>
    <row r="1762" spans="1:11">
      <c r="A1762" s="101" t="s">
        <v>78</v>
      </c>
      <c r="B1762" s="88" t="s">
        <v>528</v>
      </c>
      <c r="C1762" s="102">
        <v>2006</v>
      </c>
      <c r="D1762" s="103">
        <v>182910524</v>
      </c>
      <c r="E1762" s="103">
        <v>153648989</v>
      </c>
      <c r="F1762" s="103">
        <v>418980204</v>
      </c>
      <c r="G1762" s="103">
        <v>0</v>
      </c>
      <c r="H1762" s="105">
        <f t="shared" si="52"/>
        <v>755539717</v>
      </c>
      <c r="I1762" s="103">
        <v>0</v>
      </c>
    </row>
    <row r="1763" spans="1:11">
      <c r="A1763" s="101" t="s">
        <v>78</v>
      </c>
      <c r="B1763" s="88" t="s">
        <v>528</v>
      </c>
      <c r="C1763" s="102">
        <v>2007</v>
      </c>
      <c r="D1763" s="103">
        <v>180717209</v>
      </c>
      <c r="E1763" s="103">
        <v>149039649</v>
      </c>
      <c r="F1763" s="103">
        <v>462168616</v>
      </c>
      <c r="G1763" s="103">
        <v>0</v>
      </c>
      <c r="H1763" s="105">
        <f t="shared" si="52"/>
        <v>791925474</v>
      </c>
      <c r="I1763" s="103">
        <v>0</v>
      </c>
    </row>
    <row r="1764" spans="1:11">
      <c r="A1764" s="101" t="s">
        <v>78</v>
      </c>
      <c r="B1764" s="88" t="s">
        <v>528</v>
      </c>
      <c r="C1764" s="102">
        <v>2008</v>
      </c>
      <c r="D1764" s="103">
        <v>191747893</v>
      </c>
      <c r="E1764" s="103">
        <v>224541275</v>
      </c>
      <c r="F1764" s="103">
        <v>499628794</v>
      </c>
      <c r="G1764" s="103">
        <v>0</v>
      </c>
      <c r="H1764" s="105">
        <f t="shared" si="52"/>
        <v>915917962</v>
      </c>
      <c r="I1764" s="103">
        <v>0</v>
      </c>
    </row>
    <row r="1765" spans="1:11">
      <c r="A1765" s="101" t="s">
        <v>78</v>
      </c>
      <c r="B1765" s="88" t="s">
        <v>528</v>
      </c>
      <c r="C1765" s="102">
        <v>2009</v>
      </c>
      <c r="D1765" s="103">
        <v>223997448</v>
      </c>
      <c r="E1765" s="103">
        <v>215799870</v>
      </c>
      <c r="F1765" s="103">
        <v>566909036</v>
      </c>
      <c r="G1765" s="103">
        <v>0</v>
      </c>
      <c r="H1765" s="105">
        <f t="shared" si="52"/>
        <v>1006706354</v>
      </c>
      <c r="I1765" s="103">
        <v>0</v>
      </c>
    </row>
    <row r="1766" spans="1:11">
      <c r="A1766" s="101" t="s">
        <v>78</v>
      </c>
      <c r="B1766" s="88" t="s">
        <v>528</v>
      </c>
      <c r="C1766" s="102">
        <v>2010</v>
      </c>
      <c r="D1766" s="103">
        <v>231475665</v>
      </c>
      <c r="E1766" s="103">
        <v>177900568</v>
      </c>
      <c r="F1766" s="103">
        <v>539615942</v>
      </c>
      <c r="G1766" s="103">
        <v>0</v>
      </c>
      <c r="H1766" s="105">
        <f t="shared" si="52"/>
        <v>948992175</v>
      </c>
      <c r="I1766" s="103">
        <v>0</v>
      </c>
    </row>
    <row r="1767" spans="1:11">
      <c r="A1767" s="101" t="s">
        <v>78</v>
      </c>
      <c r="B1767" s="88" t="s">
        <v>528</v>
      </c>
      <c r="C1767" s="102">
        <v>2011</v>
      </c>
      <c r="D1767" s="103">
        <v>236765939</v>
      </c>
      <c r="E1767" s="103">
        <v>204037972</v>
      </c>
      <c r="F1767" s="103">
        <v>653704898</v>
      </c>
      <c r="G1767" s="103">
        <v>0</v>
      </c>
      <c r="H1767" s="105">
        <f t="shared" si="52"/>
        <v>1094508809</v>
      </c>
      <c r="I1767" s="103">
        <v>0</v>
      </c>
    </row>
    <row r="1768" spans="1:11">
      <c r="A1768" s="101" t="s">
        <v>78</v>
      </c>
      <c r="B1768" s="88" t="s">
        <v>528</v>
      </c>
      <c r="C1768" s="102">
        <v>2012</v>
      </c>
      <c r="D1768" s="103">
        <v>263181234</v>
      </c>
      <c r="E1768" s="103">
        <v>217793921</v>
      </c>
      <c r="F1768" s="103">
        <v>581654370</v>
      </c>
      <c r="G1768" s="103">
        <v>0</v>
      </c>
      <c r="H1768" s="105">
        <f t="shared" si="52"/>
        <v>1062629525</v>
      </c>
      <c r="I1768" s="103">
        <v>0</v>
      </c>
    </row>
    <row r="1769" spans="1:11">
      <c r="A1769" s="101" t="s">
        <v>78</v>
      </c>
      <c r="B1769" s="88" t="s">
        <v>528</v>
      </c>
      <c r="C1769" s="102">
        <v>2013</v>
      </c>
      <c r="D1769" s="103">
        <v>273349813</v>
      </c>
      <c r="E1769" s="103">
        <v>234916620</v>
      </c>
      <c r="F1769" s="103">
        <v>597008797</v>
      </c>
      <c r="G1769" s="103">
        <v>0</v>
      </c>
      <c r="H1769" s="105">
        <f t="shared" si="52"/>
        <v>1105275230</v>
      </c>
      <c r="I1769" s="103">
        <v>0</v>
      </c>
    </row>
    <row r="1770" spans="1:11">
      <c r="A1770" s="101" t="s">
        <v>78</v>
      </c>
      <c r="B1770" s="88" t="s">
        <v>528</v>
      </c>
      <c r="C1770" s="102">
        <v>2014</v>
      </c>
      <c r="D1770" s="103">
        <v>275521224</v>
      </c>
      <c r="E1770" s="103">
        <v>252162533</v>
      </c>
      <c r="F1770" s="103">
        <v>630904451.29999995</v>
      </c>
      <c r="G1770" s="103">
        <v>0</v>
      </c>
      <c r="H1770" s="105">
        <f t="shared" si="52"/>
        <v>1158588208.3</v>
      </c>
      <c r="I1770" s="103">
        <v>0</v>
      </c>
    </row>
    <row r="1771" spans="1:11">
      <c r="A1771" s="101" t="s">
        <v>78</v>
      </c>
      <c r="B1771" s="88" t="s">
        <v>528</v>
      </c>
      <c r="C1771" s="102">
        <v>2015</v>
      </c>
      <c r="D1771" s="103">
        <v>282207367</v>
      </c>
      <c r="E1771" s="103">
        <v>283440612</v>
      </c>
      <c r="F1771" s="103">
        <v>638288764.23099995</v>
      </c>
      <c r="G1771" s="103">
        <v>0</v>
      </c>
      <c r="H1771" s="105">
        <f t="shared" si="52"/>
        <v>1203936743.2309999</v>
      </c>
      <c r="I1771" s="103">
        <v>0</v>
      </c>
    </row>
    <row r="1772" spans="1:11">
      <c r="A1772" s="101" t="s">
        <v>78</v>
      </c>
      <c r="B1772" s="88" t="s">
        <v>528</v>
      </c>
      <c r="C1772" s="102">
        <v>2016</v>
      </c>
      <c r="D1772" s="103">
        <v>271521207</v>
      </c>
      <c r="E1772" s="103">
        <v>331677202</v>
      </c>
      <c r="F1772" s="103">
        <v>651623704</v>
      </c>
      <c r="G1772" s="103">
        <v>0</v>
      </c>
      <c r="H1772" s="105">
        <f t="shared" si="52"/>
        <v>1254822113</v>
      </c>
      <c r="I1772" s="103">
        <v>0</v>
      </c>
    </row>
    <row r="1773" spans="1:11">
      <c r="A1773" s="101" t="s">
        <v>78</v>
      </c>
      <c r="B1773" s="88" t="s">
        <v>528</v>
      </c>
      <c r="C1773" s="102">
        <v>2017</v>
      </c>
      <c r="D1773" s="103">
        <v>281742494</v>
      </c>
      <c r="E1773" s="103">
        <v>271110416</v>
      </c>
      <c r="F1773" s="103">
        <v>677450298.93000007</v>
      </c>
      <c r="G1773" s="103">
        <v>0</v>
      </c>
      <c r="H1773" s="105">
        <f t="shared" si="52"/>
        <v>1230303208.9300001</v>
      </c>
      <c r="I1773" s="103">
        <v>0</v>
      </c>
    </row>
    <row r="1774" spans="1:11">
      <c r="A1774" s="101" t="s">
        <v>78</v>
      </c>
      <c r="B1774" s="88" t="s">
        <v>528</v>
      </c>
      <c r="C1774" s="102">
        <v>2018</v>
      </c>
      <c r="D1774" s="103">
        <v>272882488</v>
      </c>
      <c r="E1774" s="103">
        <v>421435877</v>
      </c>
      <c r="F1774" s="103">
        <v>798791040.42000008</v>
      </c>
      <c r="G1774" s="103">
        <v>0</v>
      </c>
      <c r="H1774" s="105">
        <f t="shared" si="52"/>
        <v>1493109405.4200001</v>
      </c>
      <c r="I1774" s="103">
        <v>0</v>
      </c>
    </row>
    <row r="1775" spans="1:11">
      <c r="A1775" s="101" t="s">
        <v>78</v>
      </c>
      <c r="B1775" s="88" t="s">
        <v>528</v>
      </c>
      <c r="C1775" s="102">
        <v>2019</v>
      </c>
      <c r="D1775" s="103">
        <v>375458402</v>
      </c>
      <c r="E1775" s="103">
        <v>316566250</v>
      </c>
      <c r="F1775" s="103">
        <v>794568555.39999998</v>
      </c>
      <c r="G1775" s="103">
        <v>0</v>
      </c>
      <c r="H1775" s="105">
        <f t="shared" si="52"/>
        <v>1486593207.4000001</v>
      </c>
      <c r="I1775" s="103">
        <v>0</v>
      </c>
      <c r="J1775" s="109" t="s">
        <v>689</v>
      </c>
      <c r="K1775" s="52" t="s">
        <v>677</v>
      </c>
    </row>
    <row r="1776" spans="1:11">
      <c r="A1776" s="101" t="s">
        <v>78</v>
      </c>
      <c r="B1776" s="88" t="s">
        <v>528</v>
      </c>
      <c r="C1776" s="102">
        <v>2020</v>
      </c>
      <c r="D1776" s="103">
        <v>291049094</v>
      </c>
      <c r="E1776" s="103">
        <v>248114154</v>
      </c>
      <c r="F1776" s="103">
        <v>799168038</v>
      </c>
      <c r="G1776" s="103">
        <v>0</v>
      </c>
      <c r="H1776" s="105">
        <f t="shared" si="52"/>
        <v>1338331286</v>
      </c>
      <c r="I1776" s="103">
        <v>0</v>
      </c>
      <c r="J1776" s="109" t="s">
        <v>680</v>
      </c>
    </row>
    <row r="1777" spans="1:9">
      <c r="A1777" s="101"/>
      <c r="B1777" s="107"/>
      <c r="D1777" s="104"/>
      <c r="E1777" s="104"/>
      <c r="F1777" s="104"/>
      <c r="G1777" s="104"/>
      <c r="H1777" s="103"/>
      <c r="I1777" s="103"/>
    </row>
    <row r="1778" spans="1:9">
      <c r="A1778" s="117" t="s">
        <v>714</v>
      </c>
      <c r="B1778" s="117" t="s">
        <v>714</v>
      </c>
      <c r="C1778" s="118">
        <v>1988</v>
      </c>
      <c r="D1778" s="104">
        <f>D7+D41+D75+D109+D143+D177+D211+D245+D279+D313+D348+D382+D416+D450+D484+D518+D552+D586+D620+D654+D688+D722+D756+D790+D824+D858+D892+D926+D960+D994+D1028+D1062+D1096+D1130+D1165+D1199+D1233+D1267+D1301+D1336+D1370+D1404+D1438+D1472+D1506+D1540+D1574+D1608+D1642+D1676+D1710+D1744</f>
        <v>56388254348</v>
      </c>
      <c r="E1778" s="104">
        <f>E7+E41+E75+E109+E143+E177+E211+E245+E279+E313+E348+E382+E416+E450+E484+E518+E552+E586+E620+E654+E688+E722+E756+E790+E824+E858+E892+E926+E960+E994+E1028+E1062+E1096+E1130+E1165+E1199+E1233+E1267+E1301+E1336+E1370+E1404+E1438+E1472+E1506+E1540+E1574+E1608+E1642+E1676+E1710+E1744</f>
        <v>47263267591</v>
      </c>
      <c r="F1778" s="104">
        <f>F7+F41+F75+F109+F143+F177+F211+F245+F279+F313+F348+F382+F416+F450+F484+F518+F552+F586+F620+F654+F688+F722+F756+F790+F824+F858+F892+F926+F960+F994+F1028+F1062+F1096+F1130+F1165+F1199+F1233+F1267+F1301+F1336+F1370+F1404+F1438+F1472+F1506+F1540+F1574+F1608+F1642+F1676+F1710+F1744</f>
        <v>67909694904</v>
      </c>
      <c r="G1778" s="104">
        <f>G7+G41+G75+G109+G143+G177+G211+G245+G279+G313+G348+G382+G416+G450+G484+G518+G552+G586+G620+G654+G688+G722+G756+G790+G824+G858+G892+G926+G960+G994+G1028+G1062+G1096+G1130+G1165+G1199+G1233+G1267+G1301+G1336+G1370+G1404+G1438+G1472+G1506+G1540+G1574+G1608+G1642+G1676+G1710+G1744</f>
        <v>13003786835</v>
      </c>
      <c r="H1778" s="105">
        <f t="shared" ref="H1778:I1793" si="53">+H41+H7+H109+H75+H143+H177+H211+H245+H313+H348+H382+H518+H416+H450+H484+H552+H586+H620+H722+H688+H654+H756+H790+H858+H824+H892+H1130+H1165+H926+H994+H1028+H1062+H960+H1096+H1199+H1233+H1267+H1301+H1336+H1370+H1404+H1438+H1472+H1506+H1540+H1608+H1574+H1642+H1710+H1676+H1744+H279</f>
        <v>184565003678</v>
      </c>
      <c r="I1778" s="103">
        <f t="shared" si="53"/>
        <v>65627302</v>
      </c>
    </row>
    <row r="1779" spans="1:9">
      <c r="A1779" s="117" t="s">
        <v>714</v>
      </c>
      <c r="B1779" s="117" t="s">
        <v>714</v>
      </c>
      <c r="C1779" s="118">
        <v>1989</v>
      </c>
      <c r="D1779" s="104">
        <f t="shared" ref="D1779:G1794" si="54">D8+D42+D76+D110+D144+D178+D212+D246+D280+D314+D349+D383+D417+D451+D485+D519+D553+D587+D621+D655+D689+D723+D757+D791+D825+D859+D893+D927+D961+D995+D1029+D1063+D1097+D1131+D1166+D1200+D1234+D1268+D1302+D1337+D1371+D1405+D1439+D1473+D1507+D1541+D1575+D1609+D1643+D1677+D1711+D1745</f>
        <v>55236476397</v>
      </c>
      <c r="E1779" s="104">
        <f t="shared" si="54"/>
        <v>51478466586</v>
      </c>
      <c r="F1779" s="104">
        <f t="shared" si="54"/>
        <v>72068971823</v>
      </c>
      <c r="G1779" s="104">
        <f t="shared" si="54"/>
        <v>13398723461</v>
      </c>
      <c r="H1779" s="105">
        <f t="shared" si="53"/>
        <v>192182638267</v>
      </c>
      <c r="I1779" s="103">
        <f t="shared" si="53"/>
        <v>83207030</v>
      </c>
    </row>
    <row r="1780" spans="1:9">
      <c r="A1780" s="117" t="s">
        <v>714</v>
      </c>
      <c r="B1780" s="117" t="s">
        <v>714</v>
      </c>
      <c r="C1780" s="118">
        <v>1990</v>
      </c>
      <c r="D1780" s="104">
        <f t="shared" si="54"/>
        <v>59745978030</v>
      </c>
      <c r="E1780" s="104">
        <f t="shared" si="54"/>
        <v>59210480857.200012</v>
      </c>
      <c r="F1780" s="104">
        <f t="shared" si="54"/>
        <v>76031191445</v>
      </c>
      <c r="G1780" s="104">
        <f t="shared" si="54"/>
        <v>13185715755</v>
      </c>
      <c r="H1780" s="105">
        <f t="shared" si="53"/>
        <v>208173366087.20001</v>
      </c>
      <c r="I1780" s="103">
        <f t="shared" si="53"/>
        <v>86486025</v>
      </c>
    </row>
    <row r="1781" spans="1:9">
      <c r="A1781" s="117" t="s">
        <v>714</v>
      </c>
      <c r="B1781" s="117" t="s">
        <v>714</v>
      </c>
      <c r="C1781" s="118">
        <v>1991</v>
      </c>
      <c r="D1781" s="104">
        <f t="shared" si="54"/>
        <v>63124415917</v>
      </c>
      <c r="E1781" s="104">
        <f t="shared" si="54"/>
        <v>54110160997</v>
      </c>
      <c r="F1781" s="104">
        <f t="shared" si="54"/>
        <v>77211223791</v>
      </c>
      <c r="G1781" s="104">
        <f t="shared" si="54"/>
        <v>15049158581</v>
      </c>
      <c r="H1781" s="105">
        <f t="shared" si="53"/>
        <v>209494959286</v>
      </c>
      <c r="I1781" s="103">
        <f t="shared" si="53"/>
        <v>101244119</v>
      </c>
    </row>
    <row r="1782" spans="1:9">
      <c r="A1782" s="117" t="s">
        <v>714</v>
      </c>
      <c r="B1782" s="117" t="s">
        <v>714</v>
      </c>
      <c r="C1782" s="118">
        <v>1992</v>
      </c>
      <c r="D1782" s="104">
        <f t="shared" si="54"/>
        <v>66782571580</v>
      </c>
      <c r="E1782" s="104">
        <f t="shared" si="54"/>
        <v>56703419958.799988</v>
      </c>
      <c r="F1782" s="104">
        <f t="shared" si="54"/>
        <v>79348307053</v>
      </c>
      <c r="G1782" s="104">
        <f t="shared" si="54"/>
        <v>12888318201</v>
      </c>
      <c r="H1782" s="105">
        <f t="shared" si="53"/>
        <v>215722616792.80002</v>
      </c>
      <c r="I1782" s="103">
        <f t="shared" si="53"/>
        <v>126323239</v>
      </c>
    </row>
    <row r="1783" spans="1:9">
      <c r="A1783" s="117" t="s">
        <v>714</v>
      </c>
      <c r="B1783" s="117" t="s">
        <v>714</v>
      </c>
      <c r="C1783" s="118">
        <v>1993</v>
      </c>
      <c r="D1783" s="104">
        <f t="shared" si="54"/>
        <v>71523564638</v>
      </c>
      <c r="E1783" s="104">
        <f t="shared" si="54"/>
        <v>48902588001</v>
      </c>
      <c r="F1783" s="104">
        <f t="shared" si="54"/>
        <v>82280654795</v>
      </c>
      <c r="G1783" s="104">
        <f t="shared" si="54"/>
        <v>12195899332</v>
      </c>
      <c r="H1783" s="105">
        <f t="shared" si="53"/>
        <v>214902706766</v>
      </c>
      <c r="I1783" s="103">
        <f t="shared" si="53"/>
        <v>116194692</v>
      </c>
    </row>
    <row r="1784" spans="1:9">
      <c r="A1784" s="117" t="s">
        <v>714</v>
      </c>
      <c r="B1784" s="117" t="s">
        <v>714</v>
      </c>
      <c r="C1784" s="118">
        <v>1994</v>
      </c>
      <c r="D1784" s="104">
        <f t="shared" si="54"/>
        <v>76465077072</v>
      </c>
      <c r="E1784" s="104">
        <f t="shared" si="54"/>
        <v>64056662631</v>
      </c>
      <c r="F1784" s="104">
        <f t="shared" si="54"/>
        <v>82657912116</v>
      </c>
      <c r="G1784" s="104">
        <f t="shared" si="54"/>
        <v>11394978331</v>
      </c>
      <c r="H1784" s="105">
        <f t="shared" si="53"/>
        <v>234574630150</v>
      </c>
      <c r="I1784" s="103">
        <f t="shared" si="53"/>
        <v>127716287</v>
      </c>
    </row>
    <row r="1785" spans="1:9">
      <c r="A1785" s="117" t="s">
        <v>714</v>
      </c>
      <c r="B1785" s="117" t="s">
        <v>714</v>
      </c>
      <c r="C1785" s="118">
        <v>1995</v>
      </c>
      <c r="D1785" s="104">
        <f t="shared" si="54"/>
        <v>81386026586</v>
      </c>
      <c r="E1785" s="104">
        <f t="shared" si="54"/>
        <v>65051449590</v>
      </c>
      <c r="F1785" s="104">
        <f t="shared" si="54"/>
        <v>88302485204</v>
      </c>
      <c r="G1785" s="104">
        <f t="shared" si="54"/>
        <v>10670395993</v>
      </c>
      <c r="H1785" s="105">
        <f t="shared" si="53"/>
        <v>245410357373</v>
      </c>
      <c r="I1785" s="103">
        <f t="shared" si="53"/>
        <v>147261114</v>
      </c>
    </row>
    <row r="1786" spans="1:9">
      <c r="A1786" s="117" t="s">
        <v>714</v>
      </c>
      <c r="B1786" s="117" t="s">
        <v>714</v>
      </c>
      <c r="C1786" s="118">
        <v>1996</v>
      </c>
      <c r="D1786" s="104">
        <f t="shared" si="54"/>
        <v>80118134719</v>
      </c>
      <c r="E1786" s="104">
        <f t="shared" si="54"/>
        <v>56008408418</v>
      </c>
      <c r="F1786" s="104">
        <f t="shared" si="54"/>
        <v>93955094633</v>
      </c>
      <c r="G1786" s="104">
        <f t="shared" si="54"/>
        <v>8691527510</v>
      </c>
      <c r="H1786" s="105">
        <f t="shared" si="53"/>
        <v>238773165280</v>
      </c>
      <c r="I1786" s="103">
        <f t="shared" si="53"/>
        <v>115973403</v>
      </c>
    </row>
    <row r="1787" spans="1:9">
      <c r="A1787" s="117" t="s">
        <v>714</v>
      </c>
      <c r="B1787" s="117" t="s">
        <v>714</v>
      </c>
      <c r="C1787" s="118">
        <v>1997</v>
      </c>
      <c r="D1787" s="104">
        <f t="shared" si="54"/>
        <v>81291968089</v>
      </c>
      <c r="E1787" s="104">
        <f t="shared" si="54"/>
        <v>60690697981</v>
      </c>
      <c r="F1787" s="104">
        <f t="shared" si="54"/>
        <v>95865833782</v>
      </c>
      <c r="G1787" s="104">
        <f t="shared" si="54"/>
        <v>9343241569</v>
      </c>
      <c r="H1787" s="105">
        <f t="shared" si="53"/>
        <v>247191741421</v>
      </c>
      <c r="I1787" s="103">
        <f t="shared" si="53"/>
        <v>131079061</v>
      </c>
    </row>
    <row r="1788" spans="1:9">
      <c r="A1788" s="117" t="s">
        <v>714</v>
      </c>
      <c r="B1788" s="117" t="s">
        <v>714</v>
      </c>
      <c r="C1788" s="118">
        <v>1998</v>
      </c>
      <c r="D1788" s="104">
        <f t="shared" si="54"/>
        <v>84536044451</v>
      </c>
      <c r="E1788" s="104">
        <f t="shared" si="54"/>
        <v>58426760693</v>
      </c>
      <c r="F1788" s="104">
        <f t="shared" si="54"/>
        <v>101781346921</v>
      </c>
      <c r="G1788" s="104">
        <f t="shared" si="54"/>
        <v>7868201364</v>
      </c>
      <c r="H1788" s="105">
        <f t="shared" si="53"/>
        <v>252612353429</v>
      </c>
      <c r="I1788" s="103">
        <f t="shared" si="53"/>
        <v>126213567</v>
      </c>
    </row>
    <row r="1789" spans="1:9">
      <c r="A1789" s="117" t="s">
        <v>714</v>
      </c>
      <c r="B1789" s="117" t="s">
        <v>714</v>
      </c>
      <c r="C1789" s="118">
        <v>1999</v>
      </c>
      <c r="D1789" s="104">
        <f t="shared" si="54"/>
        <v>83270387788</v>
      </c>
      <c r="E1789" s="104">
        <f t="shared" si="54"/>
        <v>78982290908</v>
      </c>
      <c r="F1789" s="104">
        <f t="shared" si="54"/>
        <v>110138309203</v>
      </c>
      <c r="G1789" s="104">
        <f t="shared" si="54"/>
        <v>10556342192</v>
      </c>
      <c r="H1789" s="105">
        <f t="shared" si="53"/>
        <v>282947330091</v>
      </c>
      <c r="I1789" s="103">
        <f t="shared" si="53"/>
        <v>156700755</v>
      </c>
    </row>
    <row r="1790" spans="1:9">
      <c r="A1790" s="117" t="s">
        <v>714</v>
      </c>
      <c r="B1790" s="117" t="s">
        <v>714</v>
      </c>
      <c r="C1790" s="118">
        <v>2000</v>
      </c>
      <c r="D1790" s="104">
        <f t="shared" si="54"/>
        <v>86513095925</v>
      </c>
      <c r="E1790" s="104">
        <f t="shared" si="54"/>
        <v>87438425121</v>
      </c>
      <c r="F1790" s="104">
        <f t="shared" si="54"/>
        <v>119747691202</v>
      </c>
      <c r="G1790" s="104">
        <f t="shared" si="54"/>
        <v>9908443089</v>
      </c>
      <c r="H1790" s="105">
        <f t="shared" si="53"/>
        <v>303607655337</v>
      </c>
      <c r="I1790" s="103">
        <f t="shared" si="53"/>
        <v>183293590</v>
      </c>
    </row>
    <row r="1791" spans="1:9">
      <c r="A1791" s="117" t="s">
        <v>714</v>
      </c>
      <c r="B1791" s="117" t="s">
        <v>714</v>
      </c>
      <c r="C1791" s="118">
        <v>2001</v>
      </c>
      <c r="D1791" s="104">
        <f t="shared" si="54"/>
        <v>86584179826</v>
      </c>
      <c r="E1791" s="104">
        <f t="shared" si="54"/>
        <v>119908161439.33998</v>
      </c>
      <c r="F1791" s="104">
        <f t="shared" si="54"/>
        <v>127080474825</v>
      </c>
      <c r="G1791" s="104">
        <f t="shared" si="54"/>
        <v>8805598828</v>
      </c>
      <c r="H1791" s="105">
        <f t="shared" si="53"/>
        <v>342378414918.34003</v>
      </c>
      <c r="I1791" s="103">
        <f t="shared" si="53"/>
        <v>209532372</v>
      </c>
    </row>
    <row r="1792" spans="1:9">
      <c r="A1792" s="117" t="s">
        <v>714</v>
      </c>
      <c r="B1792" s="117" t="s">
        <v>714</v>
      </c>
      <c r="C1792" s="118">
        <v>2002</v>
      </c>
      <c r="D1792" s="104">
        <f t="shared" si="54"/>
        <v>89188766523</v>
      </c>
      <c r="E1792" s="104">
        <f t="shared" si="54"/>
        <v>159868596257</v>
      </c>
      <c r="F1792" s="104">
        <f t="shared" si="54"/>
        <v>131848549131</v>
      </c>
      <c r="G1792" s="104">
        <f t="shared" si="54"/>
        <v>10010314823</v>
      </c>
      <c r="H1792" s="105">
        <f t="shared" si="53"/>
        <v>390916226734</v>
      </c>
      <c r="I1792" s="103">
        <f t="shared" si="53"/>
        <v>267549817</v>
      </c>
    </row>
    <row r="1793" spans="1:9">
      <c r="A1793" s="117" t="s">
        <v>714</v>
      </c>
      <c r="B1793" s="117" t="s">
        <v>714</v>
      </c>
      <c r="C1793" s="118">
        <v>2003</v>
      </c>
      <c r="D1793" s="104">
        <f t="shared" si="54"/>
        <v>93464790691</v>
      </c>
      <c r="E1793" s="104">
        <f t="shared" si="54"/>
        <v>144016510266</v>
      </c>
      <c r="F1793" s="104">
        <f t="shared" si="54"/>
        <v>141196916058</v>
      </c>
      <c r="G1793" s="104">
        <f t="shared" si="54"/>
        <v>9954299225</v>
      </c>
      <c r="H1793" s="105">
        <f t="shared" ref="H1793:H1803" si="55">SUM(D1793:G1793)</f>
        <v>388632516240</v>
      </c>
      <c r="I1793" s="103">
        <f t="shared" si="53"/>
        <v>353051201</v>
      </c>
    </row>
    <row r="1794" spans="1:9">
      <c r="A1794" s="117" t="s">
        <v>714</v>
      </c>
      <c r="B1794" s="117" t="s">
        <v>714</v>
      </c>
      <c r="C1794" s="118">
        <v>2004</v>
      </c>
      <c r="D1794" s="104">
        <f t="shared" si="54"/>
        <v>97758552855</v>
      </c>
      <c r="E1794" s="104">
        <f t="shared" si="54"/>
        <v>128661045820</v>
      </c>
      <c r="F1794" s="104">
        <f t="shared" si="54"/>
        <v>151688095291</v>
      </c>
      <c r="G1794" s="104">
        <f t="shared" si="54"/>
        <v>10309438230</v>
      </c>
      <c r="H1794" s="105">
        <f t="shared" si="55"/>
        <v>388417132196</v>
      </c>
      <c r="I1794" s="103">
        <f t="shared" ref="I1794:I1810" si="56">+I57+I23+I125+I91+I159+I193+I227+I261+I329+I364+I398+I534+I432+I466+I500+I568+I602+I636+I738+I704+I670+I772+I806+I874+I840+I908+I1146+I1181+I942+I1010+I1044+I1078+I976+I1112+I1215+I1249+I1283+I1317+I1352+I1386+I1420+I1454+I1488+I1522+I1556+I1624+I1590+I1658+I1726+I1692+I1760+I295</f>
        <v>1194675812</v>
      </c>
    </row>
    <row r="1795" spans="1:9">
      <c r="A1795" s="117" t="s">
        <v>714</v>
      </c>
      <c r="B1795" s="117" t="s">
        <v>714</v>
      </c>
      <c r="C1795" s="118">
        <v>2005</v>
      </c>
      <c r="D1795" s="104">
        <f t="shared" ref="D1795:G1810" si="57">D24+D58+D92+D126+D160+D194+D228+D262+D296+D330+D365+D399+D433+D467+D501+D535+D569+D603+D637+D671+D705+D739+D773+D807+D841+D875+D909+D943+D977+D1011+D1045+D1079+D1113+D1147+D1182+D1216+D1250+D1284+D1318+D1353+D1387+D1421+D1455+D1489+D1523+D1557+D1591+D1625+D1659+D1693+D1727+D1761</f>
        <v>99468894303</v>
      </c>
      <c r="E1795" s="104">
        <f t="shared" si="57"/>
        <v>115824241087</v>
      </c>
      <c r="F1795" s="104">
        <f t="shared" si="57"/>
        <v>169255920539.65988</v>
      </c>
      <c r="G1795" s="104">
        <f t="shared" si="57"/>
        <v>14193384899</v>
      </c>
      <c r="H1795" s="105">
        <f t="shared" si="55"/>
        <v>398742440828.65991</v>
      </c>
      <c r="I1795" s="103">
        <f t="shared" si="56"/>
        <v>462776297</v>
      </c>
    </row>
    <row r="1796" spans="1:9">
      <c r="A1796" s="117" t="s">
        <v>714</v>
      </c>
      <c r="B1796" s="117" t="s">
        <v>714</v>
      </c>
      <c r="C1796" s="118">
        <v>2006</v>
      </c>
      <c r="D1796" s="104">
        <f t="shared" si="57"/>
        <v>106816940970</v>
      </c>
      <c r="E1796" s="104">
        <f t="shared" si="57"/>
        <v>131414424724</v>
      </c>
      <c r="F1796" s="104">
        <f t="shared" si="57"/>
        <v>186537784151</v>
      </c>
      <c r="G1796" s="104">
        <f t="shared" si="57"/>
        <v>11170278020</v>
      </c>
      <c r="H1796" s="105">
        <f t="shared" si="55"/>
        <v>435939427865</v>
      </c>
      <c r="I1796" s="103">
        <f t="shared" si="56"/>
        <v>751654115</v>
      </c>
    </row>
    <row r="1797" spans="1:9">
      <c r="A1797" s="117" t="s">
        <v>714</v>
      </c>
      <c r="B1797" s="117" t="s">
        <v>714</v>
      </c>
      <c r="C1797" s="118">
        <v>2007</v>
      </c>
      <c r="D1797" s="104">
        <f t="shared" si="57"/>
        <v>111078083735</v>
      </c>
      <c r="E1797" s="104">
        <f t="shared" si="57"/>
        <v>131995573268</v>
      </c>
      <c r="F1797" s="104">
        <f t="shared" si="57"/>
        <v>222446629264</v>
      </c>
      <c r="G1797" s="104">
        <f t="shared" si="57"/>
        <v>10766647202</v>
      </c>
      <c r="H1797" s="105">
        <f t="shared" si="55"/>
        <v>476286933469</v>
      </c>
      <c r="I1797" s="103">
        <f t="shared" si="56"/>
        <v>763710560</v>
      </c>
    </row>
    <row r="1798" spans="1:9">
      <c r="A1798" s="117" t="s">
        <v>714</v>
      </c>
      <c r="B1798" s="117" t="s">
        <v>714</v>
      </c>
      <c r="C1798" s="118">
        <v>2008</v>
      </c>
      <c r="D1798" s="104">
        <f t="shared" si="57"/>
        <v>113872016914</v>
      </c>
      <c r="E1798" s="104">
        <f t="shared" si="57"/>
        <v>177517861674</v>
      </c>
      <c r="F1798" s="104">
        <f t="shared" si="57"/>
        <v>239512104752</v>
      </c>
      <c r="G1798" s="104">
        <f t="shared" si="57"/>
        <v>12900051392</v>
      </c>
      <c r="H1798" s="105">
        <f t="shared" si="55"/>
        <v>543802034732</v>
      </c>
      <c r="I1798" s="103">
        <f t="shared" si="56"/>
        <v>916292536</v>
      </c>
    </row>
    <row r="1799" spans="1:9">
      <c r="A1799" s="117" t="s">
        <v>714</v>
      </c>
      <c r="B1799" s="117" t="s">
        <v>714</v>
      </c>
      <c r="C1799" s="118">
        <v>2009</v>
      </c>
      <c r="D1799" s="104">
        <f t="shared" si="57"/>
        <v>119443043510</v>
      </c>
      <c r="E1799" s="104">
        <f t="shared" si="57"/>
        <v>170434394828</v>
      </c>
      <c r="F1799" s="104">
        <f t="shared" si="57"/>
        <v>248889171755</v>
      </c>
      <c r="G1799" s="104">
        <f t="shared" si="57"/>
        <v>9620869867</v>
      </c>
      <c r="H1799" s="105">
        <f t="shared" si="55"/>
        <v>548387479960</v>
      </c>
      <c r="I1799" s="103">
        <f t="shared" si="56"/>
        <v>657497112</v>
      </c>
    </row>
    <row r="1800" spans="1:9">
      <c r="A1800" s="117" t="s">
        <v>714</v>
      </c>
      <c r="B1800" s="117" t="s">
        <v>714</v>
      </c>
      <c r="C1800" s="118">
        <v>2010</v>
      </c>
      <c r="D1800" s="104">
        <f t="shared" si="57"/>
        <v>124505221626</v>
      </c>
      <c r="E1800" s="104">
        <f t="shared" si="57"/>
        <v>146713068062</v>
      </c>
      <c r="F1800" s="104">
        <f t="shared" si="57"/>
        <v>251663371951</v>
      </c>
      <c r="G1800" s="104">
        <f t="shared" si="57"/>
        <v>9047202581</v>
      </c>
      <c r="H1800" s="105">
        <f t="shared" si="55"/>
        <v>531928864220</v>
      </c>
      <c r="I1800" s="103">
        <f t="shared" si="56"/>
        <v>861262702</v>
      </c>
    </row>
    <row r="1801" spans="1:9">
      <c r="A1801" s="117" t="s">
        <v>714</v>
      </c>
      <c r="B1801" s="117" t="s">
        <v>714</v>
      </c>
      <c r="C1801" s="118">
        <v>2011</v>
      </c>
      <c r="D1801" s="104">
        <f t="shared" si="57"/>
        <v>128174003946</v>
      </c>
      <c r="E1801" s="104">
        <f t="shared" si="57"/>
        <v>142768540371</v>
      </c>
      <c r="F1801" s="104">
        <f t="shared" si="57"/>
        <v>256532569783.26999</v>
      </c>
      <c r="G1801" s="104">
        <f t="shared" si="57"/>
        <v>9378004926</v>
      </c>
      <c r="H1801" s="105">
        <f t="shared" si="55"/>
        <v>536853119026.27002</v>
      </c>
      <c r="I1801" s="103">
        <f t="shared" si="56"/>
        <v>779149102</v>
      </c>
    </row>
    <row r="1802" spans="1:9">
      <c r="A1802" s="117" t="s">
        <v>714</v>
      </c>
      <c r="B1802" s="117" t="s">
        <v>714</v>
      </c>
      <c r="C1802" s="118">
        <v>2012</v>
      </c>
      <c r="D1802" s="104">
        <f t="shared" si="57"/>
        <v>134388725185</v>
      </c>
      <c r="E1802" s="104">
        <f t="shared" si="57"/>
        <v>173878995358</v>
      </c>
      <c r="F1802" s="104">
        <f t="shared" si="57"/>
        <v>252255281603</v>
      </c>
      <c r="G1802" s="104">
        <f t="shared" si="57"/>
        <v>15570096531</v>
      </c>
      <c r="H1802" s="105">
        <f t="shared" si="55"/>
        <v>576093098677</v>
      </c>
      <c r="I1802" s="103">
        <f t="shared" si="56"/>
        <v>734318146</v>
      </c>
    </row>
    <row r="1803" spans="1:9">
      <c r="A1803" s="117" t="s">
        <v>714</v>
      </c>
      <c r="B1803" s="117" t="s">
        <v>714</v>
      </c>
      <c r="C1803" s="118">
        <v>2013</v>
      </c>
      <c r="D1803" s="104">
        <f t="shared" si="57"/>
        <v>135862952029</v>
      </c>
      <c r="E1803" s="104">
        <f t="shared" si="57"/>
        <v>150827781178</v>
      </c>
      <c r="F1803" s="104">
        <f t="shared" si="57"/>
        <v>247080907819</v>
      </c>
      <c r="G1803" s="104">
        <f t="shared" si="57"/>
        <v>13292289960</v>
      </c>
      <c r="H1803" s="105">
        <f t="shared" si="55"/>
        <v>547063930986</v>
      </c>
      <c r="I1803" s="103">
        <f t="shared" si="56"/>
        <v>1003857612</v>
      </c>
    </row>
    <row r="1804" spans="1:9">
      <c r="A1804" s="117" t="s">
        <v>714</v>
      </c>
      <c r="B1804" s="117" t="s">
        <v>714</v>
      </c>
      <c r="C1804" s="118">
        <v>2014</v>
      </c>
      <c r="D1804" s="104">
        <f t="shared" si="57"/>
        <v>138178007058</v>
      </c>
      <c r="E1804" s="104">
        <f t="shared" si="57"/>
        <v>166363034520</v>
      </c>
      <c r="F1804" s="104">
        <f t="shared" si="57"/>
        <v>263132265549.24997</v>
      </c>
      <c r="G1804" s="104">
        <f t="shared" si="57"/>
        <v>11999597093</v>
      </c>
      <c r="H1804" s="105">
        <f t="shared" ref="H1804:H1805" si="58">SUM(D1804:G1804)</f>
        <v>579672904220.25</v>
      </c>
      <c r="I1804" s="103">
        <f t="shared" si="56"/>
        <v>2365882418</v>
      </c>
    </row>
    <row r="1805" spans="1:9">
      <c r="A1805" s="117" t="s">
        <v>714</v>
      </c>
      <c r="B1805" s="117" t="s">
        <v>714</v>
      </c>
      <c r="C1805" s="118">
        <v>2015</v>
      </c>
      <c r="D1805" s="104">
        <f t="shared" si="57"/>
        <v>143415900804</v>
      </c>
      <c r="E1805" s="104">
        <f t="shared" si="57"/>
        <v>182599516691</v>
      </c>
      <c r="F1805" s="104">
        <f t="shared" si="57"/>
        <v>258822039559.23099</v>
      </c>
      <c r="G1805" s="104">
        <f t="shared" si="57"/>
        <v>10625793540</v>
      </c>
      <c r="H1805" s="105">
        <f t="shared" si="58"/>
        <v>595463250594.23096</v>
      </c>
      <c r="I1805" s="103">
        <f t="shared" si="56"/>
        <v>3571341276</v>
      </c>
    </row>
    <row r="1806" spans="1:9">
      <c r="A1806" s="117" t="s">
        <v>714</v>
      </c>
      <c r="B1806" s="117" t="s">
        <v>714</v>
      </c>
      <c r="C1806" s="118">
        <v>2016</v>
      </c>
      <c r="D1806" s="104">
        <f t="shared" si="57"/>
        <v>147863583193</v>
      </c>
      <c r="E1806" s="104">
        <f t="shared" si="57"/>
        <v>200288313107</v>
      </c>
      <c r="F1806" s="104">
        <f t="shared" si="57"/>
        <v>256705732074</v>
      </c>
      <c r="G1806" s="104">
        <f t="shared" si="57"/>
        <v>14950963383</v>
      </c>
      <c r="H1806" s="105">
        <f t="shared" ref="H1806" si="59">SUM(D1806:G1806)</f>
        <v>619808591757</v>
      </c>
      <c r="I1806" s="103">
        <f t="shared" si="56"/>
        <v>2709467709</v>
      </c>
    </row>
    <row r="1807" spans="1:9">
      <c r="A1807" s="117" t="s">
        <v>714</v>
      </c>
      <c r="B1807" s="117" t="s">
        <v>714</v>
      </c>
      <c r="C1807" s="118">
        <v>2017</v>
      </c>
      <c r="D1807" s="104">
        <f t="shared" si="57"/>
        <v>153036058838</v>
      </c>
      <c r="E1807" s="104">
        <f t="shared" si="57"/>
        <v>198204488708</v>
      </c>
      <c r="F1807" s="104">
        <f t="shared" si="57"/>
        <v>263710922383.03006</v>
      </c>
      <c r="G1807" s="104">
        <f t="shared" si="57"/>
        <v>13972797689</v>
      </c>
      <c r="H1807" s="105">
        <f t="shared" ref="H1807" si="60">SUM(D1807:G1807)</f>
        <v>628924267618.03003</v>
      </c>
      <c r="I1807" s="103">
        <f t="shared" si="56"/>
        <v>1110847616</v>
      </c>
    </row>
    <row r="1808" spans="1:9">
      <c r="A1808" s="117" t="s">
        <v>714</v>
      </c>
      <c r="B1808" s="117" t="s">
        <v>714</v>
      </c>
      <c r="C1808" s="118">
        <f>C1807+1</f>
        <v>2018</v>
      </c>
      <c r="D1808" s="104">
        <f t="shared" si="57"/>
        <v>155232995530</v>
      </c>
      <c r="E1808" s="104">
        <f t="shared" si="57"/>
        <v>230992141702</v>
      </c>
      <c r="F1808" s="104">
        <f t="shared" si="57"/>
        <v>276045645353.90997</v>
      </c>
      <c r="G1808" s="104">
        <f t="shared" si="57"/>
        <v>9342384943</v>
      </c>
      <c r="H1808" s="105">
        <f t="shared" ref="H1808" si="61">SUM(D1808:G1808)</f>
        <v>671613167528.90991</v>
      </c>
      <c r="I1808" s="103">
        <f t="shared" si="56"/>
        <v>1564038563</v>
      </c>
    </row>
    <row r="1809" spans="1:9">
      <c r="A1809" s="117" t="s">
        <v>714</v>
      </c>
      <c r="B1809" s="117" t="s">
        <v>714</v>
      </c>
      <c r="C1809" s="118">
        <f>C1808+1</f>
        <v>2019</v>
      </c>
      <c r="D1809" s="104">
        <f t="shared" si="57"/>
        <v>161555018130</v>
      </c>
      <c r="E1809" s="104">
        <f t="shared" si="57"/>
        <v>241072790902</v>
      </c>
      <c r="F1809" s="104">
        <f t="shared" si="57"/>
        <v>302199200471.6059</v>
      </c>
      <c r="G1809" s="104">
        <f t="shared" si="57"/>
        <v>12566693703</v>
      </c>
      <c r="H1809" s="105">
        <f t="shared" ref="H1809" si="62">SUM(D1809:G1809)</f>
        <v>717393703206.60596</v>
      </c>
      <c r="I1809" s="103">
        <f t="shared" si="56"/>
        <v>1812247021</v>
      </c>
    </row>
    <row r="1810" spans="1:9">
      <c r="A1810" s="117" t="s">
        <v>714</v>
      </c>
      <c r="B1810" s="117" t="s">
        <v>714</v>
      </c>
      <c r="C1810" s="118">
        <f>C1809+1</f>
        <v>2020</v>
      </c>
      <c r="D1810" s="104">
        <f t="shared" si="57"/>
        <v>162836325493</v>
      </c>
      <c r="E1810" s="104">
        <f t="shared" si="57"/>
        <v>243648568070</v>
      </c>
      <c r="F1810" s="104">
        <f t="shared" si="57"/>
        <v>329409759684</v>
      </c>
      <c r="G1810" s="104">
        <f t="shared" si="57"/>
        <v>14710284171</v>
      </c>
      <c r="H1810" s="105">
        <f t="shared" ref="H1810" si="63">SUM(D1810:G1810)</f>
        <v>750604937418</v>
      </c>
      <c r="I1810" s="103">
        <f t="shared" si="56"/>
        <v>1537431057</v>
      </c>
    </row>
    <row r="1811" spans="1:9">
      <c r="A1811" s="52"/>
      <c r="B1811" s="66"/>
      <c r="D1811" s="103"/>
      <c r="E1811" s="103"/>
      <c r="F1811" s="103"/>
      <c r="G1811" s="103"/>
      <c r="H1811" s="105"/>
      <c r="I1811" s="103"/>
    </row>
    <row r="1812" spans="1:9">
      <c r="A1812" s="52"/>
      <c r="B1812" s="66"/>
      <c r="C1812" s="119" t="s">
        <v>612</v>
      </c>
      <c r="D1812" s="120">
        <f>SUM(D1778:D1811)</f>
        <v>3449106056699</v>
      </c>
      <c r="E1812" s="120">
        <f>SUM(E1778:E1811)</f>
        <v>4145321127365.3398</v>
      </c>
      <c r="F1812" s="120">
        <f t="shared" ref="F1812:I1812" si="64">SUM(F1778:F1811)</f>
        <v>5723312058869.957</v>
      </c>
      <c r="G1812" s="120">
        <f t="shared" si="64"/>
        <v>381341723219</v>
      </c>
      <c r="H1812" s="120">
        <f t="shared" si="64"/>
        <v>13699080966153.295</v>
      </c>
      <c r="I1812" s="120">
        <f t="shared" si="64"/>
        <v>25193903228</v>
      </c>
    </row>
    <row r="1813" spans="1:9">
      <c r="A1813" s="52"/>
      <c r="B1813" s="66"/>
      <c r="C1813" s="118"/>
      <c r="D1813" s="103" t="s">
        <v>623</v>
      </c>
      <c r="E1813" s="103" t="s">
        <v>623</v>
      </c>
      <c r="F1813" s="103" t="s">
        <v>623</v>
      </c>
      <c r="G1813" s="103" t="s">
        <v>623</v>
      </c>
      <c r="H1813" s="103" t="s">
        <v>623</v>
      </c>
      <c r="I1813" s="103" t="s">
        <v>715</v>
      </c>
    </row>
  </sheetData>
  <mergeCells count="5">
    <mergeCell ref="A1:I1"/>
    <mergeCell ref="A2:I2"/>
    <mergeCell ref="B346:I346"/>
    <mergeCell ref="B1163:I1163"/>
    <mergeCell ref="B1335:I1335"/>
  </mergeCells>
  <pageMargins left="0.25" right="0.25" top="0.5" bottom="0.5" header="0.3" footer="0.3"/>
  <pageSetup paperSize="5" scale="6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rowBreaks count="52" manualBreakCount="52">
    <brk id="40" max="10" man="1"/>
    <brk id="74" max="10" man="1"/>
    <brk id="108" max="10" man="1"/>
    <brk id="142" max="10" man="1"/>
    <brk id="176" max="10" man="1"/>
    <brk id="210" max="10" man="1"/>
    <brk id="244" max="10" man="1"/>
    <brk id="278" max="10" man="1"/>
    <brk id="312" max="10" man="1"/>
    <brk id="347" max="10" man="1"/>
    <brk id="381" max="10" man="1"/>
    <brk id="415" max="10" man="1"/>
    <brk id="449" max="10" man="1"/>
    <brk id="483" max="10" man="1"/>
    <brk id="517" max="10" man="1"/>
    <brk id="551" max="10" man="1"/>
    <brk id="585" max="10" man="1"/>
    <brk id="619" max="10" man="1"/>
    <brk id="653" max="10" man="1"/>
    <brk id="687" max="10" man="1"/>
    <brk id="721" max="10" man="1"/>
    <brk id="755" max="10" man="1"/>
    <brk id="789" max="10" man="1"/>
    <brk id="823" max="10" man="1"/>
    <brk id="857" max="10" man="1"/>
    <brk id="891" max="10" man="1"/>
    <brk id="925" max="10" man="1"/>
    <brk id="959" max="10" man="1"/>
    <brk id="993" max="10" man="1"/>
    <brk id="1027" max="10" man="1"/>
    <brk id="1061" max="10" man="1"/>
    <brk id="1095" max="10" man="1"/>
    <brk id="1129" max="10" man="1"/>
    <brk id="1164" max="10" man="1"/>
    <brk id="1198" max="10" man="1"/>
    <brk id="1232" max="10" man="1"/>
    <brk id="1266" max="10" man="1"/>
    <brk id="1300" max="10" man="1"/>
    <brk id="1334" max="10" man="1"/>
    <brk id="1369" max="10" man="1"/>
    <brk id="1403" max="10" man="1"/>
    <brk id="1437" max="10" man="1"/>
    <brk id="1471" max="10" man="1"/>
    <brk id="1505" max="10" man="1"/>
    <brk id="1539" max="10" man="1"/>
    <brk id="1573" max="10" man="1"/>
    <brk id="1607" max="10" man="1"/>
    <brk id="1641" max="10" man="1"/>
    <brk id="1675" max="10" man="1"/>
    <brk id="1709" max="10" man="1"/>
    <brk id="1743" max="10" man="1"/>
    <brk id="1777" max="10"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V64"/>
  <sheetViews>
    <sheetView zoomScale="75" workbookViewId="0">
      <selection sqref="A1:XFD1048576"/>
    </sheetView>
  </sheetViews>
  <sheetFormatPr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129" t="s">
        <v>90</v>
      </c>
      <c r="B1" s="123"/>
      <c r="C1" s="123"/>
      <c r="D1" s="123"/>
      <c r="E1" s="123"/>
      <c r="F1" s="123"/>
      <c r="G1" s="123"/>
    </row>
    <row r="3" spans="1:22">
      <c r="B3" s="130" t="s">
        <v>1</v>
      </c>
      <c r="C3" s="131"/>
      <c r="D3" s="131"/>
      <c r="E3" s="131"/>
      <c r="F3" s="131"/>
      <c r="G3" s="132"/>
      <c r="L3" s="133" t="s">
        <v>2</v>
      </c>
      <c r="M3" s="134"/>
      <c r="N3" s="134"/>
      <c r="O3" s="134"/>
      <c r="P3" s="134"/>
      <c r="Q3" s="134"/>
      <c r="R3" s="134"/>
      <c r="S3" s="134"/>
      <c r="T3" s="134"/>
      <c r="U3" s="134"/>
      <c r="V3" s="135"/>
    </row>
    <row r="4" spans="1:22">
      <c r="B4" s="8"/>
      <c r="G4" s="11"/>
      <c r="L4" s="136" t="s">
        <v>3</v>
      </c>
      <c r="M4" s="137"/>
      <c r="N4" s="4"/>
      <c r="O4" s="138" t="s">
        <v>4</v>
      </c>
      <c r="P4" s="137"/>
      <c r="Q4" s="4"/>
      <c r="R4" s="138" t="s">
        <v>5</v>
      </c>
      <c r="S4" s="137"/>
      <c r="T4" s="4"/>
      <c r="U4" s="138" t="s">
        <v>6</v>
      </c>
      <c r="V4" s="139"/>
    </row>
    <row r="5" spans="1:22" ht="60" customHeight="1">
      <c r="B5" s="9" t="s">
        <v>3</v>
      </c>
      <c r="C5" s="5" t="s">
        <v>4</v>
      </c>
      <c r="D5" s="5" t="s">
        <v>5</v>
      </c>
      <c r="E5" s="5" t="s">
        <v>6</v>
      </c>
      <c r="F5" s="5" t="s">
        <v>7</v>
      </c>
      <c r="G5" s="12" t="s">
        <v>8</v>
      </c>
      <c r="L5" s="15" t="s">
        <v>9</v>
      </c>
      <c r="M5" s="14" t="s">
        <v>10</v>
      </c>
      <c r="N5" s="14"/>
      <c r="O5" s="14" t="s">
        <v>9</v>
      </c>
      <c r="P5" s="14" t="s">
        <v>10</v>
      </c>
      <c r="Q5" s="14"/>
      <c r="R5" s="14" t="s">
        <v>9</v>
      </c>
      <c r="S5" s="14" t="s">
        <v>10</v>
      </c>
      <c r="T5" s="14"/>
      <c r="U5" s="14" t="s">
        <v>9</v>
      </c>
      <c r="V5" s="16" t="s">
        <v>10</v>
      </c>
    </row>
    <row r="6" spans="1:22">
      <c r="A6" s="1" t="s">
        <v>11</v>
      </c>
      <c r="B6" s="29">
        <v>670656.21380465792</v>
      </c>
      <c r="C6" s="30">
        <v>173864.56776451619</v>
      </c>
      <c r="D6" s="30">
        <v>0</v>
      </c>
      <c r="E6" s="30">
        <v>0</v>
      </c>
      <c r="F6" s="30">
        <v>0</v>
      </c>
      <c r="G6" s="31">
        <f>SUM(AL_FINANCIAL)</f>
        <v>844520.78156917414</v>
      </c>
      <c r="H6" s="30"/>
      <c r="I6" s="30"/>
      <c r="J6" s="30"/>
      <c r="K6" s="30"/>
      <c r="L6" s="29">
        <v>1534000</v>
      </c>
      <c r="M6" s="30">
        <v>0</v>
      </c>
      <c r="N6" s="30"/>
      <c r="O6" s="30">
        <v>183188</v>
      </c>
      <c r="P6" s="30">
        <v>0</v>
      </c>
      <c r="Q6" s="30"/>
      <c r="R6" s="30">
        <v>0</v>
      </c>
      <c r="S6" s="30">
        <v>0</v>
      </c>
      <c r="T6" s="30"/>
      <c r="U6" s="30">
        <v>0</v>
      </c>
      <c r="V6" s="31">
        <v>0</v>
      </c>
    </row>
    <row r="7" spans="1:22">
      <c r="A7" s="1" t="s">
        <v>12</v>
      </c>
      <c r="B7" s="29">
        <v>0</v>
      </c>
      <c r="C7" s="30">
        <v>0</v>
      </c>
      <c r="D7" s="30">
        <v>0</v>
      </c>
      <c r="E7" s="30">
        <v>0</v>
      </c>
      <c r="F7" s="30">
        <v>0</v>
      </c>
      <c r="G7" s="31">
        <f>SUM(AK_FINANCIAL)</f>
        <v>0</v>
      </c>
      <c r="H7" s="30"/>
      <c r="I7" s="32"/>
      <c r="J7" s="33"/>
      <c r="K7" s="30"/>
      <c r="L7" s="29"/>
      <c r="M7" s="30"/>
      <c r="N7" s="30"/>
      <c r="O7" s="30"/>
      <c r="P7" s="30"/>
      <c r="Q7" s="30"/>
      <c r="R7" s="30"/>
      <c r="S7" s="30"/>
      <c r="T7" s="30"/>
      <c r="U7" s="30"/>
      <c r="V7" s="31"/>
    </row>
    <row r="8" spans="1:22">
      <c r="A8" s="1" t="s">
        <v>13</v>
      </c>
      <c r="B8" s="29">
        <v>0</v>
      </c>
      <c r="C8" s="30">
        <v>0</v>
      </c>
      <c r="D8" s="30">
        <v>0</v>
      </c>
      <c r="E8" s="30">
        <v>0</v>
      </c>
      <c r="F8" s="30">
        <v>0</v>
      </c>
      <c r="G8" s="31">
        <f>SUM(AZ_FINANCIAL)</f>
        <v>0</v>
      </c>
      <c r="H8" s="30"/>
      <c r="I8" s="34" t="s">
        <v>14</v>
      </c>
      <c r="J8" s="35"/>
      <c r="K8" s="30"/>
      <c r="L8" s="29"/>
      <c r="M8" s="30"/>
      <c r="N8" s="30"/>
      <c r="O8" s="30"/>
      <c r="P8" s="30"/>
      <c r="Q8" s="30"/>
      <c r="R8" s="30"/>
      <c r="S8" s="30"/>
      <c r="T8" s="30"/>
      <c r="U8" s="30"/>
      <c r="V8" s="31"/>
    </row>
    <row r="9" spans="1:22">
      <c r="A9" s="1" t="s">
        <v>15</v>
      </c>
      <c r="B9" s="29">
        <v>361821.52096332179</v>
      </c>
      <c r="C9" s="30">
        <v>93800.580767467458</v>
      </c>
      <c r="D9" s="30">
        <v>0</v>
      </c>
      <c r="E9" s="30">
        <v>0</v>
      </c>
      <c r="F9" s="30">
        <v>0</v>
      </c>
      <c r="G9" s="31">
        <f>SUM(AR_FINANCIAL)</f>
        <v>455622.10173078923</v>
      </c>
      <c r="H9" s="30"/>
      <c r="I9" s="34"/>
      <c r="J9" s="35"/>
      <c r="K9" s="30"/>
      <c r="L9" s="29">
        <v>900802</v>
      </c>
      <c r="M9" s="30">
        <v>0</v>
      </c>
      <c r="N9" s="30"/>
      <c r="O9" s="30">
        <v>0</v>
      </c>
      <c r="P9" s="30">
        <v>0</v>
      </c>
      <c r="Q9" s="30"/>
      <c r="R9" s="30">
        <v>0</v>
      </c>
      <c r="S9" s="30">
        <v>0</v>
      </c>
      <c r="T9" s="30"/>
      <c r="U9" s="30">
        <v>0</v>
      </c>
      <c r="V9" s="31">
        <v>0</v>
      </c>
    </row>
    <row r="10" spans="1:22">
      <c r="A10" s="1" t="s">
        <v>16</v>
      </c>
      <c r="B10" s="29">
        <v>0</v>
      </c>
      <c r="C10" s="30">
        <v>0</v>
      </c>
      <c r="D10" s="30">
        <v>0</v>
      </c>
      <c r="E10" s="30">
        <v>0</v>
      </c>
      <c r="F10" s="30">
        <v>0</v>
      </c>
      <c r="G10" s="31">
        <f>SUM(CA_FINANCIAL)</f>
        <v>0</v>
      </c>
      <c r="H10" s="30"/>
      <c r="I10" s="34" t="s">
        <v>17</v>
      </c>
      <c r="J10" s="35">
        <v>55014949.354009047</v>
      </c>
      <c r="K10" s="30"/>
      <c r="L10" s="29"/>
      <c r="M10" s="30"/>
      <c r="N10" s="30"/>
      <c r="O10" s="30"/>
      <c r="P10" s="30"/>
      <c r="Q10" s="30"/>
      <c r="R10" s="30"/>
      <c r="S10" s="30"/>
      <c r="T10" s="30"/>
      <c r="U10" s="30"/>
      <c r="V10" s="31"/>
    </row>
    <row r="11" spans="1:22">
      <c r="A11" s="1" t="s">
        <v>18</v>
      </c>
      <c r="B11" s="29">
        <v>0</v>
      </c>
      <c r="C11" s="30">
        <v>0</v>
      </c>
      <c r="D11" s="30">
        <v>0</v>
      </c>
      <c r="E11" s="30">
        <v>0</v>
      </c>
      <c r="F11" s="30">
        <v>0</v>
      </c>
      <c r="G11" s="31">
        <f>SUM(CO_FINANCIAL)</f>
        <v>0</v>
      </c>
      <c r="H11" s="30"/>
      <c r="I11" s="34"/>
      <c r="J11" s="35"/>
      <c r="K11" s="30"/>
      <c r="L11" s="29"/>
      <c r="M11" s="30"/>
      <c r="N11" s="30"/>
      <c r="O11" s="30"/>
      <c r="P11" s="30"/>
      <c r="Q11" s="30"/>
      <c r="R11" s="30"/>
      <c r="S11" s="30"/>
      <c r="T11" s="30"/>
      <c r="U11" s="30"/>
      <c r="V11" s="31"/>
    </row>
    <row r="12" spans="1:22">
      <c r="A12" s="1" t="s">
        <v>19</v>
      </c>
      <c r="B12" s="29">
        <v>0</v>
      </c>
      <c r="C12" s="30">
        <v>0</v>
      </c>
      <c r="D12" s="30">
        <v>0</v>
      </c>
      <c r="E12" s="30">
        <v>0</v>
      </c>
      <c r="F12" s="30">
        <v>0</v>
      </c>
      <c r="G12" s="31">
        <f>SUM(CT_FINANCIAL)</f>
        <v>0</v>
      </c>
      <c r="H12" s="30"/>
      <c r="I12" s="34" t="s">
        <v>20</v>
      </c>
      <c r="J12" s="35"/>
      <c r="K12" s="30"/>
      <c r="L12" s="29"/>
      <c r="M12" s="30"/>
      <c r="N12" s="30"/>
      <c r="O12" s="30"/>
      <c r="P12" s="30"/>
      <c r="Q12" s="30"/>
      <c r="R12" s="30"/>
      <c r="S12" s="30"/>
      <c r="T12" s="30"/>
      <c r="U12" s="30"/>
      <c r="V12" s="31"/>
    </row>
    <row r="13" spans="1:22">
      <c r="A13" s="1" t="s">
        <v>21</v>
      </c>
      <c r="B13" s="29">
        <v>0</v>
      </c>
      <c r="C13" s="30">
        <v>0</v>
      </c>
      <c r="D13" s="30">
        <v>0</v>
      </c>
      <c r="E13" s="30">
        <v>0</v>
      </c>
      <c r="F13" s="30">
        <v>0</v>
      </c>
      <c r="G13" s="31">
        <f>SUM(DE_FINANCIAL)</f>
        <v>0</v>
      </c>
      <c r="H13" s="30"/>
      <c r="I13" s="34" t="s">
        <v>22</v>
      </c>
      <c r="J13" s="35">
        <v>0</v>
      </c>
      <c r="K13" s="30"/>
      <c r="L13" s="29"/>
      <c r="M13" s="30"/>
      <c r="N13" s="30"/>
      <c r="O13" s="30"/>
      <c r="P13" s="30"/>
      <c r="Q13" s="30"/>
      <c r="R13" s="30"/>
      <c r="S13" s="30"/>
      <c r="T13" s="30"/>
      <c r="U13" s="30"/>
      <c r="V13" s="31"/>
    </row>
    <row r="14" spans="1:22">
      <c r="A14" s="1" t="s">
        <v>23</v>
      </c>
      <c r="B14" s="29">
        <v>0</v>
      </c>
      <c r="C14" s="30">
        <v>0</v>
      </c>
      <c r="D14" s="30">
        <v>0</v>
      </c>
      <c r="E14" s="30">
        <v>0</v>
      </c>
      <c r="F14" s="30">
        <v>0</v>
      </c>
      <c r="G14" s="31">
        <f>SUM(DC_FINANCIAL)</f>
        <v>0</v>
      </c>
      <c r="H14" s="30"/>
      <c r="I14" s="34" t="s">
        <v>24</v>
      </c>
      <c r="J14" s="35">
        <v>810410.59000000008</v>
      </c>
      <c r="K14" s="30"/>
      <c r="L14" s="29"/>
      <c r="M14" s="30"/>
      <c r="N14" s="30"/>
      <c r="O14" s="30"/>
      <c r="P14" s="30"/>
      <c r="Q14" s="30"/>
      <c r="R14" s="30"/>
      <c r="S14" s="30"/>
      <c r="T14" s="30"/>
      <c r="U14" s="30"/>
      <c r="V14" s="31"/>
    </row>
    <row r="15" spans="1:22">
      <c r="A15" s="1" t="s">
        <v>25</v>
      </c>
      <c r="B15" s="29">
        <v>0</v>
      </c>
      <c r="C15" s="30">
        <v>0</v>
      </c>
      <c r="D15" s="30">
        <v>0</v>
      </c>
      <c r="E15" s="30">
        <v>0</v>
      </c>
      <c r="F15" s="30">
        <v>0</v>
      </c>
      <c r="G15" s="31">
        <f>SUM(FL_FINANCIAL)</f>
        <v>0</v>
      </c>
      <c r="H15" s="30"/>
      <c r="I15" s="34" t="s">
        <v>26</v>
      </c>
      <c r="J15" s="35">
        <v>970257.21813583095</v>
      </c>
      <c r="K15" s="30"/>
      <c r="L15" s="29"/>
      <c r="M15" s="30"/>
      <c r="N15" s="30"/>
      <c r="O15" s="30"/>
      <c r="P15" s="30"/>
      <c r="Q15" s="30"/>
      <c r="R15" s="30"/>
      <c r="S15" s="30"/>
      <c r="T15" s="30"/>
      <c r="U15" s="30"/>
      <c r="V15" s="31"/>
    </row>
    <row r="16" spans="1:22">
      <c r="A16" s="1" t="s">
        <v>27</v>
      </c>
      <c r="B16" s="29">
        <v>85877.718914252328</v>
      </c>
      <c r="C16" s="30">
        <v>22263.407349831963</v>
      </c>
      <c r="D16" s="30">
        <v>0</v>
      </c>
      <c r="E16" s="30">
        <v>0</v>
      </c>
      <c r="F16" s="30">
        <v>0</v>
      </c>
      <c r="G16" s="31">
        <f>SUM(GA_FINANCIAL)</f>
        <v>108141.12626408429</v>
      </c>
      <c r="H16" s="30"/>
      <c r="I16" s="34" t="s">
        <v>28</v>
      </c>
      <c r="J16" s="35">
        <v>0</v>
      </c>
      <c r="K16" s="30"/>
      <c r="L16" s="29">
        <v>183899</v>
      </c>
      <c r="M16" s="30">
        <v>0</v>
      </c>
      <c r="N16" s="30"/>
      <c r="O16" s="30">
        <v>15255</v>
      </c>
      <c r="P16" s="30">
        <v>403.45</v>
      </c>
      <c r="Q16" s="30"/>
      <c r="R16" s="30">
        <v>0</v>
      </c>
      <c r="S16" s="30">
        <v>0</v>
      </c>
      <c r="T16" s="30"/>
      <c r="U16" s="30">
        <v>0</v>
      </c>
      <c r="V16" s="31">
        <v>0</v>
      </c>
    </row>
    <row r="17" spans="1:22">
      <c r="A17" s="1" t="s">
        <v>29</v>
      </c>
      <c r="B17" s="29">
        <v>0</v>
      </c>
      <c r="C17" s="30">
        <v>0</v>
      </c>
      <c r="D17" s="30">
        <v>0</v>
      </c>
      <c r="E17" s="30">
        <v>0</v>
      </c>
      <c r="F17" s="30">
        <v>0</v>
      </c>
      <c r="G17" s="31">
        <f>SUM(HI_FINANCIAL)</f>
        <v>0</v>
      </c>
      <c r="H17" s="30"/>
      <c r="I17" s="34"/>
      <c r="J17" s="35"/>
      <c r="K17" s="30"/>
      <c r="L17" s="29"/>
      <c r="M17" s="30"/>
      <c r="N17" s="30"/>
      <c r="O17" s="30"/>
      <c r="P17" s="30"/>
      <c r="Q17" s="30"/>
      <c r="R17" s="30"/>
      <c r="S17" s="30"/>
      <c r="T17" s="30"/>
      <c r="U17" s="30"/>
      <c r="V17" s="31"/>
    </row>
    <row r="18" spans="1:22">
      <c r="A18" s="1" t="s">
        <v>30</v>
      </c>
      <c r="B18" s="29">
        <v>0</v>
      </c>
      <c r="C18" s="30">
        <v>0</v>
      </c>
      <c r="D18" s="30">
        <v>0</v>
      </c>
      <c r="E18" s="30">
        <v>0</v>
      </c>
      <c r="F18" s="30">
        <v>0</v>
      </c>
      <c r="G18" s="31">
        <f>SUM(ID_FINANCIAL)</f>
        <v>0</v>
      </c>
      <c r="H18" s="30"/>
      <c r="I18" s="34" t="s">
        <v>31</v>
      </c>
      <c r="J18" s="35"/>
      <c r="K18" s="30"/>
      <c r="L18" s="29"/>
      <c r="M18" s="30"/>
      <c r="N18" s="30"/>
      <c r="O18" s="30"/>
      <c r="P18" s="30"/>
      <c r="Q18" s="30"/>
      <c r="R18" s="30"/>
      <c r="S18" s="30"/>
      <c r="T18" s="30"/>
      <c r="U18" s="30"/>
      <c r="V18" s="31"/>
    </row>
    <row r="19" spans="1:22">
      <c r="A19" s="1" t="s">
        <v>32</v>
      </c>
      <c r="B19" s="29">
        <v>0</v>
      </c>
      <c r="C19" s="30">
        <v>0</v>
      </c>
      <c r="D19" s="30">
        <v>0</v>
      </c>
      <c r="E19" s="30">
        <v>0</v>
      </c>
      <c r="F19" s="30">
        <v>0</v>
      </c>
      <c r="G19" s="31">
        <f>SUM(IL_FINANCIAL)</f>
        <v>0</v>
      </c>
      <c r="H19" s="30"/>
      <c r="I19" s="34" t="s">
        <v>33</v>
      </c>
      <c r="J19" s="35">
        <v>5725000</v>
      </c>
      <c r="K19" s="30"/>
      <c r="L19" s="29"/>
      <c r="M19" s="30"/>
      <c r="N19" s="30"/>
      <c r="O19" s="30"/>
      <c r="P19" s="30"/>
      <c r="Q19" s="30"/>
      <c r="R19" s="30"/>
      <c r="S19" s="30"/>
      <c r="T19" s="30"/>
      <c r="U19" s="30"/>
      <c r="V19" s="31"/>
    </row>
    <row r="20" spans="1:22">
      <c r="A20" s="1" t="s">
        <v>34</v>
      </c>
      <c r="B20" s="29">
        <v>0</v>
      </c>
      <c r="C20" s="30">
        <v>0</v>
      </c>
      <c r="D20" s="30">
        <v>0</v>
      </c>
      <c r="E20" s="30">
        <v>0</v>
      </c>
      <c r="F20" s="30">
        <v>0</v>
      </c>
      <c r="G20" s="31">
        <f>SUM(IN_FINANCIAL)</f>
        <v>0</v>
      </c>
      <c r="H20" s="30"/>
      <c r="I20" s="34" t="s">
        <v>35</v>
      </c>
      <c r="J20" s="35">
        <v>-7993993.0602189256</v>
      </c>
      <c r="K20" s="30"/>
      <c r="L20" s="29"/>
      <c r="M20" s="30"/>
      <c r="N20" s="30"/>
      <c r="O20" s="30"/>
      <c r="P20" s="30"/>
      <c r="Q20" s="30"/>
      <c r="R20" s="30"/>
      <c r="S20" s="30"/>
      <c r="T20" s="30"/>
      <c r="U20" s="30"/>
      <c r="V20" s="31"/>
    </row>
    <row r="21" spans="1:22">
      <c r="A21" s="1" t="s">
        <v>36</v>
      </c>
      <c r="B21" s="29">
        <v>0</v>
      </c>
      <c r="C21" s="30">
        <v>0</v>
      </c>
      <c r="D21" s="30">
        <v>0</v>
      </c>
      <c r="E21" s="30">
        <v>0</v>
      </c>
      <c r="F21" s="30">
        <v>0</v>
      </c>
      <c r="G21" s="31">
        <f>SUM(IA_FINANCIAL)</f>
        <v>0</v>
      </c>
      <c r="H21" s="30"/>
      <c r="I21" s="34" t="s">
        <v>37</v>
      </c>
      <c r="J21" s="35"/>
      <c r="K21" s="30"/>
      <c r="L21" s="29"/>
      <c r="M21" s="30"/>
      <c r="N21" s="30"/>
      <c r="O21" s="30"/>
      <c r="P21" s="30"/>
      <c r="Q21" s="30"/>
      <c r="R21" s="30"/>
      <c r="S21" s="30"/>
      <c r="T21" s="30"/>
      <c r="U21" s="30"/>
      <c r="V21" s="31"/>
    </row>
    <row r="22" spans="1:22">
      <c r="A22" s="1" t="s">
        <v>38</v>
      </c>
      <c r="B22" s="29">
        <v>0</v>
      </c>
      <c r="C22" s="30">
        <v>0</v>
      </c>
      <c r="D22" s="30">
        <v>0</v>
      </c>
      <c r="E22" s="30">
        <v>0</v>
      </c>
      <c r="F22" s="30">
        <v>0</v>
      </c>
      <c r="G22" s="31">
        <f>SUM(KS_FINANCIAL)</f>
        <v>0</v>
      </c>
      <c r="H22" s="30"/>
      <c r="I22" s="34" t="s">
        <v>39</v>
      </c>
      <c r="J22" s="35">
        <v>11334052</v>
      </c>
      <c r="K22" s="30"/>
      <c r="L22" s="29"/>
      <c r="M22" s="30"/>
      <c r="N22" s="30"/>
      <c r="O22" s="30"/>
      <c r="P22" s="30"/>
      <c r="Q22" s="30"/>
      <c r="R22" s="30"/>
      <c r="S22" s="30"/>
      <c r="T22" s="30"/>
      <c r="U22" s="30"/>
      <c r="V22" s="31"/>
    </row>
    <row r="23" spans="1:22">
      <c r="A23" s="1" t="s">
        <v>40</v>
      </c>
      <c r="B23" s="29">
        <v>9790.9294427318091</v>
      </c>
      <c r="C23" s="30">
        <v>2538.2538482962136</v>
      </c>
      <c r="D23" s="30">
        <v>0</v>
      </c>
      <c r="E23" s="30">
        <v>0</v>
      </c>
      <c r="F23" s="30">
        <v>0</v>
      </c>
      <c r="G23" s="31">
        <f>SUM(KY_FINANCIAL)</f>
        <v>12329.183291028023</v>
      </c>
      <c r="H23" s="30"/>
      <c r="I23" s="34" t="s">
        <v>41</v>
      </c>
      <c r="J23" s="35"/>
      <c r="K23" s="30"/>
      <c r="L23" s="29"/>
      <c r="M23" s="30"/>
      <c r="N23" s="30"/>
      <c r="O23" s="30"/>
      <c r="P23" s="30"/>
      <c r="Q23" s="30"/>
      <c r="R23" s="30"/>
      <c r="S23" s="30"/>
      <c r="T23" s="30"/>
      <c r="U23" s="30"/>
      <c r="V23" s="31"/>
    </row>
    <row r="24" spans="1:22">
      <c r="A24" s="1" t="s">
        <v>42</v>
      </c>
      <c r="B24" s="29">
        <v>2381831.2183821732</v>
      </c>
      <c r="C24" s="30">
        <v>617478.89119337522</v>
      </c>
      <c r="D24" s="30">
        <v>1883.1128478313199</v>
      </c>
      <c r="E24" s="30">
        <v>0</v>
      </c>
      <c r="F24" s="30">
        <v>0</v>
      </c>
      <c r="G24" s="31">
        <f>SUM(LA_FINANCIAL)</f>
        <v>3001193.2224233793</v>
      </c>
      <c r="H24" s="30"/>
      <c r="I24" s="34" t="s">
        <v>43</v>
      </c>
      <c r="J24" s="35">
        <v>22579229.452760719</v>
      </c>
      <c r="K24" s="30"/>
      <c r="L24" s="29">
        <v>2113595</v>
      </c>
      <c r="M24" s="30">
        <v>0</v>
      </c>
      <c r="N24" s="30"/>
      <c r="O24" s="30">
        <v>4148464</v>
      </c>
      <c r="P24" s="30">
        <v>0</v>
      </c>
      <c r="Q24" s="30"/>
      <c r="R24" s="30">
        <v>0</v>
      </c>
      <c r="S24" s="30">
        <v>0</v>
      </c>
      <c r="T24" s="30"/>
      <c r="U24" s="30">
        <v>0</v>
      </c>
      <c r="V24" s="31">
        <v>0</v>
      </c>
    </row>
    <row r="25" spans="1:22">
      <c r="A25" s="1" t="s">
        <v>44</v>
      </c>
      <c r="B25" s="29">
        <v>0</v>
      </c>
      <c r="C25" s="30">
        <v>0</v>
      </c>
      <c r="D25" s="30">
        <v>0</v>
      </c>
      <c r="E25" s="30">
        <v>0</v>
      </c>
      <c r="F25" s="30">
        <v>0</v>
      </c>
      <c r="G25" s="31">
        <f>SUM(ME_FINANCIAL)</f>
        <v>0</v>
      </c>
      <c r="H25" s="30"/>
      <c r="I25" s="34"/>
      <c r="J25" s="35"/>
      <c r="K25" s="30"/>
      <c r="L25" s="29"/>
      <c r="M25" s="30"/>
      <c r="N25" s="30"/>
      <c r="O25" s="30"/>
      <c r="P25" s="30"/>
      <c r="Q25" s="30"/>
      <c r="R25" s="30"/>
      <c r="S25" s="30"/>
      <c r="T25" s="30"/>
      <c r="U25" s="30"/>
      <c r="V25" s="31"/>
    </row>
    <row r="26" spans="1:22">
      <c r="A26" s="1" t="s">
        <v>45</v>
      </c>
      <c r="B26" s="29">
        <v>0</v>
      </c>
      <c r="C26" s="30">
        <v>0</v>
      </c>
      <c r="D26" s="30">
        <v>0</v>
      </c>
      <c r="E26" s="30">
        <v>0</v>
      </c>
      <c r="F26" s="30">
        <v>0</v>
      </c>
      <c r="G26" s="31">
        <f>SUM(MD_FINANCIAL)</f>
        <v>0</v>
      </c>
      <c r="H26" s="30"/>
      <c r="I26" s="34" t="s">
        <v>46</v>
      </c>
      <c r="J26" s="35">
        <f>SUM(ADD_FINANCIAL)-SUM(LESS_FINANCIAL)</f>
        <v>25151328.769603092</v>
      </c>
      <c r="K26" s="30"/>
      <c r="L26" s="29"/>
      <c r="M26" s="30"/>
      <c r="N26" s="30"/>
      <c r="O26" s="30"/>
      <c r="P26" s="30"/>
      <c r="Q26" s="30"/>
      <c r="R26" s="30"/>
      <c r="S26" s="30"/>
      <c r="T26" s="30"/>
      <c r="U26" s="30"/>
      <c r="V26" s="31"/>
    </row>
    <row r="27" spans="1:22">
      <c r="A27" s="1" t="s">
        <v>47</v>
      </c>
      <c r="B27" s="29">
        <v>0</v>
      </c>
      <c r="C27" s="30">
        <v>0</v>
      </c>
      <c r="D27" s="30">
        <v>0</v>
      </c>
      <c r="E27" s="30">
        <v>0</v>
      </c>
      <c r="F27" s="30">
        <v>0</v>
      </c>
      <c r="G27" s="31">
        <f>SUM(MA_FINANCIAL)</f>
        <v>0</v>
      </c>
      <c r="H27" s="30"/>
      <c r="I27" s="34" t="s">
        <v>48</v>
      </c>
      <c r="J27" s="35">
        <f>SUM(ALL_BLOCKS)</f>
        <v>25151328.769603077</v>
      </c>
      <c r="K27" s="30"/>
      <c r="L27" s="29"/>
      <c r="M27" s="30"/>
      <c r="N27" s="30"/>
      <c r="O27" s="30"/>
      <c r="P27" s="30"/>
      <c r="Q27" s="30"/>
      <c r="R27" s="30"/>
      <c r="S27" s="30"/>
      <c r="T27" s="30"/>
      <c r="U27" s="30"/>
      <c r="V27" s="31"/>
    </row>
    <row r="28" spans="1:22">
      <c r="A28" s="1" t="s">
        <v>49</v>
      </c>
      <c r="B28" s="29">
        <v>0</v>
      </c>
      <c r="C28" s="30">
        <v>0</v>
      </c>
      <c r="D28" s="30">
        <v>0</v>
      </c>
      <c r="E28" s="30">
        <v>0</v>
      </c>
      <c r="F28" s="30">
        <v>0</v>
      </c>
      <c r="G28" s="31">
        <f>SUM(MI_FINANCIAL)</f>
        <v>0</v>
      </c>
      <c r="H28" s="30"/>
      <c r="I28" s="36"/>
      <c r="J28" s="37"/>
      <c r="K28" s="30"/>
      <c r="L28" s="29"/>
      <c r="M28" s="30"/>
      <c r="N28" s="30"/>
      <c r="O28" s="30"/>
      <c r="P28" s="30"/>
      <c r="Q28" s="30"/>
      <c r="R28" s="30"/>
      <c r="S28" s="30"/>
      <c r="T28" s="30"/>
      <c r="U28" s="30"/>
      <c r="V28" s="31"/>
    </row>
    <row r="29" spans="1:22">
      <c r="A29" s="1" t="s">
        <v>50</v>
      </c>
      <c r="B29" s="29">
        <v>0</v>
      </c>
      <c r="C29" s="30">
        <v>0</v>
      </c>
      <c r="D29" s="30">
        <v>0</v>
      </c>
      <c r="E29" s="30">
        <v>0</v>
      </c>
      <c r="F29" s="30">
        <v>0</v>
      </c>
      <c r="G29" s="31">
        <f>SUM(MN_FINANCIAL)</f>
        <v>0</v>
      </c>
      <c r="H29" s="30"/>
      <c r="I29" s="30"/>
      <c r="J29" s="30"/>
      <c r="K29" s="30"/>
      <c r="L29" s="29"/>
      <c r="M29" s="30"/>
      <c r="N29" s="30"/>
      <c r="O29" s="30"/>
      <c r="P29" s="30"/>
      <c r="Q29" s="30"/>
      <c r="R29" s="30"/>
      <c r="S29" s="30"/>
      <c r="T29" s="30"/>
      <c r="U29" s="30"/>
      <c r="V29" s="31"/>
    </row>
    <row r="30" spans="1:22">
      <c r="A30" s="1" t="s">
        <v>51</v>
      </c>
      <c r="B30" s="29">
        <v>10176206.079735018</v>
      </c>
      <c r="C30" s="30">
        <v>2634006.4260702301</v>
      </c>
      <c r="D30" s="30">
        <v>64487.484543327264</v>
      </c>
      <c r="E30" s="30">
        <v>0</v>
      </c>
      <c r="F30" s="30">
        <v>0</v>
      </c>
      <c r="G30" s="31">
        <f>SUM(MS_FINANCIAL)</f>
        <v>12874699.990348576</v>
      </c>
      <c r="H30" s="30"/>
      <c r="I30" s="30"/>
      <c r="J30" s="30"/>
      <c r="K30" s="30"/>
      <c r="L30" s="29">
        <v>11860647</v>
      </c>
      <c r="M30" s="30">
        <v>0</v>
      </c>
      <c r="N30" s="30"/>
      <c r="O30" s="30">
        <v>4785032</v>
      </c>
      <c r="P30" s="30">
        <v>0</v>
      </c>
      <c r="Q30" s="30"/>
      <c r="R30" s="30">
        <v>0</v>
      </c>
      <c r="S30" s="30">
        <v>0</v>
      </c>
      <c r="T30" s="30"/>
      <c r="U30" s="30">
        <v>3735647</v>
      </c>
      <c r="V30" s="31">
        <v>0</v>
      </c>
    </row>
    <row r="31" spans="1:22">
      <c r="A31" s="1" t="s">
        <v>52</v>
      </c>
      <c r="B31" s="29">
        <v>0</v>
      </c>
      <c r="C31" s="30">
        <v>0</v>
      </c>
      <c r="D31" s="30">
        <v>0</v>
      </c>
      <c r="E31" s="30">
        <v>0</v>
      </c>
      <c r="F31" s="30">
        <v>0</v>
      </c>
      <c r="G31" s="31">
        <f>SUM(MO_FINANCIAL)</f>
        <v>0</v>
      </c>
      <c r="H31" s="30"/>
      <c r="I31" s="30"/>
      <c r="J31" s="30"/>
      <c r="K31" s="30"/>
      <c r="L31" s="29"/>
      <c r="M31" s="30"/>
      <c r="N31" s="30"/>
      <c r="O31" s="30"/>
      <c r="P31" s="30"/>
      <c r="Q31" s="30"/>
      <c r="R31" s="30"/>
      <c r="S31" s="30"/>
      <c r="T31" s="30"/>
      <c r="U31" s="30"/>
      <c r="V31" s="31"/>
    </row>
    <row r="32" spans="1:22">
      <c r="A32" s="1" t="s">
        <v>53</v>
      </c>
      <c r="B32" s="29">
        <v>0</v>
      </c>
      <c r="C32" s="30">
        <v>0</v>
      </c>
      <c r="D32" s="30">
        <v>0</v>
      </c>
      <c r="E32" s="30">
        <v>0</v>
      </c>
      <c r="F32" s="30">
        <v>0</v>
      </c>
      <c r="G32" s="31">
        <f>SUM(MT_FINANCIAL)</f>
        <v>0</v>
      </c>
      <c r="H32" s="30"/>
      <c r="I32" s="30"/>
      <c r="J32" s="30"/>
      <c r="K32" s="30"/>
      <c r="L32" s="29"/>
      <c r="M32" s="30"/>
      <c r="N32" s="30"/>
      <c r="O32" s="30"/>
      <c r="P32" s="30"/>
      <c r="Q32" s="30"/>
      <c r="R32" s="30"/>
      <c r="S32" s="30"/>
      <c r="T32" s="30"/>
      <c r="U32" s="30"/>
      <c r="V32" s="31"/>
    </row>
    <row r="33" spans="1:22">
      <c r="A33" s="1" t="s">
        <v>54</v>
      </c>
      <c r="B33" s="29">
        <v>0</v>
      </c>
      <c r="C33" s="30">
        <v>0</v>
      </c>
      <c r="D33" s="30">
        <v>0</v>
      </c>
      <c r="E33" s="30">
        <v>0</v>
      </c>
      <c r="F33" s="30">
        <v>0</v>
      </c>
      <c r="G33" s="31">
        <f>SUM(NE_FINANCIAL)</f>
        <v>0</v>
      </c>
      <c r="H33" s="30"/>
      <c r="I33" s="30"/>
      <c r="J33" s="30"/>
      <c r="K33" s="30"/>
      <c r="L33" s="29">
        <v>16000</v>
      </c>
      <c r="M33" s="30">
        <v>0</v>
      </c>
      <c r="N33" s="30"/>
      <c r="O33" s="30">
        <v>4090</v>
      </c>
      <c r="P33" s="30">
        <v>0</v>
      </c>
      <c r="Q33" s="30"/>
      <c r="R33" s="30">
        <v>0</v>
      </c>
      <c r="S33" s="30">
        <v>0</v>
      </c>
      <c r="T33" s="30"/>
      <c r="U33" s="30">
        <v>0</v>
      </c>
      <c r="V33" s="31">
        <v>0</v>
      </c>
    </row>
    <row r="34" spans="1:22">
      <c r="A34" s="1" t="s">
        <v>55</v>
      </c>
      <c r="B34" s="29">
        <v>0</v>
      </c>
      <c r="C34" s="30">
        <v>0</v>
      </c>
      <c r="D34" s="30">
        <v>0</v>
      </c>
      <c r="E34" s="30">
        <v>0</v>
      </c>
      <c r="F34" s="30">
        <v>0</v>
      </c>
      <c r="G34" s="31">
        <f>SUM(NV_FINANCIAL)</f>
        <v>0</v>
      </c>
      <c r="H34" s="30"/>
      <c r="I34" s="30"/>
      <c r="J34" s="30"/>
      <c r="K34" s="30"/>
      <c r="L34" s="29"/>
      <c r="M34" s="30"/>
      <c r="N34" s="30"/>
      <c r="O34" s="30"/>
      <c r="P34" s="30"/>
      <c r="Q34" s="30"/>
      <c r="R34" s="30"/>
      <c r="S34" s="30"/>
      <c r="T34" s="30"/>
      <c r="U34" s="30"/>
      <c r="V34" s="31"/>
    </row>
    <row r="35" spans="1:22">
      <c r="A35" s="1" t="s">
        <v>56</v>
      </c>
      <c r="B35" s="29">
        <v>0</v>
      </c>
      <c r="C35" s="30">
        <v>0</v>
      </c>
      <c r="D35" s="30">
        <v>0</v>
      </c>
      <c r="E35" s="30">
        <v>0</v>
      </c>
      <c r="F35" s="30">
        <v>0</v>
      </c>
      <c r="G35" s="31">
        <f>SUM(NH_FINANCIAL)</f>
        <v>0</v>
      </c>
      <c r="H35" s="30"/>
      <c r="I35" s="30"/>
      <c r="J35" s="30"/>
      <c r="K35" s="30"/>
      <c r="L35" s="29"/>
      <c r="M35" s="30"/>
      <c r="N35" s="30"/>
      <c r="O35" s="30"/>
      <c r="P35" s="30"/>
      <c r="Q35" s="30"/>
      <c r="R35" s="30"/>
      <c r="S35" s="30"/>
      <c r="T35" s="30"/>
      <c r="U35" s="30"/>
      <c r="V35" s="31"/>
    </row>
    <row r="36" spans="1:22">
      <c r="A36" s="1" t="s">
        <v>57</v>
      </c>
      <c r="B36" s="29">
        <v>0</v>
      </c>
      <c r="C36" s="30">
        <v>0</v>
      </c>
      <c r="D36" s="30">
        <v>0</v>
      </c>
      <c r="E36" s="30">
        <v>0</v>
      </c>
      <c r="F36" s="30">
        <v>0</v>
      </c>
      <c r="G36" s="31">
        <f>SUM(NJ_FINANCIAL)</f>
        <v>0</v>
      </c>
      <c r="H36" s="30"/>
      <c r="I36" s="30"/>
      <c r="J36" s="30"/>
      <c r="K36" s="30"/>
      <c r="L36" s="29"/>
      <c r="M36" s="30"/>
      <c r="N36" s="30"/>
      <c r="O36" s="30"/>
      <c r="P36" s="30"/>
      <c r="Q36" s="30"/>
      <c r="R36" s="30"/>
      <c r="S36" s="30"/>
      <c r="T36" s="30"/>
      <c r="U36" s="30"/>
      <c r="V36" s="31"/>
    </row>
    <row r="37" spans="1:22">
      <c r="A37" s="1" t="s">
        <v>58</v>
      </c>
      <c r="B37" s="29">
        <v>0</v>
      </c>
      <c r="C37" s="30">
        <v>0</v>
      </c>
      <c r="D37" s="30">
        <v>0</v>
      </c>
      <c r="E37" s="30">
        <v>0</v>
      </c>
      <c r="F37" s="30">
        <v>0</v>
      </c>
      <c r="G37" s="31">
        <f>SUM(NM_FINANCIAL)</f>
        <v>0</v>
      </c>
      <c r="H37" s="30"/>
      <c r="I37" s="30"/>
      <c r="J37" s="30"/>
      <c r="K37" s="30"/>
      <c r="L37" s="29"/>
      <c r="M37" s="30"/>
      <c r="N37" s="30"/>
      <c r="O37" s="30"/>
      <c r="P37" s="30"/>
      <c r="Q37" s="30"/>
      <c r="R37" s="30"/>
      <c r="S37" s="30"/>
      <c r="T37" s="30"/>
      <c r="U37" s="30"/>
      <c r="V37" s="31"/>
    </row>
    <row r="38" spans="1:22">
      <c r="A38" s="1" t="s">
        <v>59</v>
      </c>
      <c r="B38" s="29">
        <v>0</v>
      </c>
      <c r="C38" s="30">
        <v>0</v>
      </c>
      <c r="D38" s="30">
        <v>0</v>
      </c>
      <c r="E38" s="30">
        <v>0</v>
      </c>
      <c r="F38" s="30">
        <v>0</v>
      </c>
      <c r="G38" s="31">
        <f>SUM(NY_FINANCIAL)</f>
        <v>0</v>
      </c>
      <c r="H38" s="30"/>
      <c r="I38" s="30"/>
      <c r="J38" s="30"/>
      <c r="K38" s="30"/>
      <c r="L38" s="29"/>
      <c r="M38" s="30"/>
      <c r="N38" s="30"/>
      <c r="O38" s="30"/>
      <c r="P38" s="30"/>
      <c r="Q38" s="30"/>
      <c r="R38" s="30"/>
      <c r="S38" s="30"/>
      <c r="T38" s="30"/>
      <c r="U38" s="30"/>
      <c r="V38" s="31"/>
    </row>
    <row r="39" spans="1:22">
      <c r="A39" s="1" t="s">
        <v>60</v>
      </c>
      <c r="B39" s="29">
        <v>1667043.1586796171</v>
      </c>
      <c r="C39" s="30">
        <v>432173.34345469449</v>
      </c>
      <c r="D39" s="30">
        <v>0</v>
      </c>
      <c r="E39" s="30">
        <v>0</v>
      </c>
      <c r="F39" s="30">
        <v>0</v>
      </c>
      <c r="G39" s="31">
        <f>SUM(NC_FINANCIAL)</f>
        <v>2099216.5021343115</v>
      </c>
      <c r="H39" s="30"/>
      <c r="I39" s="30"/>
      <c r="J39" s="30"/>
      <c r="K39" s="30"/>
      <c r="L39" s="29">
        <v>4275000</v>
      </c>
      <c r="M39" s="30">
        <v>0</v>
      </c>
      <c r="N39" s="30"/>
      <c r="O39" s="30">
        <v>225000</v>
      </c>
      <c r="P39" s="30">
        <v>0</v>
      </c>
      <c r="Q39" s="30"/>
      <c r="R39" s="30">
        <v>0</v>
      </c>
      <c r="S39" s="30">
        <v>0</v>
      </c>
      <c r="T39" s="30"/>
      <c r="U39" s="30">
        <v>0</v>
      </c>
      <c r="V39" s="31">
        <v>0</v>
      </c>
    </row>
    <row r="40" spans="1:22">
      <c r="A40" s="1" t="s">
        <v>61</v>
      </c>
      <c r="B40" s="29">
        <v>0</v>
      </c>
      <c r="C40" s="30">
        <v>0</v>
      </c>
      <c r="D40" s="30">
        <v>0</v>
      </c>
      <c r="E40" s="30">
        <v>0</v>
      </c>
      <c r="F40" s="30">
        <v>0</v>
      </c>
      <c r="G40" s="31">
        <f>SUM(ND_FINANCIAL)</f>
        <v>0</v>
      </c>
      <c r="H40" s="30"/>
      <c r="I40" s="30"/>
      <c r="J40" s="30"/>
      <c r="K40" s="30"/>
      <c r="L40" s="29"/>
      <c r="M40" s="30"/>
      <c r="N40" s="30"/>
      <c r="O40" s="30"/>
      <c r="P40" s="30"/>
      <c r="Q40" s="30"/>
      <c r="R40" s="30"/>
      <c r="S40" s="30"/>
      <c r="T40" s="30"/>
      <c r="U40" s="30"/>
      <c r="V40" s="31"/>
    </row>
    <row r="41" spans="1:22">
      <c r="A41" s="1" t="s">
        <v>62</v>
      </c>
      <c r="B41" s="29">
        <v>0</v>
      </c>
      <c r="C41" s="30">
        <v>0</v>
      </c>
      <c r="D41" s="30">
        <v>0</v>
      </c>
      <c r="E41" s="30">
        <v>0</v>
      </c>
      <c r="F41" s="30">
        <v>0</v>
      </c>
      <c r="G41" s="31">
        <f>SUM(OH_FINANCIAL)</f>
        <v>0</v>
      </c>
      <c r="H41" s="30"/>
      <c r="I41" s="30"/>
      <c r="J41" s="30"/>
      <c r="K41" s="30"/>
      <c r="L41" s="29"/>
      <c r="M41" s="30"/>
      <c r="N41" s="30"/>
      <c r="O41" s="30"/>
      <c r="P41" s="30"/>
      <c r="Q41" s="30"/>
      <c r="R41" s="30"/>
      <c r="S41" s="30"/>
      <c r="T41" s="30"/>
      <c r="U41" s="30"/>
      <c r="V41" s="31"/>
    </row>
    <row r="42" spans="1:22">
      <c r="A42" s="1" t="s">
        <v>63</v>
      </c>
      <c r="B42" s="29">
        <v>64929.851022258372</v>
      </c>
      <c r="C42" s="30">
        <v>16832.768042148542</v>
      </c>
      <c r="D42" s="30">
        <v>0</v>
      </c>
      <c r="E42" s="30">
        <v>0</v>
      </c>
      <c r="F42" s="30">
        <v>0</v>
      </c>
      <c r="G42" s="31">
        <f>SUM(OK_FINANCIAL)</f>
        <v>81762.619064406914</v>
      </c>
      <c r="H42" s="30"/>
      <c r="I42" s="30"/>
      <c r="J42" s="30"/>
      <c r="K42" s="30"/>
      <c r="L42" s="29">
        <v>0</v>
      </c>
      <c r="M42" s="30">
        <v>0</v>
      </c>
      <c r="N42" s="30"/>
      <c r="O42" s="30">
        <v>320000</v>
      </c>
      <c r="P42" s="30">
        <v>50000</v>
      </c>
      <c r="Q42" s="30"/>
      <c r="R42" s="30">
        <v>0</v>
      </c>
      <c r="S42" s="30">
        <v>0</v>
      </c>
      <c r="T42" s="30"/>
      <c r="U42" s="30">
        <v>0</v>
      </c>
      <c r="V42" s="31">
        <v>0</v>
      </c>
    </row>
    <row r="43" spans="1:22">
      <c r="A43" s="1" t="s">
        <v>64</v>
      </c>
      <c r="B43" s="29">
        <v>0</v>
      </c>
      <c r="C43" s="30">
        <v>0</v>
      </c>
      <c r="D43" s="30">
        <v>0</v>
      </c>
      <c r="E43" s="30">
        <v>0</v>
      </c>
      <c r="F43" s="30">
        <v>0</v>
      </c>
      <c r="G43" s="31">
        <f>SUM(OR_FINANCIAL)</f>
        <v>0</v>
      </c>
      <c r="H43" s="30"/>
      <c r="I43" s="30"/>
      <c r="J43" s="30"/>
      <c r="K43" s="30"/>
      <c r="L43" s="29"/>
      <c r="M43" s="30"/>
      <c r="N43" s="30"/>
      <c r="O43" s="30"/>
      <c r="P43" s="30"/>
      <c r="Q43" s="30"/>
      <c r="R43" s="30"/>
      <c r="S43" s="30"/>
      <c r="T43" s="30"/>
      <c r="U43" s="30"/>
      <c r="V43" s="31"/>
    </row>
    <row r="44" spans="1:22">
      <c r="A44" s="1" t="s">
        <v>65</v>
      </c>
      <c r="B44" s="29">
        <v>0</v>
      </c>
      <c r="C44" s="30">
        <v>0</v>
      </c>
      <c r="D44" s="30">
        <v>0</v>
      </c>
      <c r="E44" s="30">
        <v>0</v>
      </c>
      <c r="F44" s="30">
        <v>0</v>
      </c>
      <c r="G44" s="31">
        <f>SUM(PA_FINANCIAL)</f>
        <v>0</v>
      </c>
      <c r="H44" s="30"/>
      <c r="I44" s="30"/>
      <c r="J44" s="30"/>
      <c r="K44" s="30"/>
      <c r="L44" s="29"/>
      <c r="M44" s="30"/>
      <c r="N44" s="30"/>
      <c r="O44" s="30"/>
      <c r="P44" s="30"/>
      <c r="Q44" s="30"/>
      <c r="R44" s="30"/>
      <c r="S44" s="30"/>
      <c r="T44" s="30"/>
      <c r="U44" s="30"/>
      <c r="V44" s="31"/>
    </row>
    <row r="45" spans="1:22">
      <c r="A45" s="1" t="s">
        <v>66</v>
      </c>
      <c r="B45" s="29">
        <v>0</v>
      </c>
      <c r="C45" s="30">
        <v>0</v>
      </c>
      <c r="D45" s="30">
        <v>0</v>
      </c>
      <c r="E45" s="30">
        <v>0</v>
      </c>
      <c r="F45" s="30">
        <v>0</v>
      </c>
      <c r="G45" s="31">
        <f>SUM(PR_FINANCIAL)</f>
        <v>0</v>
      </c>
      <c r="H45" s="30"/>
      <c r="I45" s="30"/>
      <c r="J45" s="30"/>
      <c r="K45" s="30"/>
      <c r="L45" s="29"/>
      <c r="M45" s="30"/>
      <c r="N45" s="30"/>
      <c r="O45" s="30"/>
      <c r="P45" s="30"/>
      <c r="Q45" s="30"/>
      <c r="R45" s="30"/>
      <c r="S45" s="30"/>
      <c r="T45" s="30"/>
      <c r="U45" s="30"/>
      <c r="V45" s="31"/>
    </row>
    <row r="46" spans="1:22">
      <c r="A46" s="1" t="s">
        <v>67</v>
      </c>
      <c r="B46" s="29">
        <v>0</v>
      </c>
      <c r="C46" s="30">
        <v>0</v>
      </c>
      <c r="D46" s="30">
        <v>0</v>
      </c>
      <c r="E46" s="30">
        <v>0</v>
      </c>
      <c r="F46" s="30">
        <v>0</v>
      </c>
      <c r="G46" s="31">
        <f>SUM(RI_FINANCIAL)</f>
        <v>0</v>
      </c>
      <c r="H46" s="30"/>
      <c r="I46" s="30"/>
      <c r="J46" s="30"/>
      <c r="K46" s="30"/>
      <c r="L46" s="29"/>
      <c r="M46" s="30"/>
      <c r="N46" s="30"/>
      <c r="O46" s="30"/>
      <c r="P46" s="30"/>
      <c r="Q46" s="30"/>
      <c r="R46" s="30"/>
      <c r="S46" s="30"/>
      <c r="T46" s="30"/>
      <c r="U46" s="30"/>
      <c r="V46" s="31"/>
    </row>
    <row r="47" spans="1:22">
      <c r="A47" s="1" t="s">
        <v>68</v>
      </c>
      <c r="B47" s="29">
        <v>0</v>
      </c>
      <c r="C47" s="30">
        <v>-7.2759576141834259E-12</v>
      </c>
      <c r="D47" s="30">
        <v>0</v>
      </c>
      <c r="E47" s="30">
        <v>0</v>
      </c>
      <c r="F47" s="30">
        <v>0</v>
      </c>
      <c r="G47" s="31">
        <f>SUM(SC_FINANCIAL)</f>
        <v>-7.2759576141834259E-12</v>
      </c>
      <c r="H47" s="30"/>
      <c r="I47" s="30"/>
      <c r="J47" s="30"/>
      <c r="K47" s="30"/>
      <c r="L47" s="29"/>
      <c r="M47" s="30"/>
      <c r="N47" s="30"/>
      <c r="O47" s="30"/>
      <c r="P47" s="30"/>
      <c r="Q47" s="30"/>
      <c r="R47" s="30"/>
      <c r="S47" s="30"/>
      <c r="T47" s="30"/>
      <c r="U47" s="30"/>
      <c r="V47" s="31"/>
    </row>
    <row r="48" spans="1:22">
      <c r="A48" s="1" t="s">
        <v>69</v>
      </c>
      <c r="B48" s="29">
        <v>0</v>
      </c>
      <c r="C48" s="30">
        <v>0</v>
      </c>
      <c r="D48" s="30">
        <v>0</v>
      </c>
      <c r="E48" s="30">
        <v>0</v>
      </c>
      <c r="F48" s="30">
        <v>0</v>
      </c>
      <c r="G48" s="31">
        <f>SUM(SD_FINANCIAL)</f>
        <v>0</v>
      </c>
      <c r="H48" s="30"/>
      <c r="I48" s="30"/>
      <c r="J48" s="30"/>
      <c r="K48" s="30"/>
      <c r="L48" s="29"/>
      <c r="M48" s="30"/>
      <c r="N48" s="30"/>
      <c r="O48" s="30"/>
      <c r="P48" s="30"/>
      <c r="Q48" s="30"/>
      <c r="R48" s="30"/>
      <c r="S48" s="30"/>
      <c r="T48" s="30"/>
      <c r="U48" s="30"/>
      <c r="V48" s="31"/>
    </row>
    <row r="49" spans="1:22">
      <c r="A49" s="1" t="s">
        <v>70</v>
      </c>
      <c r="B49" s="29">
        <v>3496708.4257873232</v>
      </c>
      <c r="C49" s="30">
        <v>906505.72757554974</v>
      </c>
      <c r="D49" s="30">
        <v>7791.7507302354888</v>
      </c>
      <c r="E49" s="30">
        <v>0</v>
      </c>
      <c r="F49" s="30">
        <v>0</v>
      </c>
      <c r="G49" s="31">
        <f>SUM(TN_FINANCIAL)</f>
        <v>4411005.9040931081</v>
      </c>
      <c r="H49" s="30"/>
      <c r="I49" s="30"/>
      <c r="J49" s="30"/>
      <c r="K49" s="30"/>
      <c r="L49" s="29">
        <v>7200000</v>
      </c>
      <c r="M49" s="30">
        <v>0</v>
      </c>
      <c r="N49" s="30"/>
      <c r="O49" s="30">
        <v>1200000</v>
      </c>
      <c r="P49" s="30">
        <v>0</v>
      </c>
      <c r="Q49" s="30"/>
      <c r="R49" s="30">
        <v>0</v>
      </c>
      <c r="S49" s="30">
        <v>0</v>
      </c>
      <c r="T49" s="30"/>
      <c r="U49" s="30">
        <v>0</v>
      </c>
      <c r="V49" s="31">
        <v>0</v>
      </c>
    </row>
    <row r="50" spans="1:22">
      <c r="A50" s="1" t="s">
        <v>71</v>
      </c>
      <c r="B50" s="29">
        <v>992527.27890091843</v>
      </c>
      <c r="C50" s="30">
        <v>270310.05978330231</v>
      </c>
      <c r="D50" s="30">
        <v>0</v>
      </c>
      <c r="E50" s="30">
        <v>0</v>
      </c>
      <c r="F50" s="30">
        <v>0</v>
      </c>
      <c r="G50" s="31">
        <f>SUM(TX_FINANCIAL)</f>
        <v>1262837.3386842208</v>
      </c>
      <c r="H50" s="30"/>
      <c r="I50" s="30"/>
      <c r="J50" s="30"/>
      <c r="K50" s="30"/>
      <c r="L50" s="29">
        <v>651924</v>
      </c>
      <c r="M50" s="30">
        <v>280000</v>
      </c>
      <c r="N50" s="30"/>
      <c r="O50" s="30">
        <v>96657</v>
      </c>
      <c r="P50" s="30">
        <v>0</v>
      </c>
      <c r="Q50" s="30"/>
      <c r="R50" s="30">
        <v>0</v>
      </c>
      <c r="S50" s="30">
        <v>0</v>
      </c>
      <c r="T50" s="30"/>
      <c r="U50" s="30">
        <v>0</v>
      </c>
      <c r="V50" s="31">
        <v>0</v>
      </c>
    </row>
    <row r="51" spans="1:22">
      <c r="A51" s="1" t="s">
        <v>72</v>
      </c>
      <c r="B51" s="29">
        <v>0</v>
      </c>
      <c r="C51" s="30">
        <v>0</v>
      </c>
      <c r="D51" s="30">
        <v>0</v>
      </c>
      <c r="E51" s="30">
        <v>0</v>
      </c>
      <c r="F51" s="30">
        <v>0</v>
      </c>
      <c r="G51" s="31">
        <f>SUM(UT_FINANCIAL)</f>
        <v>0</v>
      </c>
      <c r="H51" s="30"/>
      <c r="I51" s="30"/>
      <c r="J51" s="30"/>
      <c r="K51" s="30"/>
      <c r="L51" s="29"/>
      <c r="M51" s="30"/>
      <c r="N51" s="30"/>
      <c r="O51" s="30"/>
      <c r="P51" s="30"/>
      <c r="Q51" s="30"/>
      <c r="R51" s="30"/>
      <c r="S51" s="30"/>
      <c r="T51" s="30"/>
      <c r="U51" s="30"/>
      <c r="V51" s="31"/>
    </row>
    <row r="52" spans="1:22">
      <c r="A52" s="1" t="s">
        <v>73</v>
      </c>
      <c r="B52" s="29">
        <v>0</v>
      </c>
      <c r="C52" s="30">
        <v>0</v>
      </c>
      <c r="D52" s="30">
        <v>0</v>
      </c>
      <c r="E52" s="30">
        <v>0</v>
      </c>
      <c r="F52" s="30">
        <v>0</v>
      </c>
      <c r="G52" s="31">
        <f>SUM(VT_FINANCIAL)</f>
        <v>0</v>
      </c>
      <c r="H52" s="30"/>
      <c r="I52" s="30"/>
      <c r="J52" s="30"/>
      <c r="K52" s="30"/>
      <c r="L52" s="29"/>
      <c r="M52" s="30"/>
      <c r="N52" s="30"/>
      <c r="O52" s="30"/>
      <c r="P52" s="30"/>
      <c r="Q52" s="30"/>
      <c r="R52" s="30"/>
      <c r="S52" s="30"/>
      <c r="T52" s="30"/>
      <c r="U52" s="30"/>
      <c r="V52" s="31"/>
    </row>
    <row r="53" spans="1:22">
      <c r="A53" s="1" t="s">
        <v>74</v>
      </c>
      <c r="B53" s="29">
        <v>0</v>
      </c>
      <c r="C53" s="30">
        <v>0</v>
      </c>
      <c r="D53" s="30">
        <v>0</v>
      </c>
      <c r="E53" s="30">
        <v>0</v>
      </c>
      <c r="F53" s="30">
        <v>0</v>
      </c>
      <c r="G53" s="31">
        <f>SUM(VA_FINANCIAL)</f>
        <v>0</v>
      </c>
      <c r="H53" s="30"/>
      <c r="I53" s="30"/>
      <c r="J53" s="30"/>
      <c r="K53" s="30"/>
      <c r="L53" s="29"/>
      <c r="M53" s="30"/>
      <c r="N53" s="30"/>
      <c r="O53" s="30"/>
      <c r="P53" s="30"/>
      <c r="Q53" s="30"/>
      <c r="R53" s="30"/>
      <c r="S53" s="30"/>
      <c r="T53" s="30"/>
      <c r="U53" s="30"/>
      <c r="V53" s="31"/>
    </row>
    <row r="54" spans="1:22">
      <c r="A54" s="1" t="s">
        <v>75</v>
      </c>
      <c r="B54" s="29">
        <v>0</v>
      </c>
      <c r="C54" s="30">
        <v>0</v>
      </c>
      <c r="D54" s="30">
        <v>0</v>
      </c>
      <c r="E54" s="30">
        <v>0</v>
      </c>
      <c r="F54" s="30">
        <v>0</v>
      </c>
      <c r="G54" s="31">
        <f>SUM(WA_FINANCIAL)</f>
        <v>0</v>
      </c>
      <c r="H54" s="30"/>
      <c r="I54" s="30"/>
      <c r="J54" s="30"/>
      <c r="K54" s="30"/>
      <c r="L54" s="29"/>
      <c r="M54" s="30"/>
      <c r="N54" s="30"/>
      <c r="O54" s="30"/>
      <c r="P54" s="30"/>
      <c r="Q54" s="30"/>
      <c r="R54" s="30"/>
      <c r="S54" s="30"/>
      <c r="T54" s="30"/>
      <c r="U54" s="30"/>
      <c r="V54" s="31"/>
    </row>
    <row r="55" spans="1:22">
      <c r="A55" s="1" t="s">
        <v>76</v>
      </c>
      <c r="B55" s="29">
        <v>0</v>
      </c>
      <c r="C55" s="30">
        <v>0</v>
      </c>
      <c r="D55" s="30">
        <v>0</v>
      </c>
      <c r="E55" s="30">
        <v>0</v>
      </c>
      <c r="F55" s="30">
        <v>0</v>
      </c>
      <c r="G55" s="31">
        <f>SUM(WV_FINANCIAL)</f>
        <v>0</v>
      </c>
      <c r="H55" s="30"/>
      <c r="I55" s="30"/>
      <c r="J55" s="30"/>
      <c r="K55" s="30"/>
      <c r="L55" s="29"/>
      <c r="M55" s="30"/>
      <c r="N55" s="30"/>
      <c r="O55" s="30"/>
      <c r="P55" s="30"/>
      <c r="Q55" s="30"/>
      <c r="R55" s="30"/>
      <c r="S55" s="30"/>
      <c r="T55" s="30"/>
      <c r="U55" s="30"/>
      <c r="V55" s="31"/>
    </row>
    <row r="56" spans="1:22">
      <c r="A56" s="1" t="s">
        <v>77</v>
      </c>
      <c r="B56" s="29">
        <v>0</v>
      </c>
      <c r="C56" s="30">
        <v>0</v>
      </c>
      <c r="D56" s="30">
        <v>0</v>
      </c>
      <c r="E56" s="30">
        <v>0</v>
      </c>
      <c r="F56" s="30">
        <v>0</v>
      </c>
      <c r="G56" s="31">
        <f>SUM(WI_FINANCIAL)</f>
        <v>0</v>
      </c>
      <c r="H56" s="30"/>
      <c r="I56" s="30"/>
      <c r="J56" s="30"/>
      <c r="K56" s="30"/>
      <c r="L56" s="29"/>
      <c r="M56" s="30"/>
      <c r="N56" s="30"/>
      <c r="O56" s="30"/>
      <c r="P56" s="30"/>
      <c r="Q56" s="30"/>
      <c r="R56" s="30"/>
      <c r="S56" s="30"/>
      <c r="T56" s="30"/>
      <c r="U56" s="30"/>
      <c r="V56" s="31"/>
    </row>
    <row r="57" spans="1:22">
      <c r="A57" s="1" t="s">
        <v>78</v>
      </c>
      <c r="B57" s="29">
        <v>0</v>
      </c>
      <c r="C57" s="30">
        <v>0</v>
      </c>
      <c r="D57" s="30">
        <v>0</v>
      </c>
      <c r="E57" s="30">
        <v>0</v>
      </c>
      <c r="F57" s="30">
        <v>0</v>
      </c>
      <c r="G57" s="31">
        <f>SUM(WY_FINANCIAL)</f>
        <v>0</v>
      </c>
      <c r="H57" s="30"/>
      <c r="I57" s="30"/>
      <c r="J57" s="30"/>
      <c r="K57" s="30"/>
      <c r="L57" s="29"/>
      <c r="M57" s="30"/>
      <c r="N57" s="30"/>
      <c r="O57" s="30"/>
      <c r="P57" s="30"/>
      <c r="Q57" s="30"/>
      <c r="R57" s="30"/>
      <c r="S57" s="30"/>
      <c r="T57" s="30"/>
      <c r="U57" s="30"/>
      <c r="V57" s="31"/>
    </row>
    <row r="58" spans="1:22">
      <c r="A58" s="1" t="s">
        <v>79</v>
      </c>
      <c r="B58" s="29">
        <v>0</v>
      </c>
      <c r="C58" s="30">
        <v>0</v>
      </c>
      <c r="D58" s="30">
        <v>0</v>
      </c>
      <c r="E58" s="30">
        <v>0</v>
      </c>
      <c r="F58" s="30">
        <v>0</v>
      </c>
      <c r="G58" s="31">
        <f>SUM(OT_FINANCIAL)</f>
        <v>0</v>
      </c>
      <c r="H58" s="30"/>
      <c r="I58" s="30"/>
      <c r="J58" s="30"/>
      <c r="K58" s="30"/>
      <c r="L58" s="29"/>
      <c r="M58" s="30"/>
      <c r="N58" s="30"/>
      <c r="O58" s="30"/>
      <c r="P58" s="30"/>
      <c r="Q58" s="30"/>
      <c r="R58" s="30"/>
      <c r="S58" s="30"/>
      <c r="T58" s="30"/>
      <c r="U58" s="30"/>
      <c r="V58" s="31"/>
    </row>
    <row r="59" spans="1:22">
      <c r="B59" s="29"/>
      <c r="C59" s="30"/>
      <c r="D59" s="30"/>
      <c r="E59" s="30"/>
      <c r="F59" s="30"/>
      <c r="G59" s="31"/>
      <c r="H59" s="30"/>
      <c r="I59" s="30"/>
      <c r="J59" s="30"/>
      <c r="K59" s="30"/>
      <c r="L59" s="29"/>
      <c r="M59" s="30"/>
      <c r="N59" s="30"/>
      <c r="O59" s="30"/>
      <c r="P59" s="30"/>
      <c r="Q59" s="30"/>
      <c r="R59" s="30"/>
      <c r="S59" s="30"/>
      <c r="T59" s="30"/>
      <c r="U59" s="30"/>
      <c r="V59" s="31"/>
    </row>
    <row r="60" spans="1:22">
      <c r="A60" s="1" t="s">
        <v>8</v>
      </c>
      <c r="B60" s="29">
        <f>SUM(LIFE)</f>
        <v>19907392.395632271</v>
      </c>
      <c r="C60" s="30">
        <f>SUM(ALLOCATED)</f>
        <v>5169774.0258494122</v>
      </c>
      <c r="D60" s="30">
        <f>SUM(HEALTH)</f>
        <v>74162.348121394083</v>
      </c>
      <c r="E60" s="30">
        <f>SUM(UNALLOCATED)</f>
        <v>0</v>
      </c>
      <c r="F60" s="30">
        <f>SUM(LTC)</f>
        <v>0</v>
      </c>
      <c r="G60" s="31">
        <f>SUM(ALL_BLOCKS)</f>
        <v>25151328.769603077</v>
      </c>
      <c r="H60" s="30"/>
      <c r="I60" s="30"/>
      <c r="J60" s="30"/>
      <c r="K60" s="30"/>
      <c r="L60" s="29">
        <f>SUM(LIFE_CALLED)</f>
        <v>28735867</v>
      </c>
      <c r="M60" s="30">
        <f>SUM(LIFE_REFUNDED)</f>
        <v>280000</v>
      </c>
      <c r="N60" s="30"/>
      <c r="O60" s="30">
        <f>SUM(ALLOC_CALLED)</f>
        <v>10977686</v>
      </c>
      <c r="P60" s="30">
        <f>SUM(ALLOC_REFUNDED)</f>
        <v>50403.45</v>
      </c>
      <c r="Q60" s="30"/>
      <c r="R60" s="30">
        <f>SUM(HEALTH_CALLED)</f>
        <v>0</v>
      </c>
      <c r="S60" s="30">
        <f>SUM(HEALTH_REFUNDED)</f>
        <v>0</v>
      </c>
      <c r="T60" s="30"/>
      <c r="U60" s="30">
        <f>SUM(UNALLOC_CALLED)</f>
        <v>3735647</v>
      </c>
      <c r="V60" s="31">
        <f>SUM(UNALLOC_REFUNDED)</f>
        <v>0</v>
      </c>
    </row>
    <row r="61" spans="1:22" ht="5.0999999999999996" customHeight="1">
      <c r="B61" s="8"/>
      <c r="G61" s="11"/>
      <c r="L61" s="8"/>
      <c r="V61" s="11"/>
    </row>
    <row r="62" spans="1:22">
      <c r="B62" s="8"/>
      <c r="G62" s="11"/>
      <c r="L62" s="122" t="s">
        <v>80</v>
      </c>
      <c r="M62" s="123"/>
      <c r="N62" s="123"/>
      <c r="O62" s="123"/>
      <c r="P62" s="123"/>
      <c r="Q62" s="123"/>
      <c r="R62" s="123"/>
      <c r="S62" s="123"/>
      <c r="T62" s="123"/>
      <c r="U62" s="123"/>
      <c r="V62" s="124"/>
    </row>
    <row r="63" spans="1:22">
      <c r="B63" s="8"/>
      <c r="G63" s="11"/>
      <c r="L63" s="125"/>
      <c r="M63" s="123"/>
      <c r="N63" s="123"/>
      <c r="O63" s="123"/>
      <c r="P63" s="123"/>
      <c r="Q63" s="123"/>
      <c r="R63" s="123"/>
      <c r="S63" s="123"/>
      <c r="T63" s="123"/>
      <c r="U63" s="123"/>
      <c r="V63" s="124"/>
    </row>
    <row r="64" spans="1:22">
      <c r="B64" s="10"/>
      <c r="C64" s="7"/>
      <c r="D64" s="7"/>
      <c r="E64" s="7"/>
      <c r="F64" s="7"/>
      <c r="G64" s="13"/>
      <c r="L64" s="126"/>
      <c r="M64" s="127"/>
      <c r="N64" s="127"/>
      <c r="O64" s="127"/>
      <c r="P64" s="127"/>
      <c r="Q64" s="127"/>
      <c r="R64" s="127"/>
      <c r="S64" s="127"/>
      <c r="T64" s="127"/>
      <c r="U64" s="127"/>
      <c r="V64" s="128"/>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V64"/>
  <sheetViews>
    <sheetView zoomScale="75" workbookViewId="0">
      <selection sqref="A1:XFD1048576"/>
    </sheetView>
  </sheetViews>
  <sheetFormatPr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129" t="s">
        <v>91</v>
      </c>
      <c r="B1" s="123"/>
      <c r="C1" s="123"/>
      <c r="D1" s="123"/>
      <c r="E1" s="123"/>
      <c r="F1" s="123"/>
      <c r="G1" s="123"/>
    </row>
    <row r="3" spans="1:22">
      <c r="B3" s="130" t="s">
        <v>1</v>
      </c>
      <c r="C3" s="131"/>
      <c r="D3" s="131"/>
      <c r="E3" s="131"/>
      <c r="F3" s="131"/>
      <c r="G3" s="132"/>
      <c r="L3" s="133" t="s">
        <v>2</v>
      </c>
      <c r="M3" s="134"/>
      <c r="N3" s="134"/>
      <c r="O3" s="134"/>
      <c r="P3" s="134"/>
      <c r="Q3" s="134"/>
      <c r="R3" s="134"/>
      <c r="S3" s="134"/>
      <c r="T3" s="134"/>
      <c r="U3" s="134"/>
      <c r="V3" s="135"/>
    </row>
    <row r="4" spans="1:22">
      <c r="B4" s="8"/>
      <c r="G4" s="11"/>
      <c r="L4" s="136" t="s">
        <v>3</v>
      </c>
      <c r="M4" s="137"/>
      <c r="N4" s="4"/>
      <c r="O4" s="138" t="s">
        <v>4</v>
      </c>
      <c r="P4" s="137"/>
      <c r="Q4" s="4"/>
      <c r="R4" s="138" t="s">
        <v>5</v>
      </c>
      <c r="S4" s="137"/>
      <c r="T4" s="4"/>
      <c r="U4" s="138" t="s">
        <v>6</v>
      </c>
      <c r="V4" s="139"/>
    </row>
    <row r="5" spans="1:22" ht="60" customHeight="1">
      <c r="B5" s="9" t="s">
        <v>3</v>
      </c>
      <c r="C5" s="5" t="s">
        <v>4</v>
      </c>
      <c r="D5" s="5" t="s">
        <v>5</v>
      </c>
      <c r="E5" s="5" t="s">
        <v>6</v>
      </c>
      <c r="F5" s="5" t="s">
        <v>7</v>
      </c>
      <c r="G5" s="12" t="s">
        <v>8</v>
      </c>
      <c r="L5" s="15" t="s">
        <v>9</v>
      </c>
      <c r="M5" s="14" t="s">
        <v>10</v>
      </c>
      <c r="N5" s="14"/>
      <c r="O5" s="14" t="s">
        <v>9</v>
      </c>
      <c r="P5" s="14" t="s">
        <v>10</v>
      </c>
      <c r="Q5" s="14"/>
      <c r="R5" s="14" t="s">
        <v>9</v>
      </c>
      <c r="S5" s="14" t="s">
        <v>10</v>
      </c>
      <c r="T5" s="14"/>
      <c r="U5" s="14" t="s">
        <v>9</v>
      </c>
      <c r="V5" s="16" t="s">
        <v>10</v>
      </c>
    </row>
    <row r="6" spans="1:22">
      <c r="A6" s="1" t="s">
        <v>11</v>
      </c>
      <c r="B6" s="29">
        <v>0</v>
      </c>
      <c r="C6" s="30">
        <v>0</v>
      </c>
      <c r="D6" s="30">
        <v>0</v>
      </c>
      <c r="E6" s="30">
        <v>0</v>
      </c>
      <c r="F6" s="30">
        <v>0</v>
      </c>
      <c r="G6" s="31">
        <f>SUM(AL_FINANCIAL)</f>
        <v>0</v>
      </c>
      <c r="H6" s="30"/>
      <c r="I6" s="30"/>
      <c r="J6" s="30"/>
      <c r="K6" s="30"/>
      <c r="L6" s="29"/>
      <c r="M6" s="30"/>
      <c r="N6" s="30"/>
      <c r="O6" s="30"/>
      <c r="P6" s="30"/>
      <c r="Q6" s="30"/>
      <c r="R6" s="30"/>
      <c r="S6" s="30"/>
      <c r="T6" s="30"/>
      <c r="U6" s="30"/>
      <c r="V6" s="31"/>
    </row>
    <row r="7" spans="1:22">
      <c r="A7" s="1" t="s">
        <v>12</v>
      </c>
      <c r="B7" s="29">
        <v>0</v>
      </c>
      <c r="C7" s="30">
        <v>0</v>
      </c>
      <c r="D7" s="30">
        <v>0</v>
      </c>
      <c r="E7" s="30">
        <v>0</v>
      </c>
      <c r="F7" s="30">
        <v>0</v>
      </c>
      <c r="G7" s="31">
        <f>SUM(AK_FINANCIAL)</f>
        <v>0</v>
      </c>
      <c r="H7" s="30"/>
      <c r="I7" s="32"/>
      <c r="J7" s="33"/>
      <c r="K7" s="30"/>
      <c r="L7" s="29"/>
      <c r="M7" s="30"/>
      <c r="N7" s="30"/>
      <c r="O7" s="30"/>
      <c r="P7" s="30"/>
      <c r="Q7" s="30"/>
      <c r="R7" s="30"/>
      <c r="S7" s="30"/>
      <c r="T7" s="30"/>
      <c r="U7" s="30"/>
      <c r="V7" s="31"/>
    </row>
    <row r="8" spans="1:22">
      <c r="A8" s="1" t="s">
        <v>13</v>
      </c>
      <c r="B8" s="29">
        <v>-223902.85478518539</v>
      </c>
      <c r="C8" s="30">
        <v>0</v>
      </c>
      <c r="D8" s="30">
        <v>317571.35157951259</v>
      </c>
      <c r="E8" s="30">
        <v>0</v>
      </c>
      <c r="F8" s="30">
        <v>0</v>
      </c>
      <c r="G8" s="31">
        <f>SUM(AZ_FINANCIAL)</f>
        <v>93668.496794327191</v>
      </c>
      <c r="H8" s="30"/>
      <c r="I8" s="34" t="s">
        <v>14</v>
      </c>
      <c r="J8" s="35"/>
      <c r="K8" s="30"/>
      <c r="L8" s="29"/>
      <c r="M8" s="30"/>
      <c r="N8" s="30"/>
      <c r="O8" s="30"/>
      <c r="P8" s="30"/>
      <c r="Q8" s="30"/>
      <c r="R8" s="30"/>
      <c r="S8" s="30"/>
      <c r="T8" s="30"/>
      <c r="U8" s="30"/>
      <c r="V8" s="31"/>
    </row>
    <row r="9" spans="1:22">
      <c r="A9" s="1" t="s">
        <v>15</v>
      </c>
      <c r="B9" s="29">
        <v>0</v>
      </c>
      <c r="C9" s="30">
        <v>0</v>
      </c>
      <c r="D9" s="30">
        <v>0</v>
      </c>
      <c r="E9" s="30">
        <v>0</v>
      </c>
      <c r="F9" s="30">
        <v>0</v>
      </c>
      <c r="G9" s="31">
        <f>SUM(AR_FINANCIAL)</f>
        <v>0</v>
      </c>
      <c r="H9" s="30"/>
      <c r="I9" s="34"/>
      <c r="J9" s="35"/>
      <c r="K9" s="30"/>
      <c r="L9" s="29"/>
      <c r="M9" s="30"/>
      <c r="N9" s="30"/>
      <c r="O9" s="30"/>
      <c r="P9" s="30"/>
      <c r="Q9" s="30"/>
      <c r="R9" s="30"/>
      <c r="S9" s="30"/>
      <c r="T9" s="30"/>
      <c r="U9" s="30"/>
      <c r="V9" s="31"/>
    </row>
    <row r="10" spans="1:22">
      <c r="A10" s="1" t="s">
        <v>16</v>
      </c>
      <c r="B10" s="29">
        <v>0</v>
      </c>
      <c r="C10" s="30">
        <v>0</v>
      </c>
      <c r="D10" s="30">
        <v>0</v>
      </c>
      <c r="E10" s="30">
        <v>0</v>
      </c>
      <c r="F10" s="30">
        <v>0</v>
      </c>
      <c r="G10" s="31">
        <f>SUM(CA_FINANCIAL)</f>
        <v>0</v>
      </c>
      <c r="H10" s="30"/>
      <c r="I10" s="34" t="s">
        <v>17</v>
      </c>
      <c r="J10" s="35">
        <v>8900858</v>
      </c>
      <c r="K10" s="30"/>
      <c r="L10" s="29"/>
      <c r="M10" s="30"/>
      <c r="N10" s="30"/>
      <c r="O10" s="30"/>
      <c r="P10" s="30"/>
      <c r="Q10" s="30"/>
      <c r="R10" s="30"/>
      <c r="S10" s="30"/>
      <c r="T10" s="30"/>
      <c r="U10" s="30"/>
      <c r="V10" s="31"/>
    </row>
    <row r="11" spans="1:22">
      <c r="A11" s="1" t="s">
        <v>18</v>
      </c>
      <c r="B11" s="29">
        <v>145.7704555260498</v>
      </c>
      <c r="C11" s="30">
        <v>0</v>
      </c>
      <c r="D11" s="30">
        <v>-2097.6377546297335</v>
      </c>
      <c r="E11" s="30">
        <v>0</v>
      </c>
      <c r="F11" s="30">
        <v>0</v>
      </c>
      <c r="G11" s="31">
        <f>SUM(CO_FINANCIAL)</f>
        <v>-1951.8672991036838</v>
      </c>
      <c r="H11" s="30"/>
      <c r="I11" s="34"/>
      <c r="J11" s="35"/>
      <c r="K11" s="30"/>
      <c r="L11" s="29">
        <v>0</v>
      </c>
      <c r="M11" s="30">
        <v>0</v>
      </c>
      <c r="N11" s="30"/>
      <c r="O11" s="30">
        <v>0</v>
      </c>
      <c r="P11" s="30">
        <v>0</v>
      </c>
      <c r="Q11" s="30"/>
      <c r="R11" s="30">
        <v>25000</v>
      </c>
      <c r="S11" s="30">
        <v>0</v>
      </c>
      <c r="T11" s="30"/>
      <c r="U11" s="30">
        <v>0</v>
      </c>
      <c r="V11" s="31">
        <v>0</v>
      </c>
    </row>
    <row r="12" spans="1:22">
      <c r="A12" s="1" t="s">
        <v>19</v>
      </c>
      <c r="B12" s="29">
        <v>0</v>
      </c>
      <c r="C12" s="30">
        <v>0</v>
      </c>
      <c r="D12" s="30">
        <v>0</v>
      </c>
      <c r="E12" s="30">
        <v>0</v>
      </c>
      <c r="F12" s="30">
        <v>0</v>
      </c>
      <c r="G12" s="31">
        <f>SUM(CT_FINANCIAL)</f>
        <v>0</v>
      </c>
      <c r="H12" s="30"/>
      <c r="I12" s="34" t="s">
        <v>20</v>
      </c>
      <c r="J12" s="35"/>
      <c r="K12" s="30"/>
      <c r="L12" s="29"/>
      <c r="M12" s="30"/>
      <c r="N12" s="30"/>
      <c r="O12" s="30"/>
      <c r="P12" s="30"/>
      <c r="Q12" s="30"/>
      <c r="R12" s="30"/>
      <c r="S12" s="30"/>
      <c r="T12" s="30"/>
      <c r="U12" s="30"/>
      <c r="V12" s="31"/>
    </row>
    <row r="13" spans="1:22">
      <c r="A13" s="1" t="s">
        <v>21</v>
      </c>
      <c r="B13" s="29">
        <v>0</v>
      </c>
      <c r="C13" s="30">
        <v>0</v>
      </c>
      <c r="D13" s="30">
        <v>0</v>
      </c>
      <c r="E13" s="30">
        <v>0</v>
      </c>
      <c r="F13" s="30">
        <v>0</v>
      </c>
      <c r="G13" s="31">
        <f>SUM(DE_FINANCIAL)</f>
        <v>0</v>
      </c>
      <c r="H13" s="30"/>
      <c r="I13" s="34" t="s">
        <v>22</v>
      </c>
      <c r="J13" s="35">
        <v>6337185</v>
      </c>
      <c r="K13" s="30"/>
      <c r="L13" s="29"/>
      <c r="M13" s="30"/>
      <c r="N13" s="30"/>
      <c r="O13" s="30"/>
      <c r="P13" s="30"/>
      <c r="Q13" s="30"/>
      <c r="R13" s="30"/>
      <c r="S13" s="30"/>
      <c r="T13" s="30"/>
      <c r="U13" s="30"/>
      <c r="V13" s="31"/>
    </row>
    <row r="14" spans="1:22">
      <c r="A14" s="1" t="s">
        <v>23</v>
      </c>
      <c r="B14" s="29">
        <v>0</v>
      </c>
      <c r="C14" s="30">
        <v>0</v>
      </c>
      <c r="D14" s="30">
        <v>0</v>
      </c>
      <c r="E14" s="30">
        <v>0</v>
      </c>
      <c r="F14" s="30">
        <v>0</v>
      </c>
      <c r="G14" s="31">
        <f>SUM(DC_FINANCIAL)</f>
        <v>0</v>
      </c>
      <c r="H14" s="30"/>
      <c r="I14" s="34" t="s">
        <v>24</v>
      </c>
      <c r="J14" s="35">
        <v>1046036</v>
      </c>
      <c r="K14" s="30"/>
      <c r="L14" s="29"/>
      <c r="M14" s="30"/>
      <c r="N14" s="30"/>
      <c r="O14" s="30"/>
      <c r="P14" s="30"/>
      <c r="Q14" s="30"/>
      <c r="R14" s="30"/>
      <c r="S14" s="30"/>
      <c r="T14" s="30"/>
      <c r="U14" s="30"/>
      <c r="V14" s="31"/>
    </row>
    <row r="15" spans="1:22">
      <c r="A15" s="1" t="s">
        <v>25</v>
      </c>
      <c r="B15" s="29">
        <v>1378.7553524862542</v>
      </c>
      <c r="C15" s="30">
        <v>0</v>
      </c>
      <c r="D15" s="30">
        <v>92455.873826278723</v>
      </c>
      <c r="E15" s="30">
        <v>0</v>
      </c>
      <c r="F15" s="30">
        <v>0</v>
      </c>
      <c r="G15" s="31">
        <f>SUM(FL_FINANCIAL)</f>
        <v>93834.629178764982</v>
      </c>
      <c r="H15" s="30"/>
      <c r="I15" s="34" t="s">
        <v>26</v>
      </c>
      <c r="J15" s="35">
        <v>5110951.6399999997</v>
      </c>
      <c r="K15" s="30"/>
      <c r="L15" s="29"/>
      <c r="M15" s="30"/>
      <c r="N15" s="30"/>
      <c r="O15" s="30"/>
      <c r="P15" s="30"/>
      <c r="Q15" s="30"/>
      <c r="R15" s="30"/>
      <c r="S15" s="30"/>
      <c r="T15" s="30"/>
      <c r="U15" s="30"/>
      <c r="V15" s="31"/>
    </row>
    <row r="16" spans="1:22">
      <c r="A16" s="1" t="s">
        <v>27</v>
      </c>
      <c r="B16" s="29">
        <v>0</v>
      </c>
      <c r="C16" s="30">
        <v>0</v>
      </c>
      <c r="D16" s="30">
        <v>0</v>
      </c>
      <c r="E16" s="30">
        <v>0</v>
      </c>
      <c r="F16" s="30">
        <v>0</v>
      </c>
      <c r="G16" s="31">
        <f>SUM(GA_FINANCIAL)</f>
        <v>0</v>
      </c>
      <c r="H16" s="30"/>
      <c r="I16" s="34" t="s">
        <v>28</v>
      </c>
      <c r="J16" s="35">
        <v>0</v>
      </c>
      <c r="K16" s="30"/>
      <c r="L16" s="29"/>
      <c r="M16" s="30"/>
      <c r="N16" s="30"/>
      <c r="O16" s="30"/>
      <c r="P16" s="30"/>
      <c r="Q16" s="30"/>
      <c r="R16" s="30"/>
      <c r="S16" s="30"/>
      <c r="T16" s="30"/>
      <c r="U16" s="30"/>
      <c r="V16" s="31"/>
    </row>
    <row r="17" spans="1:22">
      <c r="A17" s="1" t="s">
        <v>29</v>
      </c>
      <c r="B17" s="29">
        <v>0</v>
      </c>
      <c r="C17" s="30">
        <v>0</v>
      </c>
      <c r="D17" s="30">
        <v>0</v>
      </c>
      <c r="E17" s="30">
        <v>0</v>
      </c>
      <c r="F17" s="30">
        <v>0</v>
      </c>
      <c r="G17" s="31">
        <f>SUM(HI_FINANCIAL)</f>
        <v>0</v>
      </c>
      <c r="H17" s="30"/>
      <c r="I17" s="34"/>
      <c r="J17" s="35"/>
      <c r="K17" s="30"/>
      <c r="L17" s="29"/>
      <c r="M17" s="30"/>
      <c r="N17" s="30"/>
      <c r="O17" s="30"/>
      <c r="P17" s="30"/>
      <c r="Q17" s="30"/>
      <c r="R17" s="30"/>
      <c r="S17" s="30"/>
      <c r="T17" s="30"/>
      <c r="U17" s="30"/>
      <c r="V17" s="31"/>
    </row>
    <row r="18" spans="1:22">
      <c r="A18" s="1" t="s">
        <v>30</v>
      </c>
      <c r="B18" s="29">
        <v>0</v>
      </c>
      <c r="C18" s="30">
        <v>0</v>
      </c>
      <c r="D18" s="30">
        <v>0</v>
      </c>
      <c r="E18" s="30">
        <v>0</v>
      </c>
      <c r="F18" s="30">
        <v>0</v>
      </c>
      <c r="G18" s="31">
        <f>SUM(ID_FINANCIAL)</f>
        <v>0</v>
      </c>
      <c r="H18" s="30"/>
      <c r="I18" s="34" t="s">
        <v>31</v>
      </c>
      <c r="J18" s="35"/>
      <c r="K18" s="30"/>
      <c r="L18" s="29"/>
      <c r="M18" s="30"/>
      <c r="N18" s="30"/>
      <c r="O18" s="30"/>
      <c r="P18" s="30"/>
      <c r="Q18" s="30"/>
      <c r="R18" s="30"/>
      <c r="S18" s="30"/>
      <c r="T18" s="30"/>
      <c r="U18" s="30"/>
      <c r="V18" s="31"/>
    </row>
    <row r="19" spans="1:22">
      <c r="A19" s="1" t="s">
        <v>32</v>
      </c>
      <c r="B19" s="29">
        <v>0</v>
      </c>
      <c r="C19" s="30">
        <v>0</v>
      </c>
      <c r="D19" s="30">
        <v>0</v>
      </c>
      <c r="E19" s="30">
        <v>0</v>
      </c>
      <c r="F19" s="30">
        <v>0</v>
      </c>
      <c r="G19" s="31">
        <f>SUM(IL_FINANCIAL)</f>
        <v>0</v>
      </c>
      <c r="H19" s="30"/>
      <c r="I19" s="34" t="s">
        <v>33</v>
      </c>
      <c r="J19" s="35">
        <v>0</v>
      </c>
      <c r="K19" s="30"/>
      <c r="L19" s="29"/>
      <c r="M19" s="30"/>
      <c r="N19" s="30"/>
      <c r="O19" s="30"/>
      <c r="P19" s="30"/>
      <c r="Q19" s="30"/>
      <c r="R19" s="30"/>
      <c r="S19" s="30"/>
      <c r="T19" s="30"/>
      <c r="U19" s="30"/>
      <c r="V19" s="31"/>
    </row>
    <row r="20" spans="1:22">
      <c r="A20" s="1" t="s">
        <v>34</v>
      </c>
      <c r="B20" s="29">
        <v>0</v>
      </c>
      <c r="C20" s="30">
        <v>0</v>
      </c>
      <c r="D20" s="30">
        <v>0</v>
      </c>
      <c r="E20" s="30">
        <v>0</v>
      </c>
      <c r="F20" s="30">
        <v>0</v>
      </c>
      <c r="G20" s="31">
        <f>SUM(IN_FINANCIAL)</f>
        <v>0</v>
      </c>
      <c r="H20" s="30"/>
      <c r="I20" s="34" t="s">
        <v>35</v>
      </c>
      <c r="J20" s="35">
        <v>6323702</v>
      </c>
      <c r="K20" s="30"/>
      <c r="L20" s="29"/>
      <c r="M20" s="30"/>
      <c r="N20" s="30"/>
      <c r="O20" s="30"/>
      <c r="P20" s="30"/>
      <c r="Q20" s="30"/>
      <c r="R20" s="30"/>
      <c r="S20" s="30"/>
      <c r="T20" s="30"/>
      <c r="U20" s="30"/>
      <c r="V20" s="31"/>
    </row>
    <row r="21" spans="1:22">
      <c r="A21" s="1" t="s">
        <v>36</v>
      </c>
      <c r="B21" s="29">
        <v>0</v>
      </c>
      <c r="C21" s="30">
        <v>0</v>
      </c>
      <c r="D21" s="30">
        <v>0</v>
      </c>
      <c r="E21" s="30">
        <v>0</v>
      </c>
      <c r="F21" s="30">
        <v>0</v>
      </c>
      <c r="G21" s="31">
        <f>SUM(IA_FINANCIAL)</f>
        <v>0</v>
      </c>
      <c r="H21" s="30"/>
      <c r="I21" s="34" t="s">
        <v>37</v>
      </c>
      <c r="J21" s="35"/>
      <c r="K21" s="30"/>
      <c r="L21" s="29"/>
      <c r="M21" s="30"/>
      <c r="N21" s="30"/>
      <c r="O21" s="30"/>
      <c r="P21" s="30"/>
      <c r="Q21" s="30"/>
      <c r="R21" s="30"/>
      <c r="S21" s="30"/>
      <c r="T21" s="30"/>
      <c r="U21" s="30"/>
      <c r="V21" s="31"/>
    </row>
    <row r="22" spans="1:22">
      <c r="A22" s="1" t="s">
        <v>38</v>
      </c>
      <c r="B22" s="29">
        <v>0</v>
      </c>
      <c r="C22" s="30">
        <v>0</v>
      </c>
      <c r="D22" s="30">
        <v>0</v>
      </c>
      <c r="E22" s="30">
        <v>0</v>
      </c>
      <c r="F22" s="30">
        <v>0</v>
      </c>
      <c r="G22" s="31">
        <f>SUM(KS_FINANCIAL)</f>
        <v>0</v>
      </c>
      <c r="H22" s="30"/>
      <c r="I22" s="34" t="s">
        <v>39</v>
      </c>
      <c r="J22" s="35">
        <v>-571866</v>
      </c>
      <c r="K22" s="30"/>
      <c r="L22" s="29"/>
      <c r="M22" s="30"/>
      <c r="N22" s="30"/>
      <c r="O22" s="30"/>
      <c r="P22" s="30"/>
      <c r="Q22" s="30"/>
      <c r="R22" s="30"/>
      <c r="S22" s="30"/>
      <c r="T22" s="30"/>
      <c r="U22" s="30"/>
      <c r="V22" s="31"/>
    </row>
    <row r="23" spans="1:22">
      <c r="A23" s="1" t="s">
        <v>40</v>
      </c>
      <c r="B23" s="29">
        <v>0</v>
      </c>
      <c r="C23" s="30">
        <v>0</v>
      </c>
      <c r="D23" s="30">
        <v>0</v>
      </c>
      <c r="E23" s="30">
        <v>0</v>
      </c>
      <c r="F23" s="30">
        <v>0</v>
      </c>
      <c r="G23" s="31">
        <f>SUM(KY_FINANCIAL)</f>
        <v>0</v>
      </c>
      <c r="H23" s="30"/>
      <c r="I23" s="34" t="s">
        <v>41</v>
      </c>
      <c r="J23" s="35"/>
      <c r="K23" s="30"/>
      <c r="L23" s="29"/>
      <c r="M23" s="30"/>
      <c r="N23" s="30"/>
      <c r="O23" s="30"/>
      <c r="P23" s="30"/>
      <c r="Q23" s="30"/>
      <c r="R23" s="30"/>
      <c r="S23" s="30"/>
      <c r="T23" s="30"/>
      <c r="U23" s="30"/>
      <c r="V23" s="31"/>
    </row>
    <row r="24" spans="1:22">
      <c r="A24" s="1" t="s">
        <v>42</v>
      </c>
      <c r="B24" s="29">
        <v>30087.987611139582</v>
      </c>
      <c r="C24" s="30">
        <v>0</v>
      </c>
      <c r="D24" s="30">
        <v>3465502.6715593976</v>
      </c>
      <c r="E24" s="30">
        <v>0</v>
      </c>
      <c r="F24" s="30">
        <v>0</v>
      </c>
      <c r="G24" s="31">
        <f>SUM(LA_FINANCIAL)</f>
        <v>3495590.6591705373</v>
      </c>
      <c r="H24" s="30"/>
      <c r="I24" s="34" t="s">
        <v>43</v>
      </c>
      <c r="J24" s="35">
        <v>1806541</v>
      </c>
      <c r="K24" s="30"/>
      <c r="L24" s="29">
        <v>3959</v>
      </c>
      <c r="M24" s="30">
        <v>0</v>
      </c>
      <c r="N24" s="30"/>
      <c r="O24" s="30">
        <v>0</v>
      </c>
      <c r="P24" s="30">
        <v>0</v>
      </c>
      <c r="Q24" s="30"/>
      <c r="R24" s="30">
        <v>4945041</v>
      </c>
      <c r="S24" s="30">
        <v>0</v>
      </c>
      <c r="T24" s="30"/>
      <c r="U24" s="30">
        <v>0</v>
      </c>
      <c r="V24" s="31">
        <v>0</v>
      </c>
    </row>
    <row r="25" spans="1:22">
      <c r="A25" s="1" t="s">
        <v>44</v>
      </c>
      <c r="B25" s="29">
        <v>0</v>
      </c>
      <c r="C25" s="30">
        <v>0</v>
      </c>
      <c r="D25" s="30">
        <v>0</v>
      </c>
      <c r="E25" s="30">
        <v>0</v>
      </c>
      <c r="F25" s="30">
        <v>0</v>
      </c>
      <c r="G25" s="31">
        <f>SUM(ME_FINANCIAL)</f>
        <v>0</v>
      </c>
      <c r="H25" s="30"/>
      <c r="I25" s="34"/>
      <c r="J25" s="35"/>
      <c r="K25" s="30"/>
      <c r="L25" s="29"/>
      <c r="M25" s="30"/>
      <c r="N25" s="30"/>
      <c r="O25" s="30"/>
      <c r="P25" s="30"/>
      <c r="Q25" s="30"/>
      <c r="R25" s="30"/>
      <c r="S25" s="30"/>
      <c r="T25" s="30"/>
      <c r="U25" s="30"/>
      <c r="V25" s="31"/>
    </row>
    <row r="26" spans="1:22">
      <c r="A26" s="1" t="s">
        <v>45</v>
      </c>
      <c r="B26" s="29">
        <v>0</v>
      </c>
      <c r="C26" s="30">
        <v>0</v>
      </c>
      <c r="D26" s="30">
        <v>0</v>
      </c>
      <c r="E26" s="30">
        <v>0</v>
      </c>
      <c r="F26" s="30">
        <v>0</v>
      </c>
      <c r="G26" s="31">
        <f>SUM(MD_FINANCIAL)</f>
        <v>0</v>
      </c>
      <c r="H26" s="30"/>
      <c r="I26" s="34" t="s">
        <v>46</v>
      </c>
      <c r="J26" s="35">
        <f>SUM(ADD_FINANCIAL)-SUM(LESS_FINANCIAL)</f>
        <v>13836653.640000001</v>
      </c>
      <c r="K26" s="30"/>
      <c r="L26" s="29"/>
      <c r="M26" s="30"/>
      <c r="N26" s="30"/>
      <c r="O26" s="30"/>
      <c r="P26" s="30"/>
      <c r="Q26" s="30"/>
      <c r="R26" s="30"/>
      <c r="S26" s="30"/>
      <c r="T26" s="30"/>
      <c r="U26" s="30"/>
      <c r="V26" s="31"/>
    </row>
    <row r="27" spans="1:22">
      <c r="A27" s="1" t="s">
        <v>47</v>
      </c>
      <c r="B27" s="29">
        <v>0</v>
      </c>
      <c r="C27" s="30">
        <v>0</v>
      </c>
      <c r="D27" s="30">
        <v>0</v>
      </c>
      <c r="E27" s="30">
        <v>0</v>
      </c>
      <c r="F27" s="30">
        <v>0</v>
      </c>
      <c r="G27" s="31">
        <f>SUM(MA_FINANCIAL)</f>
        <v>0</v>
      </c>
      <c r="H27" s="30"/>
      <c r="I27" s="34" t="s">
        <v>48</v>
      </c>
      <c r="J27" s="35">
        <f>SUM(ALL_BLOCKS)</f>
        <v>13836653.639999999</v>
      </c>
      <c r="K27" s="30"/>
      <c r="L27" s="29"/>
      <c r="M27" s="30"/>
      <c r="N27" s="30"/>
      <c r="O27" s="30"/>
      <c r="P27" s="30"/>
      <c r="Q27" s="30"/>
      <c r="R27" s="30"/>
      <c r="S27" s="30"/>
      <c r="T27" s="30"/>
      <c r="U27" s="30"/>
      <c r="V27" s="31"/>
    </row>
    <row r="28" spans="1:22">
      <c r="A28" s="1" t="s">
        <v>49</v>
      </c>
      <c r="B28" s="29">
        <v>0</v>
      </c>
      <c r="C28" s="30">
        <v>0</v>
      </c>
      <c r="D28" s="30">
        <v>0</v>
      </c>
      <c r="E28" s="30">
        <v>0</v>
      </c>
      <c r="F28" s="30">
        <v>0</v>
      </c>
      <c r="G28" s="31">
        <f>SUM(MI_FINANCIAL)</f>
        <v>0</v>
      </c>
      <c r="H28" s="30"/>
      <c r="I28" s="36"/>
      <c r="J28" s="37"/>
      <c r="K28" s="30"/>
      <c r="L28" s="29"/>
      <c r="M28" s="30"/>
      <c r="N28" s="30"/>
      <c r="O28" s="30"/>
      <c r="P28" s="30"/>
      <c r="Q28" s="30"/>
      <c r="R28" s="30"/>
      <c r="S28" s="30"/>
      <c r="T28" s="30"/>
      <c r="U28" s="30"/>
      <c r="V28" s="31"/>
    </row>
    <row r="29" spans="1:22">
      <c r="A29" s="1" t="s">
        <v>50</v>
      </c>
      <c r="B29" s="29">
        <v>0</v>
      </c>
      <c r="C29" s="30">
        <v>0</v>
      </c>
      <c r="D29" s="30">
        <v>0</v>
      </c>
      <c r="E29" s="30">
        <v>0</v>
      </c>
      <c r="F29" s="30">
        <v>0</v>
      </c>
      <c r="G29" s="31">
        <f>SUM(MN_FINANCIAL)</f>
        <v>0</v>
      </c>
      <c r="H29" s="30"/>
      <c r="I29" s="30"/>
      <c r="J29" s="30"/>
      <c r="K29" s="30"/>
      <c r="L29" s="29"/>
      <c r="M29" s="30"/>
      <c r="N29" s="30"/>
      <c r="O29" s="30"/>
      <c r="P29" s="30"/>
      <c r="Q29" s="30"/>
      <c r="R29" s="30"/>
      <c r="S29" s="30"/>
      <c r="T29" s="30"/>
      <c r="U29" s="30"/>
      <c r="V29" s="31"/>
    </row>
    <row r="30" spans="1:22">
      <c r="A30" s="1" t="s">
        <v>51</v>
      </c>
      <c r="B30" s="29">
        <v>0</v>
      </c>
      <c r="C30" s="30">
        <v>0</v>
      </c>
      <c r="D30" s="30">
        <v>0</v>
      </c>
      <c r="E30" s="30">
        <v>0</v>
      </c>
      <c r="F30" s="30">
        <v>0</v>
      </c>
      <c r="G30" s="31">
        <f>SUM(MS_FINANCIAL)</f>
        <v>0</v>
      </c>
      <c r="H30" s="30"/>
      <c r="I30" s="30"/>
      <c r="J30" s="30"/>
      <c r="K30" s="30"/>
      <c r="L30" s="29"/>
      <c r="M30" s="30"/>
      <c r="N30" s="30"/>
      <c r="O30" s="30"/>
      <c r="P30" s="30"/>
      <c r="Q30" s="30"/>
      <c r="R30" s="30"/>
      <c r="S30" s="30"/>
      <c r="T30" s="30"/>
      <c r="U30" s="30"/>
      <c r="V30" s="31"/>
    </row>
    <row r="31" spans="1:22">
      <c r="A31" s="1" t="s">
        <v>52</v>
      </c>
      <c r="B31" s="29">
        <v>0</v>
      </c>
      <c r="C31" s="30">
        <v>0</v>
      </c>
      <c r="D31" s="30">
        <v>33830.296048170072</v>
      </c>
      <c r="E31" s="30">
        <v>0</v>
      </c>
      <c r="F31" s="30">
        <v>0</v>
      </c>
      <c r="G31" s="31">
        <f>SUM(MO_FINANCIAL)</f>
        <v>33830.296048170072</v>
      </c>
      <c r="H31" s="30"/>
      <c r="I31" s="30"/>
      <c r="J31" s="30"/>
      <c r="K31" s="30"/>
      <c r="L31" s="29"/>
      <c r="M31" s="30"/>
      <c r="N31" s="30"/>
      <c r="O31" s="30"/>
      <c r="P31" s="30"/>
      <c r="Q31" s="30"/>
      <c r="R31" s="30"/>
      <c r="S31" s="30"/>
      <c r="T31" s="30"/>
      <c r="U31" s="30"/>
      <c r="V31" s="31"/>
    </row>
    <row r="32" spans="1:22">
      <c r="A32" s="1" t="s">
        <v>53</v>
      </c>
      <c r="B32" s="29">
        <v>0</v>
      </c>
      <c r="C32" s="30">
        <v>0</v>
      </c>
      <c r="D32" s="30">
        <v>1321</v>
      </c>
      <c r="E32" s="30">
        <v>0</v>
      </c>
      <c r="F32" s="30">
        <v>0</v>
      </c>
      <c r="G32" s="31">
        <f>SUM(MT_FINANCIAL)</f>
        <v>1321</v>
      </c>
      <c r="H32" s="30"/>
      <c r="I32" s="30"/>
      <c r="J32" s="30"/>
      <c r="K32" s="30"/>
      <c r="L32" s="29"/>
      <c r="M32" s="30"/>
      <c r="N32" s="30"/>
      <c r="O32" s="30"/>
      <c r="P32" s="30"/>
      <c r="Q32" s="30"/>
      <c r="R32" s="30"/>
      <c r="S32" s="30"/>
      <c r="T32" s="30"/>
      <c r="U32" s="30"/>
      <c r="V32" s="31"/>
    </row>
    <row r="33" spans="1:22">
      <c r="A33" s="1" t="s">
        <v>54</v>
      </c>
      <c r="B33" s="29">
        <v>0</v>
      </c>
      <c r="C33" s="30">
        <v>0</v>
      </c>
      <c r="D33" s="30">
        <v>19264.914045081954</v>
      </c>
      <c r="E33" s="30">
        <v>0</v>
      </c>
      <c r="F33" s="30">
        <v>0</v>
      </c>
      <c r="G33" s="31">
        <f>SUM(NE_FINANCIAL)</f>
        <v>19264.914045081954</v>
      </c>
      <c r="H33" s="30"/>
      <c r="I33" s="30"/>
      <c r="J33" s="30"/>
      <c r="K33" s="30"/>
      <c r="L33" s="29"/>
      <c r="M33" s="30"/>
      <c r="N33" s="30"/>
      <c r="O33" s="30"/>
      <c r="P33" s="30"/>
      <c r="Q33" s="30"/>
      <c r="R33" s="30"/>
      <c r="S33" s="30"/>
      <c r="T33" s="30"/>
      <c r="U33" s="30"/>
      <c r="V33" s="31"/>
    </row>
    <row r="34" spans="1:22">
      <c r="A34" s="1" t="s">
        <v>55</v>
      </c>
      <c r="B34" s="29">
        <v>0</v>
      </c>
      <c r="C34" s="30">
        <v>0</v>
      </c>
      <c r="D34" s="30">
        <v>0</v>
      </c>
      <c r="E34" s="30">
        <v>0</v>
      </c>
      <c r="F34" s="30">
        <v>0</v>
      </c>
      <c r="G34" s="31">
        <f>SUM(NV_FINANCIAL)</f>
        <v>0</v>
      </c>
      <c r="H34" s="30"/>
      <c r="I34" s="30"/>
      <c r="J34" s="30"/>
      <c r="K34" s="30"/>
      <c r="L34" s="29"/>
      <c r="M34" s="30"/>
      <c r="N34" s="30"/>
      <c r="O34" s="30"/>
      <c r="P34" s="30"/>
      <c r="Q34" s="30"/>
      <c r="R34" s="30"/>
      <c r="S34" s="30"/>
      <c r="T34" s="30"/>
      <c r="U34" s="30"/>
      <c r="V34" s="31"/>
    </row>
    <row r="35" spans="1:22">
      <c r="A35" s="1" t="s">
        <v>56</v>
      </c>
      <c r="B35" s="29">
        <v>0</v>
      </c>
      <c r="C35" s="30">
        <v>0</v>
      </c>
      <c r="D35" s="30">
        <v>0</v>
      </c>
      <c r="E35" s="30">
        <v>0</v>
      </c>
      <c r="F35" s="30">
        <v>0</v>
      </c>
      <c r="G35" s="31">
        <f>SUM(NH_FINANCIAL)</f>
        <v>0</v>
      </c>
      <c r="H35" s="30"/>
      <c r="I35" s="30"/>
      <c r="J35" s="30"/>
      <c r="K35" s="30"/>
      <c r="L35" s="29"/>
      <c r="M35" s="30"/>
      <c r="N35" s="30"/>
      <c r="O35" s="30"/>
      <c r="P35" s="30"/>
      <c r="Q35" s="30"/>
      <c r="R35" s="30"/>
      <c r="S35" s="30"/>
      <c r="T35" s="30"/>
      <c r="U35" s="30"/>
      <c r="V35" s="31"/>
    </row>
    <row r="36" spans="1:22">
      <c r="A36" s="1" t="s">
        <v>57</v>
      </c>
      <c r="B36" s="29">
        <v>0</v>
      </c>
      <c r="C36" s="30">
        <v>0</v>
      </c>
      <c r="D36" s="30">
        <v>0</v>
      </c>
      <c r="E36" s="30">
        <v>0</v>
      </c>
      <c r="F36" s="30">
        <v>0</v>
      </c>
      <c r="G36" s="31">
        <f>SUM(NJ_FINANCIAL)</f>
        <v>0</v>
      </c>
      <c r="H36" s="30"/>
      <c r="I36" s="30"/>
      <c r="J36" s="30"/>
      <c r="K36" s="30"/>
      <c r="L36" s="29"/>
      <c r="M36" s="30"/>
      <c r="N36" s="30"/>
      <c r="O36" s="30"/>
      <c r="P36" s="30"/>
      <c r="Q36" s="30"/>
      <c r="R36" s="30"/>
      <c r="S36" s="30"/>
      <c r="T36" s="30"/>
      <c r="U36" s="30"/>
      <c r="V36" s="31"/>
    </row>
    <row r="37" spans="1:22">
      <c r="A37" s="1" t="s">
        <v>58</v>
      </c>
      <c r="B37" s="29">
        <v>2573.6789413000902</v>
      </c>
      <c r="C37" s="30">
        <v>0</v>
      </c>
      <c r="D37" s="30">
        <v>-27295.813144936124</v>
      </c>
      <c r="E37" s="30">
        <v>0</v>
      </c>
      <c r="F37" s="30">
        <v>0</v>
      </c>
      <c r="G37" s="31">
        <f>SUM(NM_FINANCIAL)</f>
        <v>-24722.134203636033</v>
      </c>
      <c r="H37" s="30"/>
      <c r="I37" s="30"/>
      <c r="J37" s="30"/>
      <c r="K37" s="30"/>
      <c r="L37" s="29"/>
      <c r="M37" s="30"/>
      <c r="N37" s="30"/>
      <c r="O37" s="30"/>
      <c r="P37" s="30"/>
      <c r="Q37" s="30"/>
      <c r="R37" s="30"/>
      <c r="S37" s="30"/>
      <c r="T37" s="30"/>
      <c r="U37" s="30"/>
      <c r="V37" s="31"/>
    </row>
    <row r="38" spans="1:22">
      <c r="A38" s="1" t="s">
        <v>59</v>
      </c>
      <c r="B38" s="29">
        <v>0</v>
      </c>
      <c r="C38" s="30">
        <v>0</v>
      </c>
      <c r="D38" s="30">
        <v>0</v>
      </c>
      <c r="E38" s="30">
        <v>0</v>
      </c>
      <c r="F38" s="30">
        <v>0</v>
      </c>
      <c r="G38" s="31">
        <f>SUM(NY_FINANCIAL)</f>
        <v>0</v>
      </c>
      <c r="H38" s="30"/>
      <c r="I38" s="30"/>
      <c r="J38" s="30"/>
      <c r="K38" s="30"/>
      <c r="L38" s="29"/>
      <c r="M38" s="30"/>
      <c r="N38" s="30"/>
      <c r="O38" s="30"/>
      <c r="P38" s="30"/>
      <c r="Q38" s="30"/>
      <c r="R38" s="30"/>
      <c r="S38" s="30"/>
      <c r="T38" s="30"/>
      <c r="U38" s="30"/>
      <c r="V38" s="31"/>
    </row>
    <row r="39" spans="1:22">
      <c r="A39" s="1" t="s">
        <v>60</v>
      </c>
      <c r="B39" s="29">
        <v>0</v>
      </c>
      <c r="C39" s="30">
        <v>0</v>
      </c>
      <c r="D39" s="30">
        <v>0</v>
      </c>
      <c r="E39" s="30">
        <v>0</v>
      </c>
      <c r="F39" s="30">
        <v>0</v>
      </c>
      <c r="G39" s="31">
        <f>SUM(NC_FINANCIAL)</f>
        <v>0</v>
      </c>
      <c r="H39" s="30"/>
      <c r="I39" s="30"/>
      <c r="J39" s="30"/>
      <c r="K39" s="30"/>
      <c r="L39" s="29"/>
      <c r="M39" s="30"/>
      <c r="N39" s="30"/>
      <c r="O39" s="30"/>
      <c r="P39" s="30"/>
      <c r="Q39" s="30"/>
      <c r="R39" s="30"/>
      <c r="S39" s="30"/>
      <c r="T39" s="30"/>
      <c r="U39" s="30"/>
      <c r="V39" s="31"/>
    </row>
    <row r="40" spans="1:22">
      <c r="A40" s="1" t="s">
        <v>61</v>
      </c>
      <c r="B40" s="29">
        <v>0</v>
      </c>
      <c r="C40" s="30">
        <v>0</v>
      </c>
      <c r="D40" s="30">
        <v>3964.1519680958581</v>
      </c>
      <c r="E40" s="30">
        <v>0</v>
      </c>
      <c r="F40" s="30">
        <v>0</v>
      </c>
      <c r="G40" s="31">
        <f>SUM(ND_FINANCIAL)</f>
        <v>3964.1519680958581</v>
      </c>
      <c r="H40" s="30"/>
      <c r="I40" s="30"/>
      <c r="J40" s="30"/>
      <c r="K40" s="30"/>
      <c r="L40" s="29"/>
      <c r="M40" s="30"/>
      <c r="N40" s="30"/>
      <c r="O40" s="30"/>
      <c r="P40" s="30"/>
      <c r="Q40" s="30"/>
      <c r="R40" s="30"/>
      <c r="S40" s="30"/>
      <c r="T40" s="30"/>
      <c r="U40" s="30"/>
      <c r="V40" s="31"/>
    </row>
    <row r="41" spans="1:22">
      <c r="A41" s="1" t="s">
        <v>62</v>
      </c>
      <c r="B41" s="29">
        <v>0</v>
      </c>
      <c r="C41" s="30">
        <v>0</v>
      </c>
      <c r="D41" s="30">
        <v>0</v>
      </c>
      <c r="E41" s="30">
        <v>0</v>
      </c>
      <c r="F41" s="30">
        <v>0</v>
      </c>
      <c r="G41" s="31">
        <f>SUM(OH_FINANCIAL)</f>
        <v>0</v>
      </c>
      <c r="H41" s="30"/>
      <c r="I41" s="30"/>
      <c r="J41" s="30"/>
      <c r="K41" s="30"/>
      <c r="L41" s="29"/>
      <c r="M41" s="30"/>
      <c r="N41" s="30"/>
      <c r="O41" s="30"/>
      <c r="P41" s="30"/>
      <c r="Q41" s="30"/>
      <c r="R41" s="30"/>
      <c r="S41" s="30"/>
      <c r="T41" s="30"/>
      <c r="U41" s="30"/>
      <c r="V41" s="31"/>
    </row>
    <row r="42" spans="1:22">
      <c r="A42" s="1" t="s">
        <v>63</v>
      </c>
      <c r="B42" s="29">
        <v>-4362.7381532942954</v>
      </c>
      <c r="C42" s="30">
        <v>0</v>
      </c>
      <c r="D42" s="30">
        <v>355841.23552704928</v>
      </c>
      <c r="E42" s="30">
        <v>0</v>
      </c>
      <c r="F42" s="30">
        <v>0</v>
      </c>
      <c r="G42" s="31">
        <f>SUM(OK_FINANCIAL)</f>
        <v>351478.49737375497</v>
      </c>
      <c r="H42" s="30"/>
      <c r="I42" s="30"/>
      <c r="J42" s="30"/>
      <c r="K42" s="30"/>
      <c r="L42" s="29">
        <v>8000</v>
      </c>
      <c r="M42" s="30">
        <v>4500</v>
      </c>
      <c r="N42" s="30"/>
      <c r="O42" s="30">
        <v>0</v>
      </c>
      <c r="P42" s="30">
        <v>0</v>
      </c>
      <c r="Q42" s="30"/>
      <c r="R42" s="30">
        <v>792000</v>
      </c>
      <c r="S42" s="30">
        <v>445500</v>
      </c>
      <c r="T42" s="30"/>
      <c r="U42" s="30">
        <v>0</v>
      </c>
      <c r="V42" s="31">
        <v>0</v>
      </c>
    </row>
    <row r="43" spans="1:22">
      <c r="A43" s="1" t="s">
        <v>64</v>
      </c>
      <c r="B43" s="29">
        <v>0</v>
      </c>
      <c r="C43" s="30">
        <v>0</v>
      </c>
      <c r="D43" s="30">
        <v>0</v>
      </c>
      <c r="E43" s="30">
        <v>0</v>
      </c>
      <c r="F43" s="30">
        <v>0</v>
      </c>
      <c r="G43" s="31">
        <f>SUM(OR_FINANCIAL)</f>
        <v>0</v>
      </c>
      <c r="H43" s="30"/>
      <c r="I43" s="30"/>
      <c r="J43" s="30"/>
      <c r="K43" s="30"/>
      <c r="L43" s="29"/>
      <c r="M43" s="30"/>
      <c r="N43" s="30"/>
      <c r="O43" s="30"/>
      <c r="P43" s="30"/>
      <c r="Q43" s="30"/>
      <c r="R43" s="30"/>
      <c r="S43" s="30"/>
      <c r="T43" s="30"/>
      <c r="U43" s="30"/>
      <c r="V43" s="31"/>
    </row>
    <row r="44" spans="1:22">
      <c r="A44" s="1" t="s">
        <v>65</v>
      </c>
      <c r="B44" s="29">
        <v>0</v>
      </c>
      <c r="C44" s="30">
        <v>0</v>
      </c>
      <c r="D44" s="30">
        <v>0</v>
      </c>
      <c r="E44" s="30">
        <v>0</v>
      </c>
      <c r="F44" s="30">
        <v>0</v>
      </c>
      <c r="G44" s="31">
        <f>SUM(PA_FINANCIAL)</f>
        <v>0</v>
      </c>
      <c r="H44" s="30"/>
      <c r="I44" s="30"/>
      <c r="J44" s="30"/>
      <c r="K44" s="30"/>
      <c r="L44" s="29"/>
      <c r="M44" s="30"/>
      <c r="N44" s="30"/>
      <c r="O44" s="30"/>
      <c r="P44" s="30"/>
      <c r="Q44" s="30"/>
      <c r="R44" s="30"/>
      <c r="S44" s="30"/>
      <c r="T44" s="30"/>
      <c r="U44" s="30"/>
      <c r="V44" s="31"/>
    </row>
    <row r="45" spans="1:22">
      <c r="A45" s="1" t="s">
        <v>66</v>
      </c>
      <c r="B45" s="29">
        <v>0</v>
      </c>
      <c r="C45" s="30">
        <v>0</v>
      </c>
      <c r="D45" s="30">
        <v>0</v>
      </c>
      <c r="E45" s="30">
        <v>0</v>
      </c>
      <c r="F45" s="30">
        <v>0</v>
      </c>
      <c r="G45" s="31">
        <f>SUM(PR_FINANCIAL)</f>
        <v>0</v>
      </c>
      <c r="H45" s="30"/>
      <c r="I45" s="30"/>
      <c r="J45" s="30"/>
      <c r="K45" s="30"/>
      <c r="L45" s="29"/>
      <c r="M45" s="30"/>
      <c r="N45" s="30"/>
      <c r="O45" s="30"/>
      <c r="P45" s="30"/>
      <c r="Q45" s="30"/>
      <c r="R45" s="30"/>
      <c r="S45" s="30"/>
      <c r="T45" s="30"/>
      <c r="U45" s="30"/>
      <c r="V45" s="31"/>
    </row>
    <row r="46" spans="1:22">
      <c r="A46" s="1" t="s">
        <v>67</v>
      </c>
      <c r="B46" s="29">
        <v>0</v>
      </c>
      <c r="C46" s="30">
        <v>0</v>
      </c>
      <c r="D46" s="30">
        <v>0</v>
      </c>
      <c r="E46" s="30">
        <v>0</v>
      </c>
      <c r="F46" s="30">
        <v>0</v>
      </c>
      <c r="G46" s="31">
        <f>SUM(RI_FINANCIAL)</f>
        <v>0</v>
      </c>
      <c r="H46" s="30"/>
      <c r="I46" s="30"/>
      <c r="J46" s="30"/>
      <c r="K46" s="30"/>
      <c r="L46" s="29"/>
      <c r="M46" s="30"/>
      <c r="N46" s="30"/>
      <c r="O46" s="30"/>
      <c r="P46" s="30"/>
      <c r="Q46" s="30"/>
      <c r="R46" s="30"/>
      <c r="S46" s="30"/>
      <c r="T46" s="30"/>
      <c r="U46" s="30"/>
      <c r="V46" s="31"/>
    </row>
    <row r="47" spans="1:22">
      <c r="A47" s="1" t="s">
        <v>68</v>
      </c>
      <c r="B47" s="29">
        <v>0</v>
      </c>
      <c r="C47" s="30">
        <v>0</v>
      </c>
      <c r="D47" s="30">
        <v>0</v>
      </c>
      <c r="E47" s="30">
        <v>0</v>
      </c>
      <c r="F47" s="30">
        <v>0</v>
      </c>
      <c r="G47" s="31">
        <f>SUM(SC_FINANCIAL)</f>
        <v>0</v>
      </c>
      <c r="H47" s="30"/>
      <c r="I47" s="30"/>
      <c r="J47" s="30"/>
      <c r="K47" s="30"/>
      <c r="L47" s="29"/>
      <c r="M47" s="30"/>
      <c r="N47" s="30"/>
      <c r="O47" s="30"/>
      <c r="P47" s="30"/>
      <c r="Q47" s="30"/>
      <c r="R47" s="30"/>
      <c r="S47" s="30"/>
      <c r="T47" s="30"/>
      <c r="U47" s="30"/>
      <c r="V47" s="31"/>
    </row>
    <row r="48" spans="1:22">
      <c r="A48" s="1" t="s">
        <v>69</v>
      </c>
      <c r="B48" s="29">
        <v>0</v>
      </c>
      <c r="C48" s="30">
        <v>0</v>
      </c>
      <c r="D48" s="30">
        <v>5910.754231949968</v>
      </c>
      <c r="E48" s="30">
        <v>0</v>
      </c>
      <c r="F48" s="30">
        <v>0</v>
      </c>
      <c r="G48" s="31">
        <f>SUM(SD_FINANCIAL)</f>
        <v>5910.754231949968</v>
      </c>
      <c r="H48" s="30"/>
      <c r="I48" s="30"/>
      <c r="J48" s="30"/>
      <c r="K48" s="30"/>
      <c r="L48" s="29"/>
      <c r="M48" s="30"/>
      <c r="N48" s="30"/>
      <c r="O48" s="30"/>
      <c r="P48" s="30"/>
      <c r="Q48" s="30"/>
      <c r="R48" s="30"/>
      <c r="S48" s="30"/>
      <c r="T48" s="30"/>
      <c r="U48" s="30"/>
      <c r="V48" s="31"/>
    </row>
    <row r="49" spans="1:22">
      <c r="A49" s="1" t="s">
        <v>70</v>
      </c>
      <c r="B49" s="29">
        <v>0</v>
      </c>
      <c r="C49" s="30">
        <v>0</v>
      </c>
      <c r="D49" s="30">
        <v>0</v>
      </c>
      <c r="E49" s="30">
        <v>0</v>
      </c>
      <c r="F49" s="30">
        <v>0</v>
      </c>
      <c r="G49" s="31">
        <f>SUM(TN_FINANCIAL)</f>
        <v>0</v>
      </c>
      <c r="H49" s="30"/>
      <c r="I49" s="30"/>
      <c r="J49" s="30"/>
      <c r="K49" s="30"/>
      <c r="L49" s="29"/>
      <c r="M49" s="30"/>
      <c r="N49" s="30"/>
      <c r="O49" s="30"/>
      <c r="P49" s="30"/>
      <c r="Q49" s="30"/>
      <c r="R49" s="30"/>
      <c r="S49" s="30"/>
      <c r="T49" s="30"/>
      <c r="U49" s="30"/>
      <c r="V49" s="31"/>
    </row>
    <row r="50" spans="1:22">
      <c r="A50" s="1" t="s">
        <v>71</v>
      </c>
      <c r="B50" s="29">
        <v>193052.40973005656</v>
      </c>
      <c r="C50" s="30">
        <v>0</v>
      </c>
      <c r="D50" s="30">
        <v>9552818.2464481257</v>
      </c>
      <c r="E50" s="30">
        <v>0</v>
      </c>
      <c r="F50" s="30">
        <v>0</v>
      </c>
      <c r="G50" s="31">
        <f>SUM(TX_FINANCIAL)</f>
        <v>9745870.656178182</v>
      </c>
      <c r="H50" s="30"/>
      <c r="I50" s="30"/>
      <c r="J50" s="30"/>
      <c r="K50" s="30"/>
      <c r="L50" s="29">
        <v>58755</v>
      </c>
      <c r="M50" s="30">
        <v>11987.105000000001</v>
      </c>
      <c r="N50" s="30"/>
      <c r="O50" s="30">
        <v>0</v>
      </c>
      <c r="P50" s="30">
        <v>0</v>
      </c>
      <c r="Q50" s="30"/>
      <c r="R50" s="30">
        <v>11692213</v>
      </c>
      <c r="S50" s="30">
        <v>2385439.895</v>
      </c>
      <c r="T50" s="30"/>
      <c r="U50" s="30">
        <v>0</v>
      </c>
      <c r="V50" s="31">
        <v>0</v>
      </c>
    </row>
    <row r="51" spans="1:22">
      <c r="A51" s="1" t="s">
        <v>72</v>
      </c>
      <c r="B51" s="29">
        <v>0</v>
      </c>
      <c r="C51" s="30">
        <v>0</v>
      </c>
      <c r="D51" s="30">
        <v>18593.58651387451</v>
      </c>
      <c r="E51" s="30">
        <v>0</v>
      </c>
      <c r="F51" s="30">
        <v>0</v>
      </c>
      <c r="G51" s="31">
        <f>SUM(UT_FINANCIAL)</f>
        <v>18593.58651387451</v>
      </c>
      <c r="H51" s="30"/>
      <c r="I51" s="30"/>
      <c r="J51" s="30"/>
      <c r="K51" s="30"/>
      <c r="L51" s="29"/>
      <c r="M51" s="30"/>
      <c r="N51" s="30"/>
      <c r="O51" s="30"/>
      <c r="P51" s="30"/>
      <c r="Q51" s="30"/>
      <c r="R51" s="30"/>
      <c r="S51" s="30"/>
      <c r="T51" s="30"/>
      <c r="U51" s="30"/>
      <c r="V51" s="31"/>
    </row>
    <row r="52" spans="1:22">
      <c r="A52" s="1" t="s">
        <v>73</v>
      </c>
      <c r="B52" s="29">
        <v>0</v>
      </c>
      <c r="C52" s="30">
        <v>0</v>
      </c>
      <c r="D52" s="30">
        <v>0</v>
      </c>
      <c r="E52" s="30">
        <v>0</v>
      </c>
      <c r="F52" s="30">
        <v>0</v>
      </c>
      <c r="G52" s="31">
        <f>SUM(VT_FINANCIAL)</f>
        <v>0</v>
      </c>
      <c r="H52" s="30"/>
      <c r="I52" s="30"/>
      <c r="J52" s="30"/>
      <c r="K52" s="30"/>
      <c r="L52" s="29"/>
      <c r="M52" s="30"/>
      <c r="N52" s="30"/>
      <c r="O52" s="30"/>
      <c r="P52" s="30"/>
      <c r="Q52" s="30"/>
      <c r="R52" s="30"/>
      <c r="S52" s="30"/>
      <c r="T52" s="30"/>
      <c r="U52" s="30"/>
      <c r="V52" s="31"/>
    </row>
    <row r="53" spans="1:22">
      <c r="A53" s="1" t="s">
        <v>74</v>
      </c>
      <c r="B53" s="29">
        <v>0</v>
      </c>
      <c r="C53" s="30">
        <v>0</v>
      </c>
      <c r="D53" s="30">
        <v>0</v>
      </c>
      <c r="E53" s="30">
        <v>0</v>
      </c>
      <c r="F53" s="30">
        <v>0</v>
      </c>
      <c r="G53" s="31">
        <f>SUM(VA_FINANCIAL)</f>
        <v>0</v>
      </c>
      <c r="H53" s="30"/>
      <c r="I53" s="30"/>
      <c r="J53" s="30"/>
      <c r="K53" s="30"/>
      <c r="L53" s="29"/>
      <c r="M53" s="30"/>
      <c r="N53" s="30"/>
      <c r="O53" s="30"/>
      <c r="P53" s="30"/>
      <c r="Q53" s="30"/>
      <c r="R53" s="30"/>
      <c r="S53" s="30"/>
      <c r="T53" s="30"/>
      <c r="U53" s="30"/>
      <c r="V53" s="31"/>
    </row>
    <row r="54" spans="1:22">
      <c r="A54" s="1" t="s">
        <v>75</v>
      </c>
      <c r="B54" s="29">
        <v>0</v>
      </c>
      <c r="C54" s="30">
        <v>0</v>
      </c>
      <c r="D54" s="30">
        <v>0</v>
      </c>
      <c r="E54" s="30">
        <v>0</v>
      </c>
      <c r="F54" s="30">
        <v>0</v>
      </c>
      <c r="G54" s="31">
        <f>SUM(WA_FINANCIAL)</f>
        <v>0</v>
      </c>
      <c r="H54" s="30"/>
      <c r="I54" s="30"/>
      <c r="J54" s="30"/>
      <c r="K54" s="30"/>
      <c r="L54" s="29"/>
      <c r="M54" s="30"/>
      <c r="N54" s="30"/>
      <c r="O54" s="30"/>
      <c r="P54" s="30"/>
      <c r="Q54" s="30"/>
      <c r="R54" s="30"/>
      <c r="S54" s="30"/>
      <c r="T54" s="30"/>
      <c r="U54" s="30"/>
      <c r="V54" s="31"/>
    </row>
    <row r="55" spans="1:22">
      <c r="A55" s="1" t="s">
        <v>76</v>
      </c>
      <c r="B55" s="29">
        <v>0</v>
      </c>
      <c r="C55" s="30">
        <v>0</v>
      </c>
      <c r="D55" s="30">
        <v>0</v>
      </c>
      <c r="E55" s="30">
        <v>0</v>
      </c>
      <c r="F55" s="30">
        <v>0</v>
      </c>
      <c r="G55" s="31">
        <f>SUM(WV_FINANCIAL)</f>
        <v>0</v>
      </c>
      <c r="H55" s="30"/>
      <c r="I55" s="30"/>
      <c r="J55" s="30"/>
      <c r="K55" s="30"/>
      <c r="L55" s="29"/>
      <c r="M55" s="30"/>
      <c r="N55" s="30"/>
      <c r="O55" s="30"/>
      <c r="P55" s="30"/>
      <c r="Q55" s="30"/>
      <c r="R55" s="30"/>
      <c r="S55" s="30"/>
      <c r="T55" s="30"/>
      <c r="U55" s="30"/>
      <c r="V55" s="31"/>
    </row>
    <row r="56" spans="1:22">
      <c r="A56" s="1" t="s">
        <v>77</v>
      </c>
      <c r="B56" s="29">
        <v>0</v>
      </c>
      <c r="C56" s="30">
        <v>0</v>
      </c>
      <c r="D56" s="30">
        <v>0</v>
      </c>
      <c r="E56" s="30">
        <v>0</v>
      </c>
      <c r="F56" s="30">
        <v>0</v>
      </c>
      <c r="G56" s="31">
        <f>SUM(WI_FINANCIAL)</f>
        <v>0</v>
      </c>
      <c r="H56" s="30"/>
      <c r="I56" s="30"/>
      <c r="J56" s="30"/>
      <c r="K56" s="30"/>
      <c r="L56" s="29"/>
      <c r="M56" s="30"/>
      <c r="N56" s="30"/>
      <c r="O56" s="30"/>
      <c r="P56" s="30"/>
      <c r="Q56" s="30"/>
      <c r="R56" s="30"/>
      <c r="S56" s="30"/>
      <c r="T56" s="30"/>
      <c r="U56" s="30"/>
      <c r="V56" s="31"/>
    </row>
    <row r="57" spans="1:22">
      <c r="A57" s="1" t="s">
        <v>78</v>
      </c>
      <c r="B57" s="29">
        <v>0</v>
      </c>
      <c r="C57" s="30">
        <v>0</v>
      </c>
      <c r="D57" s="30">
        <v>0</v>
      </c>
      <c r="E57" s="30">
        <v>0</v>
      </c>
      <c r="F57" s="30">
        <v>0</v>
      </c>
      <c r="G57" s="31">
        <f>SUM(WY_FINANCIAL)</f>
        <v>0</v>
      </c>
      <c r="H57" s="30"/>
      <c r="I57" s="30"/>
      <c r="J57" s="30"/>
      <c r="K57" s="30"/>
      <c r="L57" s="29"/>
      <c r="M57" s="30"/>
      <c r="N57" s="30"/>
      <c r="O57" s="30"/>
      <c r="P57" s="30"/>
      <c r="Q57" s="30"/>
      <c r="R57" s="30"/>
      <c r="S57" s="30"/>
      <c r="T57" s="30"/>
      <c r="U57" s="30"/>
      <c r="V57" s="31"/>
    </row>
    <row r="58" spans="1:22">
      <c r="A58" s="1" t="s">
        <v>79</v>
      </c>
      <c r="B58" s="29">
        <v>0</v>
      </c>
      <c r="C58" s="30">
        <v>0</v>
      </c>
      <c r="D58" s="30">
        <v>0</v>
      </c>
      <c r="E58" s="30">
        <v>0</v>
      </c>
      <c r="F58" s="30">
        <v>0</v>
      </c>
      <c r="G58" s="31">
        <f>SUM(OT_FINANCIAL)</f>
        <v>0</v>
      </c>
      <c r="H58" s="30"/>
      <c r="I58" s="30"/>
      <c r="J58" s="30"/>
      <c r="K58" s="30"/>
      <c r="L58" s="29"/>
      <c r="M58" s="30"/>
      <c r="N58" s="30"/>
      <c r="O58" s="30"/>
      <c r="P58" s="30"/>
      <c r="Q58" s="30"/>
      <c r="R58" s="30"/>
      <c r="S58" s="30"/>
      <c r="T58" s="30"/>
      <c r="U58" s="30"/>
      <c r="V58" s="31"/>
    </row>
    <row r="59" spans="1:22">
      <c r="B59" s="29"/>
      <c r="C59" s="30"/>
      <c r="D59" s="30"/>
      <c r="E59" s="30"/>
      <c r="F59" s="30"/>
      <c r="G59" s="31"/>
      <c r="H59" s="30"/>
      <c r="I59" s="30"/>
      <c r="J59" s="30"/>
      <c r="K59" s="30"/>
      <c r="L59" s="29"/>
      <c r="M59" s="30"/>
      <c r="N59" s="30"/>
      <c r="O59" s="30"/>
      <c r="P59" s="30"/>
      <c r="Q59" s="30"/>
      <c r="R59" s="30"/>
      <c r="S59" s="30"/>
      <c r="T59" s="30"/>
      <c r="U59" s="30"/>
      <c r="V59" s="31"/>
    </row>
    <row r="60" spans="1:22">
      <c r="A60" s="1" t="s">
        <v>8</v>
      </c>
      <c r="B60" s="29">
        <f>SUM(LIFE)</f>
        <v>-1026.9908479711739</v>
      </c>
      <c r="C60" s="30">
        <f>SUM(ALLOCATED)</f>
        <v>0</v>
      </c>
      <c r="D60" s="30">
        <f>SUM(HEALTH)</f>
        <v>13837680.63084797</v>
      </c>
      <c r="E60" s="30">
        <f>SUM(UNALLOCATED)</f>
        <v>0</v>
      </c>
      <c r="F60" s="30">
        <f>SUM(LTC)</f>
        <v>0</v>
      </c>
      <c r="G60" s="31">
        <f>SUM(ALL_BLOCKS)</f>
        <v>13836653.639999999</v>
      </c>
      <c r="H60" s="30"/>
      <c r="I60" s="30"/>
      <c r="J60" s="30"/>
      <c r="K60" s="30"/>
      <c r="L60" s="29">
        <f>SUM(LIFE_CALLED)</f>
        <v>70714</v>
      </c>
      <c r="M60" s="30">
        <f>SUM(LIFE_REFUNDED)</f>
        <v>16487.105000000003</v>
      </c>
      <c r="N60" s="30"/>
      <c r="O60" s="30">
        <f>SUM(ALLOC_CALLED)</f>
        <v>0</v>
      </c>
      <c r="P60" s="30">
        <f>SUM(ALLOC_REFUNDED)</f>
        <v>0</v>
      </c>
      <c r="Q60" s="30"/>
      <c r="R60" s="30">
        <f>SUM(HEALTH_CALLED)</f>
        <v>17454254</v>
      </c>
      <c r="S60" s="30">
        <f>SUM(HEALTH_REFUNDED)</f>
        <v>2830939.895</v>
      </c>
      <c r="T60" s="30"/>
      <c r="U60" s="30">
        <f>SUM(UNALLOC_CALLED)</f>
        <v>0</v>
      </c>
      <c r="V60" s="31">
        <f>SUM(UNALLOC_REFUNDED)</f>
        <v>0</v>
      </c>
    </row>
    <row r="61" spans="1:22" ht="5.0999999999999996" customHeight="1">
      <c r="B61" s="8"/>
      <c r="G61" s="11"/>
      <c r="L61" s="8"/>
      <c r="V61" s="11"/>
    </row>
    <row r="62" spans="1:22">
      <c r="B62" s="8"/>
      <c r="G62" s="11"/>
      <c r="L62" s="122" t="s">
        <v>80</v>
      </c>
      <c r="M62" s="123"/>
      <c r="N62" s="123"/>
      <c r="O62" s="123"/>
      <c r="P62" s="123"/>
      <c r="Q62" s="123"/>
      <c r="R62" s="123"/>
      <c r="S62" s="123"/>
      <c r="T62" s="123"/>
      <c r="U62" s="123"/>
      <c r="V62" s="124"/>
    </row>
    <row r="63" spans="1:22">
      <c r="B63" s="8"/>
      <c r="G63" s="11"/>
      <c r="L63" s="125"/>
      <c r="M63" s="123"/>
      <c r="N63" s="123"/>
      <c r="O63" s="123"/>
      <c r="P63" s="123"/>
      <c r="Q63" s="123"/>
      <c r="R63" s="123"/>
      <c r="S63" s="123"/>
      <c r="T63" s="123"/>
      <c r="U63" s="123"/>
      <c r="V63" s="124"/>
    </row>
    <row r="64" spans="1:22">
      <c r="B64" s="10"/>
      <c r="C64" s="7"/>
      <c r="D64" s="7"/>
      <c r="E64" s="7"/>
      <c r="F64" s="7"/>
      <c r="G64" s="13"/>
      <c r="L64" s="126"/>
      <c r="M64" s="127"/>
      <c r="N64" s="127"/>
      <c r="O64" s="127"/>
      <c r="P64" s="127"/>
      <c r="Q64" s="127"/>
      <c r="R64" s="127"/>
      <c r="S64" s="127"/>
      <c r="T64" s="127"/>
      <c r="U64" s="127"/>
      <c r="V64" s="128"/>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V64"/>
  <sheetViews>
    <sheetView zoomScale="75" workbookViewId="0">
      <selection sqref="A1:XFD1048576"/>
    </sheetView>
  </sheetViews>
  <sheetFormatPr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129" t="s">
        <v>92</v>
      </c>
      <c r="B1" s="123"/>
      <c r="C1" s="123"/>
      <c r="D1" s="123"/>
      <c r="E1" s="123"/>
      <c r="F1" s="123"/>
      <c r="G1" s="123"/>
    </row>
    <row r="3" spans="1:22">
      <c r="B3" s="130" t="s">
        <v>1</v>
      </c>
      <c r="C3" s="131"/>
      <c r="D3" s="131"/>
      <c r="E3" s="131"/>
      <c r="F3" s="131"/>
      <c r="G3" s="132"/>
      <c r="L3" s="133" t="s">
        <v>2</v>
      </c>
      <c r="M3" s="134"/>
      <c r="N3" s="134"/>
      <c r="O3" s="134"/>
      <c r="P3" s="134"/>
      <c r="Q3" s="134"/>
      <c r="R3" s="134"/>
      <c r="S3" s="134"/>
      <c r="T3" s="134"/>
      <c r="U3" s="134"/>
      <c r="V3" s="135"/>
    </row>
    <row r="4" spans="1:22">
      <c r="B4" s="8"/>
      <c r="G4" s="11"/>
      <c r="L4" s="136" t="s">
        <v>3</v>
      </c>
      <c r="M4" s="137"/>
      <c r="N4" s="4"/>
      <c r="O4" s="138" t="s">
        <v>4</v>
      </c>
      <c r="P4" s="137"/>
      <c r="Q4" s="4"/>
      <c r="R4" s="138" t="s">
        <v>5</v>
      </c>
      <c r="S4" s="137"/>
      <c r="T4" s="4"/>
      <c r="U4" s="138" t="s">
        <v>6</v>
      </c>
      <c r="V4" s="139"/>
    </row>
    <row r="5" spans="1:22" ht="60" customHeight="1">
      <c r="B5" s="9" t="s">
        <v>3</v>
      </c>
      <c r="C5" s="5" t="s">
        <v>4</v>
      </c>
      <c r="D5" s="5" t="s">
        <v>5</v>
      </c>
      <c r="E5" s="5" t="s">
        <v>6</v>
      </c>
      <c r="F5" s="5" t="s">
        <v>7</v>
      </c>
      <c r="G5" s="12" t="s">
        <v>8</v>
      </c>
      <c r="L5" s="15" t="s">
        <v>9</v>
      </c>
      <c r="M5" s="14" t="s">
        <v>10</v>
      </c>
      <c r="N5" s="14"/>
      <c r="O5" s="14" t="s">
        <v>9</v>
      </c>
      <c r="P5" s="14" t="s">
        <v>10</v>
      </c>
      <c r="Q5" s="14"/>
      <c r="R5" s="14" t="s">
        <v>9</v>
      </c>
      <c r="S5" s="14" t="s">
        <v>10</v>
      </c>
      <c r="T5" s="14"/>
      <c r="U5" s="14" t="s">
        <v>9</v>
      </c>
      <c r="V5" s="16" t="s">
        <v>10</v>
      </c>
    </row>
    <row r="6" spans="1:22">
      <c r="A6" s="1" t="s">
        <v>11</v>
      </c>
      <c r="B6" s="29">
        <v>0</v>
      </c>
      <c r="C6" s="30">
        <v>0</v>
      </c>
      <c r="D6" s="30">
        <v>36427.175105297407</v>
      </c>
      <c r="E6" s="30">
        <v>0</v>
      </c>
      <c r="F6" s="30">
        <v>0</v>
      </c>
      <c r="G6" s="31">
        <f>SUM(AL_FINANCIAL)</f>
        <v>36427.175105297407</v>
      </c>
      <c r="H6" s="30"/>
      <c r="I6" s="30"/>
      <c r="J6" s="30"/>
      <c r="K6" s="30"/>
      <c r="L6" s="29"/>
      <c r="M6" s="30"/>
      <c r="N6" s="30"/>
      <c r="O6" s="30"/>
      <c r="P6" s="30"/>
      <c r="Q6" s="30"/>
      <c r="R6" s="30"/>
      <c r="S6" s="30"/>
      <c r="T6" s="30"/>
      <c r="U6" s="30"/>
      <c r="V6" s="31"/>
    </row>
    <row r="7" spans="1:22">
      <c r="A7" s="1" t="s">
        <v>12</v>
      </c>
      <c r="B7" s="29">
        <v>0</v>
      </c>
      <c r="C7" s="30">
        <v>0</v>
      </c>
      <c r="D7" s="30">
        <v>0</v>
      </c>
      <c r="E7" s="30">
        <v>0</v>
      </c>
      <c r="F7" s="30">
        <v>0</v>
      </c>
      <c r="G7" s="31">
        <f>SUM(AK_FINANCIAL)</f>
        <v>0</v>
      </c>
      <c r="H7" s="30"/>
      <c r="I7" s="32"/>
      <c r="J7" s="33"/>
      <c r="K7" s="30"/>
      <c r="L7" s="29"/>
      <c r="M7" s="30"/>
      <c r="N7" s="30"/>
      <c r="O7" s="30"/>
      <c r="P7" s="30"/>
      <c r="Q7" s="30"/>
      <c r="R7" s="30"/>
      <c r="S7" s="30"/>
      <c r="T7" s="30"/>
      <c r="U7" s="30"/>
      <c r="V7" s="31"/>
    </row>
    <row r="8" spans="1:22">
      <c r="A8" s="1" t="s">
        <v>13</v>
      </c>
      <c r="B8" s="29">
        <v>0</v>
      </c>
      <c r="C8" s="30">
        <v>0</v>
      </c>
      <c r="D8" s="30">
        <v>43058.279634797858</v>
      </c>
      <c r="E8" s="30">
        <v>0</v>
      </c>
      <c r="F8" s="30">
        <v>0</v>
      </c>
      <c r="G8" s="31">
        <f>SUM(AZ_FINANCIAL)</f>
        <v>43058.279634797858</v>
      </c>
      <c r="H8" s="30"/>
      <c r="I8" s="34" t="s">
        <v>14</v>
      </c>
      <c r="J8" s="35"/>
      <c r="K8" s="30"/>
      <c r="L8" s="29"/>
      <c r="M8" s="30"/>
      <c r="N8" s="30"/>
      <c r="O8" s="30"/>
      <c r="P8" s="30"/>
      <c r="Q8" s="30"/>
      <c r="R8" s="30"/>
      <c r="S8" s="30"/>
      <c r="T8" s="30"/>
      <c r="U8" s="30"/>
      <c r="V8" s="31"/>
    </row>
    <row r="9" spans="1:22">
      <c r="A9" s="1" t="s">
        <v>15</v>
      </c>
      <c r="B9" s="29">
        <v>10582.271164420354</v>
      </c>
      <c r="C9" s="30">
        <v>0</v>
      </c>
      <c r="D9" s="30">
        <v>1716339.9623082662</v>
      </c>
      <c r="E9" s="30">
        <v>0</v>
      </c>
      <c r="F9" s="30">
        <v>0</v>
      </c>
      <c r="G9" s="31">
        <f>SUM(AR_FINANCIAL)</f>
        <v>1726922.2334726865</v>
      </c>
      <c r="H9" s="30"/>
      <c r="I9" s="34"/>
      <c r="J9" s="35"/>
      <c r="K9" s="30"/>
      <c r="L9" s="29">
        <v>0</v>
      </c>
      <c r="M9" s="30">
        <v>0</v>
      </c>
      <c r="N9" s="30"/>
      <c r="O9" s="30">
        <v>0</v>
      </c>
      <c r="P9" s="30">
        <v>0</v>
      </c>
      <c r="Q9" s="30"/>
      <c r="R9" s="30">
        <v>3284134</v>
      </c>
      <c r="S9" s="30">
        <v>0</v>
      </c>
      <c r="T9" s="30"/>
      <c r="U9" s="30">
        <v>0</v>
      </c>
      <c r="V9" s="31">
        <v>0</v>
      </c>
    </row>
    <row r="10" spans="1:22">
      <c r="A10" s="1" t="s">
        <v>16</v>
      </c>
      <c r="B10" s="29">
        <v>0</v>
      </c>
      <c r="C10" s="30">
        <v>0</v>
      </c>
      <c r="D10" s="30">
        <v>0</v>
      </c>
      <c r="E10" s="30">
        <v>0</v>
      </c>
      <c r="F10" s="30">
        <v>0</v>
      </c>
      <c r="G10" s="31">
        <f>SUM(CA_FINANCIAL)</f>
        <v>0</v>
      </c>
      <c r="H10" s="30"/>
      <c r="I10" s="34" t="s">
        <v>17</v>
      </c>
      <c r="J10" s="35">
        <v>51277703.869999968</v>
      </c>
      <c r="K10" s="30"/>
      <c r="L10" s="29"/>
      <c r="M10" s="30"/>
      <c r="N10" s="30"/>
      <c r="O10" s="30"/>
      <c r="P10" s="30"/>
      <c r="Q10" s="30"/>
      <c r="R10" s="30"/>
      <c r="S10" s="30"/>
      <c r="T10" s="30"/>
      <c r="U10" s="30"/>
      <c r="V10" s="31"/>
    </row>
    <row r="11" spans="1:22">
      <c r="A11" s="1" t="s">
        <v>18</v>
      </c>
      <c r="B11" s="29">
        <v>0</v>
      </c>
      <c r="C11" s="30">
        <v>0</v>
      </c>
      <c r="D11" s="30">
        <v>55821.734794818753</v>
      </c>
      <c r="E11" s="30">
        <v>0</v>
      </c>
      <c r="F11" s="30">
        <v>0</v>
      </c>
      <c r="G11" s="31">
        <f>SUM(CO_FINANCIAL)</f>
        <v>55821.734794818753</v>
      </c>
      <c r="H11" s="30"/>
      <c r="I11" s="34"/>
      <c r="J11" s="35"/>
      <c r="K11" s="30"/>
      <c r="L11" s="29">
        <v>0</v>
      </c>
      <c r="M11" s="30">
        <v>0</v>
      </c>
      <c r="N11" s="30"/>
      <c r="O11" s="30">
        <v>0</v>
      </c>
      <c r="P11" s="30">
        <v>0</v>
      </c>
      <c r="Q11" s="30"/>
      <c r="R11" s="30">
        <v>106857</v>
      </c>
      <c r="S11" s="30">
        <v>0</v>
      </c>
      <c r="T11" s="30"/>
      <c r="U11" s="30">
        <v>0</v>
      </c>
      <c r="V11" s="31">
        <v>0</v>
      </c>
    </row>
    <row r="12" spans="1:22">
      <c r="A12" s="1" t="s">
        <v>19</v>
      </c>
      <c r="B12" s="29">
        <v>0</v>
      </c>
      <c r="C12" s="30">
        <v>0</v>
      </c>
      <c r="D12" s="30">
        <v>0</v>
      </c>
      <c r="E12" s="30">
        <v>0</v>
      </c>
      <c r="F12" s="30">
        <v>0</v>
      </c>
      <c r="G12" s="31">
        <f>SUM(CT_FINANCIAL)</f>
        <v>0</v>
      </c>
      <c r="H12" s="30"/>
      <c r="I12" s="34" t="s">
        <v>20</v>
      </c>
      <c r="J12" s="35"/>
      <c r="K12" s="30"/>
      <c r="L12" s="29"/>
      <c r="M12" s="30"/>
      <c r="N12" s="30"/>
      <c r="O12" s="30"/>
      <c r="P12" s="30"/>
      <c r="Q12" s="30"/>
      <c r="R12" s="30"/>
      <c r="S12" s="30"/>
      <c r="T12" s="30"/>
      <c r="U12" s="30"/>
      <c r="V12" s="31"/>
    </row>
    <row r="13" spans="1:22">
      <c r="A13" s="1" t="s">
        <v>21</v>
      </c>
      <c r="B13" s="29">
        <v>0</v>
      </c>
      <c r="C13" s="30">
        <v>0</v>
      </c>
      <c r="D13" s="30">
        <v>0</v>
      </c>
      <c r="E13" s="30">
        <v>0</v>
      </c>
      <c r="F13" s="30">
        <v>0</v>
      </c>
      <c r="G13" s="31">
        <f>SUM(DE_FINANCIAL)</f>
        <v>0</v>
      </c>
      <c r="H13" s="30"/>
      <c r="I13" s="34" t="s">
        <v>22</v>
      </c>
      <c r="J13" s="35">
        <v>51277703.869999968</v>
      </c>
      <c r="K13" s="30"/>
      <c r="L13" s="29"/>
      <c r="M13" s="30"/>
      <c r="N13" s="30"/>
      <c r="O13" s="30"/>
      <c r="P13" s="30"/>
      <c r="Q13" s="30"/>
      <c r="R13" s="30"/>
      <c r="S13" s="30"/>
      <c r="T13" s="30"/>
      <c r="U13" s="30"/>
      <c r="V13" s="31"/>
    </row>
    <row r="14" spans="1:22">
      <c r="A14" s="1" t="s">
        <v>23</v>
      </c>
      <c r="B14" s="29">
        <v>0</v>
      </c>
      <c r="C14" s="30">
        <v>0</v>
      </c>
      <c r="D14" s="30">
        <v>0</v>
      </c>
      <c r="E14" s="30">
        <v>0</v>
      </c>
      <c r="F14" s="30">
        <v>0</v>
      </c>
      <c r="G14" s="31">
        <f>SUM(DC_FINANCIAL)</f>
        <v>0</v>
      </c>
      <c r="H14" s="30"/>
      <c r="I14" s="34" t="s">
        <v>24</v>
      </c>
      <c r="J14" s="35">
        <v>1055443.5100000002</v>
      </c>
      <c r="K14" s="30"/>
      <c r="L14" s="29"/>
      <c r="M14" s="30"/>
      <c r="N14" s="30"/>
      <c r="O14" s="30"/>
      <c r="P14" s="30"/>
      <c r="Q14" s="30"/>
      <c r="R14" s="30"/>
      <c r="S14" s="30"/>
      <c r="T14" s="30"/>
      <c r="U14" s="30"/>
      <c r="V14" s="31"/>
    </row>
    <row r="15" spans="1:22">
      <c r="A15" s="1" t="s">
        <v>25</v>
      </c>
      <c r="B15" s="29">
        <v>0</v>
      </c>
      <c r="C15" s="30">
        <v>0</v>
      </c>
      <c r="D15" s="30">
        <v>0</v>
      </c>
      <c r="E15" s="30">
        <v>0</v>
      </c>
      <c r="F15" s="30">
        <v>0</v>
      </c>
      <c r="G15" s="31">
        <f>SUM(FL_FINANCIAL)</f>
        <v>0</v>
      </c>
      <c r="H15" s="30"/>
      <c r="I15" s="34" t="s">
        <v>26</v>
      </c>
      <c r="J15" s="35">
        <v>1014218.7299999999</v>
      </c>
      <c r="K15" s="30"/>
      <c r="L15" s="29"/>
      <c r="M15" s="30"/>
      <c r="N15" s="30"/>
      <c r="O15" s="30"/>
      <c r="P15" s="30"/>
      <c r="Q15" s="30"/>
      <c r="R15" s="30"/>
      <c r="S15" s="30"/>
      <c r="T15" s="30"/>
      <c r="U15" s="30"/>
      <c r="V15" s="31"/>
    </row>
    <row r="16" spans="1:22">
      <c r="A16" s="1" t="s">
        <v>27</v>
      </c>
      <c r="B16" s="29">
        <v>0</v>
      </c>
      <c r="C16" s="30">
        <v>0</v>
      </c>
      <c r="D16" s="30">
        <v>1806158.4058238617</v>
      </c>
      <c r="E16" s="30">
        <v>0</v>
      </c>
      <c r="F16" s="30">
        <v>0</v>
      </c>
      <c r="G16" s="31">
        <f>SUM(GA_FINANCIAL)</f>
        <v>1806158.4058238617</v>
      </c>
      <c r="H16" s="30"/>
      <c r="I16" s="34" t="s">
        <v>28</v>
      </c>
      <c r="J16" s="35">
        <v>0</v>
      </c>
      <c r="K16" s="30"/>
      <c r="L16" s="29">
        <v>0</v>
      </c>
      <c r="M16" s="30">
        <v>0</v>
      </c>
      <c r="N16" s="30"/>
      <c r="O16" s="30">
        <v>0</v>
      </c>
      <c r="P16" s="30">
        <v>0</v>
      </c>
      <c r="Q16" s="30"/>
      <c r="R16" s="30">
        <v>1957882</v>
      </c>
      <c r="S16" s="30">
        <v>0</v>
      </c>
      <c r="T16" s="30"/>
      <c r="U16" s="30">
        <v>0</v>
      </c>
      <c r="V16" s="31">
        <v>0</v>
      </c>
    </row>
    <row r="17" spans="1:22">
      <c r="A17" s="1" t="s">
        <v>29</v>
      </c>
      <c r="B17" s="29">
        <v>0</v>
      </c>
      <c r="C17" s="30">
        <v>0</v>
      </c>
      <c r="D17" s="30">
        <v>0</v>
      </c>
      <c r="E17" s="30">
        <v>0</v>
      </c>
      <c r="F17" s="30">
        <v>0</v>
      </c>
      <c r="G17" s="31">
        <f>SUM(HI_FINANCIAL)</f>
        <v>0</v>
      </c>
      <c r="H17" s="30"/>
      <c r="I17" s="34"/>
      <c r="J17" s="35"/>
      <c r="K17" s="30"/>
      <c r="L17" s="29"/>
      <c r="M17" s="30"/>
      <c r="N17" s="30"/>
      <c r="O17" s="30"/>
      <c r="P17" s="30"/>
      <c r="Q17" s="30"/>
      <c r="R17" s="30"/>
      <c r="S17" s="30"/>
      <c r="T17" s="30"/>
      <c r="U17" s="30"/>
      <c r="V17" s="31"/>
    </row>
    <row r="18" spans="1:22">
      <c r="A18" s="1" t="s">
        <v>30</v>
      </c>
      <c r="B18" s="29">
        <v>0</v>
      </c>
      <c r="C18" s="30">
        <v>0</v>
      </c>
      <c r="D18" s="30">
        <v>2669.4141065541335</v>
      </c>
      <c r="E18" s="30">
        <v>0</v>
      </c>
      <c r="F18" s="30">
        <v>0</v>
      </c>
      <c r="G18" s="31">
        <f>SUM(ID_FINANCIAL)</f>
        <v>2669.4141065541335</v>
      </c>
      <c r="H18" s="30"/>
      <c r="I18" s="34" t="s">
        <v>31</v>
      </c>
      <c r="J18" s="35"/>
      <c r="K18" s="30"/>
      <c r="L18" s="29">
        <v>0</v>
      </c>
      <c r="M18" s="30">
        <v>0</v>
      </c>
      <c r="N18" s="30"/>
      <c r="O18" s="30">
        <v>0</v>
      </c>
      <c r="P18" s="30">
        <v>0</v>
      </c>
      <c r="Q18" s="30"/>
      <c r="R18" s="30">
        <v>13000</v>
      </c>
      <c r="S18" s="30">
        <v>0</v>
      </c>
      <c r="T18" s="30"/>
      <c r="U18" s="30">
        <v>0</v>
      </c>
      <c r="V18" s="31">
        <v>0</v>
      </c>
    </row>
    <row r="19" spans="1:22">
      <c r="A19" s="1" t="s">
        <v>32</v>
      </c>
      <c r="B19" s="29">
        <v>0</v>
      </c>
      <c r="C19" s="30">
        <v>0</v>
      </c>
      <c r="D19" s="30">
        <v>0</v>
      </c>
      <c r="E19" s="30">
        <v>0</v>
      </c>
      <c r="F19" s="30">
        <v>0</v>
      </c>
      <c r="G19" s="31">
        <f>SUM(IL_FINANCIAL)</f>
        <v>0</v>
      </c>
      <c r="H19" s="30"/>
      <c r="I19" s="34" t="s">
        <v>33</v>
      </c>
      <c r="J19" s="35">
        <v>0</v>
      </c>
      <c r="K19" s="30"/>
      <c r="L19" s="29"/>
      <c r="M19" s="30"/>
      <c r="N19" s="30"/>
      <c r="O19" s="30"/>
      <c r="P19" s="30"/>
      <c r="Q19" s="30"/>
      <c r="R19" s="30"/>
      <c r="S19" s="30"/>
      <c r="T19" s="30"/>
      <c r="U19" s="30"/>
      <c r="V19" s="31"/>
    </row>
    <row r="20" spans="1:22">
      <c r="A20" s="1" t="s">
        <v>34</v>
      </c>
      <c r="B20" s="29">
        <v>0</v>
      </c>
      <c r="C20" s="30">
        <v>0</v>
      </c>
      <c r="D20" s="30">
        <v>10050264.340958627</v>
      </c>
      <c r="E20" s="30">
        <v>0</v>
      </c>
      <c r="F20" s="30">
        <v>0</v>
      </c>
      <c r="G20" s="31">
        <f>SUM(IN_FINANCIAL)</f>
        <v>10050264.340958627</v>
      </c>
      <c r="H20" s="30"/>
      <c r="I20" s="34" t="s">
        <v>35</v>
      </c>
      <c r="J20" s="35">
        <v>51277703.869999968</v>
      </c>
      <c r="K20" s="30"/>
      <c r="L20" s="29">
        <v>0</v>
      </c>
      <c r="M20" s="30">
        <v>0</v>
      </c>
      <c r="N20" s="30"/>
      <c r="O20" s="30">
        <v>0</v>
      </c>
      <c r="P20" s="30">
        <v>0</v>
      </c>
      <c r="Q20" s="30"/>
      <c r="R20" s="30">
        <v>17500000</v>
      </c>
      <c r="S20" s="30">
        <v>0</v>
      </c>
      <c r="T20" s="30"/>
      <c r="U20" s="30">
        <v>0</v>
      </c>
      <c r="V20" s="31">
        <v>0</v>
      </c>
    </row>
    <row r="21" spans="1:22">
      <c r="A21" s="1" t="s">
        <v>36</v>
      </c>
      <c r="B21" s="29">
        <v>0</v>
      </c>
      <c r="C21" s="30">
        <v>0</v>
      </c>
      <c r="D21" s="30">
        <v>98104.054112406899</v>
      </c>
      <c r="E21" s="30">
        <v>0</v>
      </c>
      <c r="F21" s="30">
        <v>0</v>
      </c>
      <c r="G21" s="31">
        <f>SUM(IA_FINANCIAL)</f>
        <v>98104.054112406899</v>
      </c>
      <c r="H21" s="30"/>
      <c r="I21" s="34" t="s">
        <v>37</v>
      </c>
      <c r="J21" s="35"/>
      <c r="K21" s="30"/>
      <c r="L21" s="29"/>
      <c r="M21" s="30"/>
      <c r="N21" s="30"/>
      <c r="O21" s="30"/>
      <c r="P21" s="30"/>
      <c r="Q21" s="30"/>
      <c r="R21" s="30"/>
      <c r="S21" s="30"/>
      <c r="T21" s="30"/>
      <c r="U21" s="30"/>
      <c r="V21" s="31"/>
    </row>
    <row r="22" spans="1:22">
      <c r="A22" s="1" t="s">
        <v>38</v>
      </c>
      <c r="B22" s="29">
        <v>0</v>
      </c>
      <c r="C22" s="30">
        <v>0</v>
      </c>
      <c r="D22" s="30">
        <v>920445.75626106455</v>
      </c>
      <c r="E22" s="30">
        <v>0</v>
      </c>
      <c r="F22" s="30">
        <v>0</v>
      </c>
      <c r="G22" s="31">
        <f>SUM(KS_FINANCIAL)</f>
        <v>920445.75626106455</v>
      </c>
      <c r="H22" s="30"/>
      <c r="I22" s="34" t="s">
        <v>39</v>
      </c>
      <c r="J22" s="35">
        <v>0</v>
      </c>
      <c r="K22" s="30"/>
      <c r="L22" s="29">
        <v>0</v>
      </c>
      <c r="M22" s="30">
        <v>0</v>
      </c>
      <c r="N22" s="30"/>
      <c r="O22" s="30">
        <v>0</v>
      </c>
      <c r="P22" s="30">
        <v>0</v>
      </c>
      <c r="Q22" s="30"/>
      <c r="R22" s="30">
        <v>1150000</v>
      </c>
      <c r="S22" s="30">
        <v>0</v>
      </c>
      <c r="T22" s="30"/>
      <c r="U22" s="30">
        <v>0</v>
      </c>
      <c r="V22" s="31">
        <v>0</v>
      </c>
    </row>
    <row r="23" spans="1:22">
      <c r="A23" s="1" t="s">
        <v>40</v>
      </c>
      <c r="B23" s="29">
        <v>0</v>
      </c>
      <c r="C23" s="30">
        <v>0</v>
      </c>
      <c r="D23" s="30">
        <v>156159.23420185316</v>
      </c>
      <c r="E23" s="30">
        <v>0</v>
      </c>
      <c r="F23" s="30">
        <v>0</v>
      </c>
      <c r="G23" s="31">
        <f>SUM(KY_FINANCIAL)</f>
        <v>156159.23420185316</v>
      </c>
      <c r="H23" s="30"/>
      <c r="I23" s="34" t="s">
        <v>41</v>
      </c>
      <c r="J23" s="35"/>
      <c r="K23" s="30"/>
      <c r="L23" s="29"/>
      <c r="M23" s="30"/>
      <c r="N23" s="30"/>
      <c r="O23" s="30"/>
      <c r="P23" s="30"/>
      <c r="Q23" s="30"/>
      <c r="R23" s="30"/>
      <c r="S23" s="30"/>
      <c r="T23" s="30"/>
      <c r="U23" s="30"/>
      <c r="V23" s="31"/>
    </row>
    <row r="24" spans="1:22">
      <c r="A24" s="1" t="s">
        <v>42</v>
      </c>
      <c r="B24" s="29">
        <v>0</v>
      </c>
      <c r="C24" s="30">
        <v>0</v>
      </c>
      <c r="D24" s="30">
        <v>21873.233478865764</v>
      </c>
      <c r="E24" s="30">
        <v>0</v>
      </c>
      <c r="F24" s="30">
        <v>0</v>
      </c>
      <c r="G24" s="31">
        <f>SUM(LA_FINANCIAL)</f>
        <v>21873.233478865764</v>
      </c>
      <c r="H24" s="30"/>
      <c r="I24" s="34" t="s">
        <v>43</v>
      </c>
      <c r="J24" s="35">
        <v>26900838.999011036</v>
      </c>
      <c r="K24" s="30"/>
      <c r="L24" s="29"/>
      <c r="M24" s="30"/>
      <c r="N24" s="30"/>
      <c r="O24" s="30"/>
      <c r="P24" s="30"/>
      <c r="Q24" s="30"/>
      <c r="R24" s="30"/>
      <c r="S24" s="30"/>
      <c r="T24" s="30"/>
      <c r="U24" s="30"/>
      <c r="V24" s="31"/>
    </row>
    <row r="25" spans="1:22">
      <c r="A25" s="1" t="s">
        <v>44</v>
      </c>
      <c r="B25" s="29">
        <v>0</v>
      </c>
      <c r="C25" s="30">
        <v>0</v>
      </c>
      <c r="D25" s="30">
        <v>0</v>
      </c>
      <c r="E25" s="30">
        <v>0</v>
      </c>
      <c r="F25" s="30">
        <v>0</v>
      </c>
      <c r="G25" s="31">
        <f>SUM(ME_FINANCIAL)</f>
        <v>0</v>
      </c>
      <c r="H25" s="30"/>
      <c r="I25" s="34"/>
      <c r="J25" s="35"/>
      <c r="K25" s="30"/>
      <c r="L25" s="29"/>
      <c r="M25" s="30"/>
      <c r="N25" s="30"/>
      <c r="O25" s="30"/>
      <c r="P25" s="30"/>
      <c r="Q25" s="30"/>
      <c r="R25" s="30"/>
      <c r="S25" s="30"/>
      <c r="T25" s="30"/>
      <c r="U25" s="30"/>
      <c r="V25" s="31"/>
    </row>
    <row r="26" spans="1:22">
      <c r="A26" s="1" t="s">
        <v>45</v>
      </c>
      <c r="B26" s="29">
        <v>0</v>
      </c>
      <c r="C26" s="30">
        <v>0</v>
      </c>
      <c r="D26" s="30">
        <v>0</v>
      </c>
      <c r="E26" s="30">
        <v>0</v>
      </c>
      <c r="F26" s="30">
        <v>0</v>
      </c>
      <c r="G26" s="31">
        <f>SUM(MD_FINANCIAL)</f>
        <v>0</v>
      </c>
      <c r="H26" s="30"/>
      <c r="I26" s="34" t="s">
        <v>46</v>
      </c>
      <c r="J26" s="35">
        <f>SUM(ADD_FINANCIAL)-SUM(LESS_FINANCIAL)</f>
        <v>26446527.110988945</v>
      </c>
      <c r="K26" s="30"/>
      <c r="L26" s="29"/>
      <c r="M26" s="30"/>
      <c r="N26" s="30"/>
      <c r="O26" s="30"/>
      <c r="P26" s="30"/>
      <c r="Q26" s="30"/>
      <c r="R26" s="30"/>
      <c r="S26" s="30"/>
      <c r="T26" s="30"/>
      <c r="U26" s="30"/>
      <c r="V26" s="31"/>
    </row>
    <row r="27" spans="1:22">
      <c r="A27" s="1" t="s">
        <v>47</v>
      </c>
      <c r="B27" s="29">
        <v>0</v>
      </c>
      <c r="C27" s="30">
        <v>0</v>
      </c>
      <c r="D27" s="30">
        <v>0</v>
      </c>
      <c r="E27" s="30">
        <v>0</v>
      </c>
      <c r="F27" s="30">
        <v>0</v>
      </c>
      <c r="G27" s="31">
        <f>SUM(MA_FINANCIAL)</f>
        <v>0</v>
      </c>
      <c r="H27" s="30"/>
      <c r="I27" s="34" t="s">
        <v>48</v>
      </c>
      <c r="J27" s="35">
        <f>SUM(ALL_BLOCKS)</f>
        <v>26446527.110988945</v>
      </c>
      <c r="K27" s="30"/>
      <c r="L27" s="29"/>
      <c r="M27" s="30"/>
      <c r="N27" s="30"/>
      <c r="O27" s="30"/>
      <c r="P27" s="30"/>
      <c r="Q27" s="30"/>
      <c r="R27" s="30"/>
      <c r="S27" s="30"/>
      <c r="T27" s="30"/>
      <c r="U27" s="30"/>
      <c r="V27" s="31"/>
    </row>
    <row r="28" spans="1:22">
      <c r="A28" s="1" t="s">
        <v>49</v>
      </c>
      <c r="B28" s="29">
        <v>0</v>
      </c>
      <c r="C28" s="30">
        <v>0</v>
      </c>
      <c r="D28" s="30">
        <v>0</v>
      </c>
      <c r="E28" s="30">
        <v>0</v>
      </c>
      <c r="F28" s="30">
        <v>0</v>
      </c>
      <c r="G28" s="31">
        <f>SUM(MI_FINANCIAL)</f>
        <v>0</v>
      </c>
      <c r="H28" s="30"/>
      <c r="I28" s="36"/>
      <c r="J28" s="37"/>
      <c r="K28" s="30"/>
      <c r="L28" s="29"/>
      <c r="M28" s="30"/>
      <c r="N28" s="30"/>
      <c r="O28" s="30"/>
      <c r="P28" s="30"/>
      <c r="Q28" s="30"/>
      <c r="R28" s="30"/>
      <c r="S28" s="30"/>
      <c r="T28" s="30"/>
      <c r="U28" s="30"/>
      <c r="V28" s="31"/>
    </row>
    <row r="29" spans="1:22">
      <c r="A29" s="1" t="s">
        <v>50</v>
      </c>
      <c r="B29" s="29">
        <v>0</v>
      </c>
      <c r="C29" s="30">
        <v>0</v>
      </c>
      <c r="D29" s="30">
        <v>0</v>
      </c>
      <c r="E29" s="30">
        <v>0</v>
      </c>
      <c r="F29" s="30">
        <v>0</v>
      </c>
      <c r="G29" s="31">
        <f>SUM(MN_FINANCIAL)</f>
        <v>0</v>
      </c>
      <c r="H29" s="30"/>
      <c r="I29" s="30"/>
      <c r="J29" s="30"/>
      <c r="K29" s="30"/>
      <c r="L29" s="29"/>
      <c r="M29" s="30"/>
      <c r="N29" s="30"/>
      <c r="O29" s="30"/>
      <c r="P29" s="30"/>
      <c r="Q29" s="30"/>
      <c r="R29" s="30"/>
      <c r="S29" s="30"/>
      <c r="T29" s="30"/>
      <c r="U29" s="30"/>
      <c r="V29" s="31"/>
    </row>
    <row r="30" spans="1:22">
      <c r="A30" s="1" t="s">
        <v>51</v>
      </c>
      <c r="B30" s="29">
        <v>0</v>
      </c>
      <c r="C30" s="30">
        <v>0</v>
      </c>
      <c r="D30" s="30">
        <v>4693.4524319415059</v>
      </c>
      <c r="E30" s="30">
        <v>0</v>
      </c>
      <c r="F30" s="30">
        <v>0</v>
      </c>
      <c r="G30" s="31">
        <f>SUM(MS_FINANCIAL)</f>
        <v>4693.4524319415059</v>
      </c>
      <c r="H30" s="30"/>
      <c r="I30" s="30"/>
      <c r="J30" s="30"/>
      <c r="K30" s="30"/>
      <c r="L30" s="29"/>
      <c r="M30" s="30"/>
      <c r="N30" s="30"/>
      <c r="O30" s="30"/>
      <c r="P30" s="30"/>
      <c r="Q30" s="30"/>
      <c r="R30" s="30"/>
      <c r="S30" s="30"/>
      <c r="T30" s="30"/>
      <c r="U30" s="30"/>
      <c r="V30" s="31"/>
    </row>
    <row r="31" spans="1:22">
      <c r="A31" s="1" t="s">
        <v>52</v>
      </c>
      <c r="B31" s="29">
        <v>0</v>
      </c>
      <c r="C31" s="30">
        <v>0</v>
      </c>
      <c r="D31" s="30">
        <v>2746964.376741623</v>
      </c>
      <c r="E31" s="30">
        <v>0</v>
      </c>
      <c r="F31" s="30">
        <v>0</v>
      </c>
      <c r="G31" s="31">
        <f>SUM(MO_FINANCIAL)</f>
        <v>2746964.376741623</v>
      </c>
      <c r="H31" s="30"/>
      <c r="I31" s="30"/>
      <c r="J31" s="30"/>
      <c r="K31" s="30"/>
      <c r="L31" s="29"/>
      <c r="M31" s="30"/>
      <c r="N31" s="30"/>
      <c r="O31" s="30"/>
      <c r="P31" s="30"/>
      <c r="Q31" s="30"/>
      <c r="R31" s="30"/>
      <c r="S31" s="30"/>
      <c r="T31" s="30"/>
      <c r="U31" s="30"/>
      <c r="V31" s="31"/>
    </row>
    <row r="32" spans="1:22">
      <c r="A32" s="1" t="s">
        <v>53</v>
      </c>
      <c r="B32" s="29">
        <v>0</v>
      </c>
      <c r="C32" s="30">
        <v>0</v>
      </c>
      <c r="D32" s="30">
        <v>0</v>
      </c>
      <c r="E32" s="30">
        <v>0</v>
      </c>
      <c r="F32" s="30">
        <v>0</v>
      </c>
      <c r="G32" s="31">
        <f>SUM(MT_FINANCIAL)</f>
        <v>0</v>
      </c>
      <c r="H32" s="30"/>
      <c r="I32" s="30"/>
      <c r="J32" s="30"/>
      <c r="K32" s="30"/>
      <c r="L32" s="29"/>
      <c r="M32" s="30"/>
      <c r="N32" s="30"/>
      <c r="O32" s="30"/>
      <c r="P32" s="30"/>
      <c r="Q32" s="30"/>
      <c r="R32" s="30"/>
      <c r="S32" s="30"/>
      <c r="T32" s="30"/>
      <c r="U32" s="30"/>
      <c r="V32" s="31"/>
    </row>
    <row r="33" spans="1:22">
      <c r="A33" s="1" t="s">
        <v>54</v>
      </c>
      <c r="B33" s="29">
        <v>0</v>
      </c>
      <c r="C33" s="30">
        <v>0</v>
      </c>
      <c r="D33" s="30">
        <v>2426816.9843848972</v>
      </c>
      <c r="E33" s="30">
        <v>0</v>
      </c>
      <c r="F33" s="30">
        <v>0</v>
      </c>
      <c r="G33" s="31">
        <f>SUM(NE_FINANCIAL)</f>
        <v>2426816.9843848972</v>
      </c>
      <c r="H33" s="30"/>
      <c r="I33" s="30"/>
      <c r="J33" s="30"/>
      <c r="K33" s="30"/>
      <c r="L33" s="29">
        <v>0</v>
      </c>
      <c r="M33" s="30">
        <v>0</v>
      </c>
      <c r="N33" s="30"/>
      <c r="O33" s="30">
        <v>0</v>
      </c>
      <c r="P33" s="30">
        <v>0</v>
      </c>
      <c r="Q33" s="30"/>
      <c r="R33" s="30">
        <v>1000000</v>
      </c>
      <c r="S33" s="30">
        <v>0</v>
      </c>
      <c r="T33" s="30"/>
      <c r="U33" s="30">
        <v>0</v>
      </c>
      <c r="V33" s="31">
        <v>0</v>
      </c>
    </row>
    <row r="34" spans="1:22">
      <c r="A34" s="1" t="s">
        <v>55</v>
      </c>
      <c r="B34" s="29">
        <v>-3681.4821048185413</v>
      </c>
      <c r="C34" s="30">
        <v>0</v>
      </c>
      <c r="D34" s="30">
        <v>3168270.6668725437</v>
      </c>
      <c r="E34" s="30">
        <v>0</v>
      </c>
      <c r="F34" s="30">
        <v>0</v>
      </c>
      <c r="G34" s="31">
        <f>SUM(NV_FINANCIAL)</f>
        <v>3164589.1847677254</v>
      </c>
      <c r="H34" s="30"/>
      <c r="I34" s="30"/>
      <c r="J34" s="30"/>
      <c r="K34" s="30"/>
      <c r="L34" s="29">
        <v>0</v>
      </c>
      <c r="M34" s="30">
        <v>0</v>
      </c>
      <c r="N34" s="30"/>
      <c r="O34" s="30">
        <v>0</v>
      </c>
      <c r="P34" s="30">
        <v>0</v>
      </c>
      <c r="Q34" s="30"/>
      <c r="R34" s="30">
        <v>10000000</v>
      </c>
      <c r="S34" s="30">
        <v>0</v>
      </c>
      <c r="T34" s="30"/>
      <c r="U34" s="30">
        <v>0</v>
      </c>
      <c r="V34" s="31">
        <v>0</v>
      </c>
    </row>
    <row r="35" spans="1:22">
      <c r="A35" s="1" t="s">
        <v>56</v>
      </c>
      <c r="B35" s="29">
        <v>0</v>
      </c>
      <c r="C35" s="30">
        <v>0</v>
      </c>
      <c r="D35" s="30">
        <v>0</v>
      </c>
      <c r="E35" s="30">
        <v>0</v>
      </c>
      <c r="F35" s="30">
        <v>0</v>
      </c>
      <c r="G35" s="31">
        <f>SUM(NH_FINANCIAL)</f>
        <v>0</v>
      </c>
      <c r="H35" s="30"/>
      <c r="I35" s="30"/>
      <c r="J35" s="30"/>
      <c r="K35" s="30"/>
      <c r="L35" s="29"/>
      <c r="M35" s="30"/>
      <c r="N35" s="30"/>
      <c r="O35" s="30"/>
      <c r="P35" s="30"/>
      <c r="Q35" s="30"/>
      <c r="R35" s="30"/>
      <c r="S35" s="30"/>
      <c r="T35" s="30"/>
      <c r="U35" s="30"/>
      <c r="V35" s="31"/>
    </row>
    <row r="36" spans="1:22">
      <c r="A36" s="1" t="s">
        <v>57</v>
      </c>
      <c r="B36" s="29">
        <v>0</v>
      </c>
      <c r="C36" s="30">
        <v>0</v>
      </c>
      <c r="D36" s="30">
        <v>0</v>
      </c>
      <c r="E36" s="30">
        <v>0</v>
      </c>
      <c r="F36" s="30">
        <v>0</v>
      </c>
      <c r="G36" s="31">
        <f>SUM(NJ_FINANCIAL)</f>
        <v>0</v>
      </c>
      <c r="H36" s="30"/>
      <c r="I36" s="30"/>
      <c r="J36" s="30"/>
      <c r="K36" s="30"/>
      <c r="L36" s="29"/>
      <c r="M36" s="30"/>
      <c r="N36" s="30"/>
      <c r="O36" s="30"/>
      <c r="P36" s="30"/>
      <c r="Q36" s="30"/>
      <c r="R36" s="30"/>
      <c r="S36" s="30"/>
      <c r="T36" s="30"/>
      <c r="U36" s="30"/>
      <c r="V36" s="31"/>
    </row>
    <row r="37" spans="1:22">
      <c r="A37" s="1" t="s">
        <v>58</v>
      </c>
      <c r="B37" s="29">
        <v>0</v>
      </c>
      <c r="C37" s="30">
        <v>0</v>
      </c>
      <c r="D37" s="30">
        <v>-99491.771197583003</v>
      </c>
      <c r="E37" s="30">
        <v>0</v>
      </c>
      <c r="F37" s="30">
        <v>0</v>
      </c>
      <c r="G37" s="31">
        <f>SUM(NM_FINANCIAL)</f>
        <v>-99491.771197583003</v>
      </c>
      <c r="H37" s="30"/>
      <c r="I37" s="30"/>
      <c r="J37" s="30"/>
      <c r="K37" s="30"/>
      <c r="L37" s="29"/>
      <c r="M37" s="30"/>
      <c r="N37" s="30"/>
      <c r="O37" s="30"/>
      <c r="P37" s="30"/>
      <c r="Q37" s="30"/>
      <c r="R37" s="30"/>
      <c r="S37" s="30"/>
      <c r="T37" s="30"/>
      <c r="U37" s="30"/>
      <c r="V37" s="31"/>
    </row>
    <row r="38" spans="1:22">
      <c r="A38" s="1" t="s">
        <v>59</v>
      </c>
      <c r="B38" s="29">
        <v>0</v>
      </c>
      <c r="C38" s="30">
        <v>0</v>
      </c>
      <c r="D38" s="30">
        <v>0</v>
      </c>
      <c r="E38" s="30">
        <v>0</v>
      </c>
      <c r="F38" s="30">
        <v>0</v>
      </c>
      <c r="G38" s="31">
        <f>SUM(NY_FINANCIAL)</f>
        <v>0</v>
      </c>
      <c r="H38" s="30"/>
      <c r="I38" s="30"/>
      <c r="J38" s="30"/>
      <c r="K38" s="30"/>
      <c r="L38" s="29"/>
      <c r="M38" s="30"/>
      <c r="N38" s="30"/>
      <c r="O38" s="30"/>
      <c r="P38" s="30"/>
      <c r="Q38" s="30"/>
      <c r="R38" s="30"/>
      <c r="S38" s="30"/>
      <c r="T38" s="30"/>
      <c r="U38" s="30"/>
      <c r="V38" s="31"/>
    </row>
    <row r="39" spans="1:22">
      <c r="A39" s="1" t="s">
        <v>60</v>
      </c>
      <c r="B39" s="29">
        <v>0</v>
      </c>
      <c r="C39" s="30">
        <v>0</v>
      </c>
      <c r="D39" s="30">
        <v>-382266.10946468433</v>
      </c>
      <c r="E39" s="30">
        <v>0</v>
      </c>
      <c r="F39" s="30">
        <v>0</v>
      </c>
      <c r="G39" s="31">
        <f>SUM(NC_FINANCIAL)</f>
        <v>-382266.10946468433</v>
      </c>
      <c r="H39" s="30"/>
      <c r="I39" s="30"/>
      <c r="J39" s="30"/>
      <c r="K39" s="30"/>
      <c r="L39" s="29"/>
      <c r="M39" s="30"/>
      <c r="N39" s="30"/>
      <c r="O39" s="30"/>
      <c r="P39" s="30"/>
      <c r="Q39" s="30"/>
      <c r="R39" s="30"/>
      <c r="S39" s="30"/>
      <c r="T39" s="30"/>
      <c r="U39" s="30"/>
      <c r="V39" s="31"/>
    </row>
    <row r="40" spans="1:22">
      <c r="A40" s="1" t="s">
        <v>61</v>
      </c>
      <c r="B40" s="29">
        <v>0</v>
      </c>
      <c r="C40" s="30">
        <v>0</v>
      </c>
      <c r="D40" s="30">
        <v>630.38749207447177</v>
      </c>
      <c r="E40" s="30">
        <v>0</v>
      </c>
      <c r="F40" s="30">
        <v>0</v>
      </c>
      <c r="G40" s="31">
        <f>SUM(ND_FINANCIAL)</f>
        <v>630.38749207447177</v>
      </c>
      <c r="H40" s="30"/>
      <c r="I40" s="30"/>
      <c r="J40" s="30"/>
      <c r="K40" s="30"/>
      <c r="L40" s="29"/>
      <c r="M40" s="30"/>
      <c r="N40" s="30"/>
      <c r="O40" s="30"/>
      <c r="P40" s="30"/>
      <c r="Q40" s="30"/>
      <c r="R40" s="30"/>
      <c r="S40" s="30"/>
      <c r="T40" s="30"/>
      <c r="U40" s="30"/>
      <c r="V40" s="31"/>
    </row>
    <row r="41" spans="1:22">
      <c r="A41" s="1" t="s">
        <v>62</v>
      </c>
      <c r="B41" s="29">
        <v>0</v>
      </c>
      <c r="C41" s="30">
        <v>0</v>
      </c>
      <c r="D41" s="30">
        <v>1902082.6068106014</v>
      </c>
      <c r="E41" s="30">
        <v>0</v>
      </c>
      <c r="F41" s="30">
        <v>0</v>
      </c>
      <c r="G41" s="31">
        <f>SUM(OH_FINANCIAL)</f>
        <v>1902082.6068106014</v>
      </c>
      <c r="H41" s="30"/>
      <c r="I41" s="30"/>
      <c r="J41" s="30"/>
      <c r="K41" s="30"/>
      <c r="L41" s="29">
        <v>0</v>
      </c>
      <c r="M41" s="30">
        <v>0</v>
      </c>
      <c r="N41" s="30"/>
      <c r="O41" s="30">
        <v>0</v>
      </c>
      <c r="P41" s="30">
        <v>0</v>
      </c>
      <c r="Q41" s="30"/>
      <c r="R41" s="30">
        <v>1000000</v>
      </c>
      <c r="S41" s="30">
        <v>0</v>
      </c>
      <c r="T41" s="30"/>
      <c r="U41" s="30">
        <v>0</v>
      </c>
      <c r="V41" s="31">
        <v>0</v>
      </c>
    </row>
    <row r="42" spans="1:22">
      <c r="A42" s="1" t="s">
        <v>63</v>
      </c>
      <c r="B42" s="29">
        <v>0</v>
      </c>
      <c r="C42" s="30">
        <v>0</v>
      </c>
      <c r="D42" s="30">
        <v>47327.613665367971</v>
      </c>
      <c r="E42" s="30">
        <v>0</v>
      </c>
      <c r="F42" s="30">
        <v>0</v>
      </c>
      <c r="G42" s="31">
        <f>SUM(OK_FINANCIAL)</f>
        <v>47327.613665367971</v>
      </c>
      <c r="H42" s="30"/>
      <c r="I42" s="30"/>
      <c r="J42" s="30"/>
      <c r="K42" s="30"/>
      <c r="L42" s="29">
        <v>0</v>
      </c>
      <c r="M42" s="30">
        <v>0</v>
      </c>
      <c r="N42" s="30"/>
      <c r="O42" s="30">
        <v>0</v>
      </c>
      <c r="P42" s="30">
        <v>0</v>
      </c>
      <c r="Q42" s="30"/>
      <c r="R42" s="30">
        <v>150000</v>
      </c>
      <c r="S42" s="30">
        <v>0</v>
      </c>
      <c r="T42" s="30"/>
      <c r="U42" s="30">
        <v>0</v>
      </c>
      <c r="V42" s="31">
        <v>0</v>
      </c>
    </row>
    <row r="43" spans="1:22">
      <c r="A43" s="1" t="s">
        <v>64</v>
      </c>
      <c r="B43" s="29">
        <v>0</v>
      </c>
      <c r="C43" s="30">
        <v>0</v>
      </c>
      <c r="D43" s="30">
        <v>9597.7815966790513</v>
      </c>
      <c r="E43" s="30">
        <v>0</v>
      </c>
      <c r="F43" s="30">
        <v>0</v>
      </c>
      <c r="G43" s="31">
        <f>SUM(OR_FINANCIAL)</f>
        <v>9597.7815966790513</v>
      </c>
      <c r="H43" s="30"/>
      <c r="I43" s="30"/>
      <c r="J43" s="30"/>
      <c r="K43" s="30"/>
      <c r="L43" s="29"/>
      <c r="M43" s="30"/>
      <c r="N43" s="30"/>
      <c r="O43" s="30"/>
      <c r="P43" s="30"/>
      <c r="Q43" s="30"/>
      <c r="R43" s="30"/>
      <c r="S43" s="30"/>
      <c r="T43" s="30"/>
      <c r="U43" s="30"/>
      <c r="V43" s="31"/>
    </row>
    <row r="44" spans="1:22">
      <c r="A44" s="1" t="s">
        <v>65</v>
      </c>
      <c r="B44" s="29">
        <v>0</v>
      </c>
      <c r="C44" s="30">
        <v>0</v>
      </c>
      <c r="D44" s="30">
        <v>0</v>
      </c>
      <c r="E44" s="30">
        <v>0</v>
      </c>
      <c r="F44" s="30">
        <v>0</v>
      </c>
      <c r="G44" s="31">
        <f>SUM(PA_FINANCIAL)</f>
        <v>0</v>
      </c>
      <c r="H44" s="30"/>
      <c r="I44" s="30"/>
      <c r="J44" s="30"/>
      <c r="K44" s="30"/>
      <c r="L44" s="29"/>
      <c r="M44" s="30"/>
      <c r="N44" s="30"/>
      <c r="O44" s="30"/>
      <c r="P44" s="30"/>
      <c r="Q44" s="30"/>
      <c r="R44" s="30"/>
      <c r="S44" s="30"/>
      <c r="T44" s="30"/>
      <c r="U44" s="30"/>
      <c r="V44" s="31"/>
    </row>
    <row r="45" spans="1:22">
      <c r="A45" s="1" t="s">
        <v>66</v>
      </c>
      <c r="B45" s="29">
        <v>0</v>
      </c>
      <c r="C45" s="30">
        <v>0</v>
      </c>
      <c r="D45" s="30">
        <v>0</v>
      </c>
      <c r="E45" s="30">
        <v>0</v>
      </c>
      <c r="F45" s="30">
        <v>0</v>
      </c>
      <c r="G45" s="31">
        <f>SUM(PR_FINANCIAL)</f>
        <v>0</v>
      </c>
      <c r="H45" s="30"/>
      <c r="I45" s="30"/>
      <c r="J45" s="30"/>
      <c r="K45" s="30"/>
      <c r="L45" s="29"/>
      <c r="M45" s="30"/>
      <c r="N45" s="30"/>
      <c r="O45" s="30"/>
      <c r="P45" s="30"/>
      <c r="Q45" s="30"/>
      <c r="R45" s="30"/>
      <c r="S45" s="30"/>
      <c r="T45" s="30"/>
      <c r="U45" s="30"/>
      <c r="V45" s="31"/>
    </row>
    <row r="46" spans="1:22">
      <c r="A46" s="1" t="s">
        <v>67</v>
      </c>
      <c r="B46" s="29">
        <v>0</v>
      </c>
      <c r="C46" s="30">
        <v>0</v>
      </c>
      <c r="D46" s="30">
        <v>0</v>
      </c>
      <c r="E46" s="30">
        <v>0</v>
      </c>
      <c r="F46" s="30">
        <v>0</v>
      </c>
      <c r="G46" s="31">
        <f>SUM(RI_FINANCIAL)</f>
        <v>0</v>
      </c>
      <c r="H46" s="30"/>
      <c r="I46" s="30"/>
      <c r="J46" s="30"/>
      <c r="K46" s="30"/>
      <c r="L46" s="29"/>
      <c r="M46" s="30"/>
      <c r="N46" s="30"/>
      <c r="O46" s="30"/>
      <c r="P46" s="30"/>
      <c r="Q46" s="30"/>
      <c r="R46" s="30"/>
      <c r="S46" s="30"/>
      <c r="T46" s="30"/>
      <c r="U46" s="30"/>
      <c r="V46" s="31"/>
    </row>
    <row r="47" spans="1:22">
      <c r="A47" s="1" t="s">
        <v>68</v>
      </c>
      <c r="B47" s="29">
        <v>0</v>
      </c>
      <c r="C47" s="30">
        <v>0</v>
      </c>
      <c r="D47" s="30">
        <v>-109815.52342426532</v>
      </c>
      <c r="E47" s="30">
        <v>0</v>
      </c>
      <c r="F47" s="30">
        <v>0</v>
      </c>
      <c r="G47" s="31">
        <f>SUM(SC_FINANCIAL)</f>
        <v>-109815.52342426532</v>
      </c>
      <c r="H47" s="30"/>
      <c r="I47" s="30"/>
      <c r="J47" s="30"/>
      <c r="K47" s="30"/>
      <c r="L47" s="29"/>
      <c r="M47" s="30"/>
      <c r="N47" s="30"/>
      <c r="O47" s="30"/>
      <c r="P47" s="30"/>
      <c r="Q47" s="30"/>
      <c r="R47" s="30"/>
      <c r="S47" s="30"/>
      <c r="T47" s="30"/>
      <c r="U47" s="30"/>
      <c r="V47" s="31"/>
    </row>
    <row r="48" spans="1:22">
      <c r="A48" s="1" t="s">
        <v>69</v>
      </c>
      <c r="B48" s="29">
        <v>0</v>
      </c>
      <c r="C48" s="30">
        <v>0</v>
      </c>
      <c r="D48" s="30">
        <v>8142.3793319288161</v>
      </c>
      <c r="E48" s="30">
        <v>0</v>
      </c>
      <c r="F48" s="30">
        <v>0</v>
      </c>
      <c r="G48" s="31">
        <f>SUM(SD_FINANCIAL)</f>
        <v>8142.3793319288161</v>
      </c>
      <c r="H48" s="30"/>
      <c r="I48" s="30"/>
      <c r="J48" s="30"/>
      <c r="K48" s="30"/>
      <c r="L48" s="29"/>
      <c r="M48" s="30"/>
      <c r="N48" s="30"/>
      <c r="O48" s="30"/>
      <c r="P48" s="30"/>
      <c r="Q48" s="30"/>
      <c r="R48" s="30"/>
      <c r="S48" s="30"/>
      <c r="T48" s="30"/>
      <c r="U48" s="30"/>
      <c r="V48" s="31"/>
    </row>
    <row r="49" spans="1:22">
      <c r="A49" s="1" t="s">
        <v>70</v>
      </c>
      <c r="B49" s="29">
        <v>5296.7970327167195</v>
      </c>
      <c r="C49" s="30">
        <v>0</v>
      </c>
      <c r="D49" s="30">
        <v>1527922.2397184896</v>
      </c>
      <c r="E49" s="30">
        <v>0</v>
      </c>
      <c r="F49" s="30">
        <v>0</v>
      </c>
      <c r="G49" s="31">
        <f>SUM(TN_FINANCIAL)</f>
        <v>1533219.0367512063</v>
      </c>
      <c r="H49" s="30"/>
      <c r="I49" s="30"/>
      <c r="J49" s="30"/>
      <c r="K49" s="30"/>
      <c r="L49" s="29">
        <v>0</v>
      </c>
      <c r="M49" s="30">
        <v>0</v>
      </c>
      <c r="N49" s="30"/>
      <c r="O49" s="30">
        <v>0</v>
      </c>
      <c r="P49" s="30">
        <v>0</v>
      </c>
      <c r="Q49" s="30"/>
      <c r="R49" s="30">
        <v>2500000</v>
      </c>
      <c r="S49" s="30">
        <v>0</v>
      </c>
      <c r="T49" s="30"/>
      <c r="U49" s="30">
        <v>0</v>
      </c>
      <c r="V49" s="31">
        <v>0</v>
      </c>
    </row>
    <row r="50" spans="1:22">
      <c r="A50" s="1" t="s">
        <v>71</v>
      </c>
      <c r="B50" s="29">
        <v>0</v>
      </c>
      <c r="C50" s="30">
        <v>0</v>
      </c>
      <c r="D50" s="30">
        <v>163545.12661945404</v>
      </c>
      <c r="E50" s="30">
        <v>0</v>
      </c>
      <c r="F50" s="30">
        <v>0</v>
      </c>
      <c r="G50" s="31">
        <f>SUM(TX_FINANCIAL)</f>
        <v>163545.12661945404</v>
      </c>
      <c r="H50" s="30"/>
      <c r="I50" s="30"/>
      <c r="J50" s="30"/>
      <c r="K50" s="30"/>
      <c r="L50" s="29">
        <v>0</v>
      </c>
      <c r="M50" s="30">
        <v>0</v>
      </c>
      <c r="N50" s="30"/>
      <c r="O50" s="30">
        <v>0</v>
      </c>
      <c r="P50" s="30">
        <v>0</v>
      </c>
      <c r="Q50" s="30"/>
      <c r="R50" s="30">
        <v>129979</v>
      </c>
      <c r="S50" s="30">
        <v>0</v>
      </c>
      <c r="T50" s="30"/>
      <c r="U50" s="30">
        <v>0</v>
      </c>
      <c r="V50" s="31">
        <v>0</v>
      </c>
    </row>
    <row r="51" spans="1:22">
      <c r="A51" s="1" t="s">
        <v>72</v>
      </c>
      <c r="B51" s="29">
        <v>0</v>
      </c>
      <c r="C51" s="30">
        <v>0</v>
      </c>
      <c r="D51" s="30">
        <v>55100.184371872419</v>
      </c>
      <c r="E51" s="30">
        <v>0</v>
      </c>
      <c r="F51" s="30">
        <v>0</v>
      </c>
      <c r="G51" s="31">
        <f>SUM(UT_FINANCIAL)</f>
        <v>55100.184371872419</v>
      </c>
      <c r="H51" s="30"/>
      <c r="I51" s="30"/>
      <c r="J51" s="30"/>
      <c r="K51" s="30"/>
      <c r="L51" s="29"/>
      <c r="M51" s="30"/>
      <c r="N51" s="30"/>
      <c r="O51" s="30"/>
      <c r="P51" s="30"/>
      <c r="Q51" s="30"/>
      <c r="R51" s="30"/>
      <c r="S51" s="30"/>
      <c r="T51" s="30"/>
      <c r="U51" s="30"/>
      <c r="V51" s="31"/>
    </row>
    <row r="52" spans="1:22">
      <c r="A52" s="1" t="s">
        <v>73</v>
      </c>
      <c r="B52" s="29">
        <v>0</v>
      </c>
      <c r="C52" s="30">
        <v>0</v>
      </c>
      <c r="D52" s="30">
        <v>0</v>
      </c>
      <c r="E52" s="30">
        <v>0</v>
      </c>
      <c r="F52" s="30">
        <v>0</v>
      </c>
      <c r="G52" s="31">
        <f>SUM(VT_FINANCIAL)</f>
        <v>0</v>
      </c>
      <c r="H52" s="30"/>
      <c r="I52" s="30"/>
      <c r="J52" s="30"/>
      <c r="K52" s="30"/>
      <c r="L52" s="29"/>
      <c r="M52" s="30"/>
      <c r="N52" s="30"/>
      <c r="O52" s="30"/>
      <c r="P52" s="30"/>
      <c r="Q52" s="30"/>
      <c r="R52" s="30"/>
      <c r="S52" s="30"/>
      <c r="T52" s="30"/>
      <c r="U52" s="30"/>
      <c r="V52" s="31"/>
    </row>
    <row r="53" spans="1:22">
      <c r="A53" s="1" t="s">
        <v>74</v>
      </c>
      <c r="B53" s="29">
        <v>0</v>
      </c>
      <c r="C53" s="30">
        <v>0</v>
      </c>
      <c r="D53" s="30">
        <v>0</v>
      </c>
      <c r="E53" s="30">
        <v>0</v>
      </c>
      <c r="F53" s="30">
        <v>0</v>
      </c>
      <c r="G53" s="31">
        <f>SUM(VA_FINANCIAL)</f>
        <v>0</v>
      </c>
      <c r="H53" s="30"/>
      <c r="I53" s="30"/>
      <c r="J53" s="30"/>
      <c r="K53" s="30"/>
      <c r="L53" s="29"/>
      <c r="M53" s="30"/>
      <c r="N53" s="30"/>
      <c r="O53" s="30"/>
      <c r="P53" s="30"/>
      <c r="Q53" s="30"/>
      <c r="R53" s="30"/>
      <c r="S53" s="30"/>
      <c r="T53" s="30"/>
      <c r="U53" s="30"/>
      <c r="V53" s="31"/>
    </row>
    <row r="54" spans="1:22">
      <c r="A54" s="1" t="s">
        <v>75</v>
      </c>
      <c r="B54" s="29">
        <v>0</v>
      </c>
      <c r="C54" s="30">
        <v>0</v>
      </c>
      <c r="D54" s="30">
        <v>0</v>
      </c>
      <c r="E54" s="30">
        <v>0</v>
      </c>
      <c r="F54" s="30">
        <v>0</v>
      </c>
      <c r="G54" s="31">
        <f>SUM(WA_FINANCIAL)</f>
        <v>0</v>
      </c>
      <c r="H54" s="30"/>
      <c r="I54" s="30"/>
      <c r="J54" s="30"/>
      <c r="K54" s="30"/>
      <c r="L54" s="29"/>
      <c r="M54" s="30"/>
      <c r="N54" s="30"/>
      <c r="O54" s="30"/>
      <c r="P54" s="30"/>
      <c r="Q54" s="30"/>
      <c r="R54" s="30"/>
      <c r="S54" s="30"/>
      <c r="T54" s="30"/>
      <c r="U54" s="30"/>
      <c r="V54" s="31"/>
    </row>
    <row r="55" spans="1:22">
      <c r="A55" s="1" t="s">
        <v>76</v>
      </c>
      <c r="B55" s="29">
        <v>0</v>
      </c>
      <c r="C55" s="30">
        <v>0</v>
      </c>
      <c r="D55" s="30">
        <v>0</v>
      </c>
      <c r="E55" s="30">
        <v>0</v>
      </c>
      <c r="F55" s="30">
        <v>0</v>
      </c>
      <c r="G55" s="31">
        <f>SUM(WV_FINANCIAL)</f>
        <v>0</v>
      </c>
      <c r="H55" s="30"/>
      <c r="I55" s="30"/>
      <c r="J55" s="30"/>
      <c r="K55" s="30"/>
      <c r="L55" s="29"/>
      <c r="M55" s="30"/>
      <c r="N55" s="30"/>
      <c r="O55" s="30"/>
      <c r="P55" s="30"/>
      <c r="Q55" s="30"/>
      <c r="R55" s="30"/>
      <c r="S55" s="30"/>
      <c r="T55" s="30"/>
      <c r="U55" s="30"/>
      <c r="V55" s="31"/>
    </row>
    <row r="56" spans="1:22">
      <c r="A56" s="1" t="s">
        <v>77</v>
      </c>
      <c r="B56" s="29">
        <v>0</v>
      </c>
      <c r="C56" s="30">
        <v>0</v>
      </c>
      <c r="D56" s="30">
        <v>0</v>
      </c>
      <c r="E56" s="30">
        <v>0</v>
      </c>
      <c r="F56" s="30">
        <v>0</v>
      </c>
      <c r="G56" s="31">
        <f>SUM(WI_FINANCIAL)</f>
        <v>0</v>
      </c>
      <c r="H56" s="30"/>
      <c r="I56" s="30"/>
      <c r="J56" s="30"/>
      <c r="K56" s="30"/>
      <c r="L56" s="29"/>
      <c r="M56" s="30"/>
      <c r="N56" s="30"/>
      <c r="O56" s="30"/>
      <c r="P56" s="30"/>
      <c r="Q56" s="30"/>
      <c r="R56" s="30"/>
      <c r="S56" s="30"/>
      <c r="T56" s="30"/>
      <c r="U56" s="30"/>
      <c r="V56" s="31"/>
    </row>
    <row r="57" spans="1:22">
      <c r="A57" s="1" t="s">
        <v>78</v>
      </c>
      <c r="B57" s="29">
        <v>0</v>
      </c>
      <c r="C57" s="30">
        <v>0</v>
      </c>
      <c r="D57" s="30">
        <v>57487.538159267264</v>
      </c>
      <c r="E57" s="30">
        <v>0</v>
      </c>
      <c r="F57" s="30">
        <v>0</v>
      </c>
      <c r="G57" s="31">
        <f>SUM(WY_FINANCIAL)</f>
        <v>57487.538159267264</v>
      </c>
      <c r="H57" s="30"/>
      <c r="I57" s="30"/>
      <c r="J57" s="30"/>
      <c r="K57" s="30"/>
      <c r="L57" s="29"/>
      <c r="M57" s="30"/>
      <c r="N57" s="30"/>
      <c r="O57" s="30"/>
      <c r="P57" s="30"/>
      <c r="Q57" s="30"/>
      <c r="R57" s="30"/>
      <c r="S57" s="30"/>
      <c r="T57" s="30"/>
      <c r="U57" s="30"/>
      <c r="V57" s="31"/>
    </row>
    <row r="58" spans="1:22">
      <c r="A58" s="1" t="s">
        <v>79</v>
      </c>
      <c r="B58" s="29">
        <v>0</v>
      </c>
      <c r="C58" s="30">
        <v>0</v>
      </c>
      <c r="D58" s="30">
        <v>0</v>
      </c>
      <c r="E58" s="30">
        <v>0</v>
      </c>
      <c r="F58" s="30">
        <v>0</v>
      </c>
      <c r="G58" s="31">
        <f>SUM(OT_FINANCIAL)</f>
        <v>0</v>
      </c>
      <c r="H58" s="30"/>
      <c r="I58" s="30"/>
      <c r="J58" s="30"/>
      <c r="K58" s="30"/>
      <c r="L58" s="29"/>
      <c r="M58" s="30"/>
      <c r="N58" s="30"/>
      <c r="O58" s="30"/>
      <c r="P58" s="30"/>
      <c r="Q58" s="30"/>
      <c r="R58" s="30"/>
      <c r="S58" s="30"/>
      <c r="T58" s="30"/>
      <c r="U58" s="30"/>
      <c r="V58" s="31"/>
    </row>
    <row r="59" spans="1:22">
      <c r="B59" s="29"/>
      <c r="C59" s="30"/>
      <c r="D59" s="30"/>
      <c r="E59" s="30"/>
      <c r="F59" s="30"/>
      <c r="G59" s="31"/>
      <c r="H59" s="30"/>
      <c r="I59" s="30"/>
      <c r="J59" s="30"/>
      <c r="K59" s="30"/>
      <c r="L59" s="29"/>
      <c r="M59" s="30"/>
      <c r="N59" s="30"/>
      <c r="O59" s="30"/>
      <c r="P59" s="30"/>
      <c r="Q59" s="30"/>
      <c r="R59" s="30"/>
      <c r="S59" s="30"/>
      <c r="T59" s="30"/>
      <c r="U59" s="30"/>
      <c r="V59" s="31"/>
    </row>
    <row r="60" spans="1:22">
      <c r="A60" s="1" t="s">
        <v>8</v>
      </c>
      <c r="B60" s="29">
        <f>SUM(LIFE)</f>
        <v>12197.586092318532</v>
      </c>
      <c r="C60" s="30">
        <f>SUM(ALLOCATED)</f>
        <v>0</v>
      </c>
      <c r="D60" s="30">
        <f>SUM(HEALTH)</f>
        <v>26434329.524896625</v>
      </c>
      <c r="E60" s="30">
        <f>SUM(UNALLOCATED)</f>
        <v>0</v>
      </c>
      <c r="F60" s="30">
        <f>SUM(LTC)</f>
        <v>0</v>
      </c>
      <c r="G60" s="31">
        <f>SUM(ALL_BLOCKS)</f>
        <v>26446527.110988945</v>
      </c>
      <c r="H60" s="30"/>
      <c r="I60" s="30"/>
      <c r="J60" s="30"/>
      <c r="K60" s="30"/>
      <c r="L60" s="29">
        <f>SUM(LIFE_CALLED)</f>
        <v>0</v>
      </c>
      <c r="M60" s="30">
        <f>SUM(LIFE_REFUNDED)</f>
        <v>0</v>
      </c>
      <c r="N60" s="30"/>
      <c r="O60" s="30">
        <f>SUM(ALLOC_CALLED)</f>
        <v>0</v>
      </c>
      <c r="P60" s="30">
        <f>SUM(ALLOC_REFUNDED)</f>
        <v>0</v>
      </c>
      <c r="Q60" s="30"/>
      <c r="R60" s="30">
        <f>SUM(HEALTH_CALLED)</f>
        <v>38791852</v>
      </c>
      <c r="S60" s="30">
        <f>SUM(HEALTH_REFUNDED)</f>
        <v>0</v>
      </c>
      <c r="T60" s="30"/>
      <c r="U60" s="30">
        <f>SUM(UNALLOC_CALLED)</f>
        <v>0</v>
      </c>
      <c r="V60" s="31">
        <f>SUM(UNALLOC_REFUNDED)</f>
        <v>0</v>
      </c>
    </row>
    <row r="61" spans="1:22" ht="5.0999999999999996" customHeight="1">
      <c r="B61" s="8"/>
      <c r="G61" s="11"/>
      <c r="L61" s="8"/>
      <c r="V61" s="11"/>
    </row>
    <row r="62" spans="1:22">
      <c r="B62" s="8"/>
      <c r="G62" s="11"/>
      <c r="L62" s="122" t="s">
        <v>80</v>
      </c>
      <c r="M62" s="123"/>
      <c r="N62" s="123"/>
      <c r="O62" s="123"/>
      <c r="P62" s="123"/>
      <c r="Q62" s="123"/>
      <c r="R62" s="123"/>
      <c r="S62" s="123"/>
      <c r="T62" s="123"/>
      <c r="U62" s="123"/>
      <c r="V62" s="124"/>
    </row>
    <row r="63" spans="1:22">
      <c r="B63" s="8"/>
      <c r="G63" s="11"/>
      <c r="L63" s="125"/>
      <c r="M63" s="123"/>
      <c r="N63" s="123"/>
      <c r="O63" s="123"/>
      <c r="P63" s="123"/>
      <c r="Q63" s="123"/>
      <c r="R63" s="123"/>
      <c r="S63" s="123"/>
      <c r="T63" s="123"/>
      <c r="U63" s="123"/>
      <c r="V63" s="124"/>
    </row>
    <row r="64" spans="1:22">
      <c r="B64" s="10"/>
      <c r="C64" s="7"/>
      <c r="D64" s="7"/>
      <c r="E64" s="7"/>
      <c r="F64" s="7"/>
      <c r="G64" s="13"/>
      <c r="L64" s="126"/>
      <c r="M64" s="127"/>
      <c r="N64" s="127"/>
      <c r="O64" s="127"/>
      <c r="P64" s="127"/>
      <c r="Q64" s="127"/>
      <c r="R64" s="127"/>
      <c r="S64" s="127"/>
      <c r="T64" s="127"/>
      <c r="U64" s="127"/>
      <c r="V64" s="128"/>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V64"/>
  <sheetViews>
    <sheetView zoomScale="75" workbookViewId="0">
      <selection sqref="A1:XFD1048576"/>
    </sheetView>
  </sheetViews>
  <sheetFormatPr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129" t="s">
        <v>93</v>
      </c>
      <c r="B1" s="123"/>
      <c r="C1" s="123"/>
      <c r="D1" s="123"/>
      <c r="E1" s="123"/>
      <c r="F1" s="123"/>
      <c r="G1" s="123"/>
    </row>
    <row r="3" spans="1:22">
      <c r="B3" s="130" t="s">
        <v>1</v>
      </c>
      <c r="C3" s="131"/>
      <c r="D3" s="131"/>
      <c r="E3" s="131"/>
      <c r="F3" s="131"/>
      <c r="G3" s="132"/>
      <c r="L3" s="133" t="s">
        <v>2</v>
      </c>
      <c r="M3" s="134"/>
      <c r="N3" s="134"/>
      <c r="O3" s="134"/>
      <c r="P3" s="134"/>
      <c r="Q3" s="134"/>
      <c r="R3" s="134"/>
      <c r="S3" s="134"/>
      <c r="T3" s="134"/>
      <c r="U3" s="134"/>
      <c r="V3" s="135"/>
    </row>
    <row r="4" spans="1:22">
      <c r="B4" s="8"/>
      <c r="G4" s="11"/>
      <c r="L4" s="136" t="s">
        <v>3</v>
      </c>
      <c r="M4" s="137"/>
      <c r="N4" s="4"/>
      <c r="O4" s="138" t="s">
        <v>4</v>
      </c>
      <c r="P4" s="137"/>
      <c r="Q4" s="4"/>
      <c r="R4" s="138" t="s">
        <v>5</v>
      </c>
      <c r="S4" s="137"/>
      <c r="T4" s="4"/>
      <c r="U4" s="138" t="s">
        <v>6</v>
      </c>
      <c r="V4" s="139"/>
    </row>
    <row r="5" spans="1:22" ht="60" customHeight="1">
      <c r="B5" s="9" t="s">
        <v>3</v>
      </c>
      <c r="C5" s="5" t="s">
        <v>4</v>
      </c>
      <c r="D5" s="5" t="s">
        <v>5</v>
      </c>
      <c r="E5" s="5" t="s">
        <v>6</v>
      </c>
      <c r="F5" s="5" t="s">
        <v>7</v>
      </c>
      <c r="G5" s="12" t="s">
        <v>8</v>
      </c>
      <c r="L5" s="15" t="s">
        <v>9</v>
      </c>
      <c r="M5" s="14" t="s">
        <v>10</v>
      </c>
      <c r="N5" s="14"/>
      <c r="O5" s="14" t="s">
        <v>9</v>
      </c>
      <c r="P5" s="14" t="s">
        <v>10</v>
      </c>
      <c r="Q5" s="14"/>
      <c r="R5" s="14" t="s">
        <v>9</v>
      </c>
      <c r="S5" s="14" t="s">
        <v>10</v>
      </c>
      <c r="T5" s="14"/>
      <c r="U5" s="14" t="s">
        <v>9</v>
      </c>
      <c r="V5" s="16" t="s">
        <v>10</v>
      </c>
    </row>
    <row r="6" spans="1:22">
      <c r="A6" s="1" t="s">
        <v>11</v>
      </c>
      <c r="B6" s="29">
        <v>23817453.208884019</v>
      </c>
      <c r="C6" s="30">
        <v>0</v>
      </c>
      <c r="D6" s="30">
        <v>43934.019999998651</v>
      </c>
      <c r="E6" s="30">
        <v>0</v>
      </c>
      <c r="F6" s="30">
        <v>0</v>
      </c>
      <c r="G6" s="31">
        <f>SUM(AL_FINANCIAL)</f>
        <v>23861387.228884019</v>
      </c>
      <c r="H6" s="30"/>
      <c r="I6" s="30"/>
      <c r="J6" s="30"/>
      <c r="K6" s="30"/>
      <c r="L6" s="29"/>
      <c r="M6" s="30"/>
      <c r="N6" s="30"/>
      <c r="O6" s="30"/>
      <c r="P6" s="30"/>
      <c r="Q6" s="30"/>
      <c r="R6" s="30"/>
      <c r="S6" s="30"/>
      <c r="T6" s="30"/>
      <c r="U6" s="30"/>
      <c r="V6" s="31"/>
    </row>
    <row r="7" spans="1:22">
      <c r="A7" s="1" t="s">
        <v>12</v>
      </c>
      <c r="B7" s="29">
        <v>0</v>
      </c>
      <c r="C7" s="30">
        <v>0</v>
      </c>
      <c r="D7" s="30">
        <v>0</v>
      </c>
      <c r="E7" s="30">
        <v>0</v>
      </c>
      <c r="F7" s="30">
        <v>0</v>
      </c>
      <c r="G7" s="31">
        <f>SUM(AK_FINANCIAL)</f>
        <v>0</v>
      </c>
      <c r="H7" s="30"/>
      <c r="I7" s="32"/>
      <c r="J7" s="33"/>
      <c r="K7" s="30"/>
      <c r="L7" s="29"/>
      <c r="M7" s="30"/>
      <c r="N7" s="30"/>
      <c r="O7" s="30"/>
      <c r="P7" s="30"/>
      <c r="Q7" s="30"/>
      <c r="R7" s="30"/>
      <c r="S7" s="30"/>
      <c r="T7" s="30"/>
      <c r="U7" s="30"/>
      <c r="V7" s="31"/>
    </row>
    <row r="8" spans="1:22">
      <c r="A8" s="1" t="s">
        <v>13</v>
      </c>
      <c r="B8" s="29">
        <v>0</v>
      </c>
      <c r="C8" s="30">
        <v>0</v>
      </c>
      <c r="D8" s="30">
        <v>0</v>
      </c>
      <c r="E8" s="30">
        <v>0</v>
      </c>
      <c r="F8" s="30">
        <v>0</v>
      </c>
      <c r="G8" s="31">
        <f>SUM(AZ_FINANCIAL)</f>
        <v>0</v>
      </c>
      <c r="H8" s="30"/>
      <c r="I8" s="34" t="s">
        <v>14</v>
      </c>
      <c r="J8" s="35"/>
      <c r="K8" s="30"/>
      <c r="L8" s="29"/>
      <c r="M8" s="30"/>
      <c r="N8" s="30"/>
      <c r="O8" s="30"/>
      <c r="P8" s="30"/>
      <c r="Q8" s="30"/>
      <c r="R8" s="30"/>
      <c r="S8" s="30"/>
      <c r="T8" s="30"/>
      <c r="U8" s="30"/>
      <c r="V8" s="31"/>
    </row>
    <row r="9" spans="1:22">
      <c r="A9" s="1" t="s">
        <v>15</v>
      </c>
      <c r="B9" s="29">
        <v>0</v>
      </c>
      <c r="C9" s="30">
        <v>0</v>
      </c>
      <c r="D9" s="30">
        <v>0</v>
      </c>
      <c r="E9" s="30">
        <v>0</v>
      </c>
      <c r="F9" s="30">
        <v>0</v>
      </c>
      <c r="G9" s="31">
        <f>SUM(AR_FINANCIAL)</f>
        <v>0</v>
      </c>
      <c r="H9" s="30"/>
      <c r="I9" s="34"/>
      <c r="J9" s="35"/>
      <c r="K9" s="30"/>
      <c r="L9" s="29"/>
      <c r="M9" s="30"/>
      <c r="N9" s="30"/>
      <c r="O9" s="30"/>
      <c r="P9" s="30"/>
      <c r="Q9" s="30"/>
      <c r="R9" s="30"/>
      <c r="S9" s="30"/>
      <c r="T9" s="30"/>
      <c r="U9" s="30"/>
      <c r="V9" s="31"/>
    </row>
    <row r="10" spans="1:22">
      <c r="A10" s="1" t="s">
        <v>16</v>
      </c>
      <c r="B10" s="29">
        <v>0</v>
      </c>
      <c r="C10" s="30">
        <v>0</v>
      </c>
      <c r="D10" s="30">
        <v>0</v>
      </c>
      <c r="E10" s="30">
        <v>0</v>
      </c>
      <c r="F10" s="30">
        <v>0</v>
      </c>
      <c r="G10" s="31">
        <f>SUM(CA_FINANCIAL)</f>
        <v>0</v>
      </c>
      <c r="H10" s="30"/>
      <c r="I10" s="34" t="s">
        <v>17</v>
      </c>
      <c r="J10" s="35">
        <v>29866370.890000001</v>
      </c>
      <c r="K10" s="30"/>
      <c r="L10" s="29"/>
      <c r="M10" s="30"/>
      <c r="N10" s="30"/>
      <c r="O10" s="30"/>
      <c r="P10" s="30"/>
      <c r="Q10" s="30"/>
      <c r="R10" s="30"/>
      <c r="S10" s="30"/>
      <c r="T10" s="30"/>
      <c r="U10" s="30"/>
      <c r="V10" s="31"/>
    </row>
    <row r="11" spans="1:22">
      <c r="A11" s="1" t="s">
        <v>18</v>
      </c>
      <c r="B11" s="29">
        <v>0</v>
      </c>
      <c r="C11" s="30">
        <v>0</v>
      </c>
      <c r="D11" s="30">
        <v>0</v>
      </c>
      <c r="E11" s="30">
        <v>0</v>
      </c>
      <c r="F11" s="30">
        <v>0</v>
      </c>
      <c r="G11" s="31">
        <f>SUM(CO_FINANCIAL)</f>
        <v>0</v>
      </c>
      <c r="H11" s="30"/>
      <c r="I11" s="34"/>
      <c r="J11" s="35"/>
      <c r="K11" s="30"/>
      <c r="L11" s="29"/>
      <c r="M11" s="30"/>
      <c r="N11" s="30"/>
      <c r="O11" s="30"/>
      <c r="P11" s="30"/>
      <c r="Q11" s="30"/>
      <c r="R11" s="30"/>
      <c r="S11" s="30"/>
      <c r="T11" s="30"/>
      <c r="U11" s="30"/>
      <c r="V11" s="31"/>
    </row>
    <row r="12" spans="1:22">
      <c r="A12" s="1" t="s">
        <v>19</v>
      </c>
      <c r="B12" s="29">
        <v>0</v>
      </c>
      <c r="C12" s="30">
        <v>0</v>
      </c>
      <c r="D12" s="30">
        <v>0</v>
      </c>
      <c r="E12" s="30">
        <v>0</v>
      </c>
      <c r="F12" s="30">
        <v>0</v>
      </c>
      <c r="G12" s="31">
        <f>SUM(CT_FINANCIAL)</f>
        <v>0</v>
      </c>
      <c r="H12" s="30"/>
      <c r="I12" s="34" t="s">
        <v>20</v>
      </c>
      <c r="J12" s="35"/>
      <c r="K12" s="30"/>
      <c r="L12" s="29"/>
      <c r="M12" s="30"/>
      <c r="N12" s="30"/>
      <c r="O12" s="30"/>
      <c r="P12" s="30"/>
      <c r="Q12" s="30"/>
      <c r="R12" s="30"/>
      <c r="S12" s="30"/>
      <c r="T12" s="30"/>
      <c r="U12" s="30"/>
      <c r="V12" s="31"/>
    </row>
    <row r="13" spans="1:22">
      <c r="A13" s="1" t="s">
        <v>21</v>
      </c>
      <c r="B13" s="29">
        <v>0</v>
      </c>
      <c r="C13" s="30">
        <v>0</v>
      </c>
      <c r="D13" s="30">
        <v>0</v>
      </c>
      <c r="E13" s="30">
        <v>0</v>
      </c>
      <c r="F13" s="30">
        <v>0</v>
      </c>
      <c r="G13" s="31">
        <f>SUM(DE_FINANCIAL)</f>
        <v>0</v>
      </c>
      <c r="H13" s="30"/>
      <c r="I13" s="34" t="s">
        <v>22</v>
      </c>
      <c r="J13" s="35">
        <v>7626516.8899999987</v>
      </c>
      <c r="K13" s="30"/>
      <c r="L13" s="29"/>
      <c r="M13" s="30"/>
      <c r="N13" s="30"/>
      <c r="O13" s="30"/>
      <c r="P13" s="30"/>
      <c r="Q13" s="30"/>
      <c r="R13" s="30"/>
      <c r="S13" s="30"/>
      <c r="T13" s="30"/>
      <c r="U13" s="30"/>
      <c r="V13" s="31"/>
    </row>
    <row r="14" spans="1:22">
      <c r="A14" s="1" t="s">
        <v>23</v>
      </c>
      <c r="B14" s="29">
        <v>0</v>
      </c>
      <c r="C14" s="30">
        <v>0</v>
      </c>
      <c r="D14" s="30">
        <v>0</v>
      </c>
      <c r="E14" s="30">
        <v>0</v>
      </c>
      <c r="F14" s="30">
        <v>0</v>
      </c>
      <c r="G14" s="31">
        <f>SUM(DC_FINANCIAL)</f>
        <v>0</v>
      </c>
      <c r="H14" s="30"/>
      <c r="I14" s="34" t="s">
        <v>24</v>
      </c>
      <c r="J14" s="35">
        <v>0</v>
      </c>
      <c r="K14" s="30"/>
      <c r="L14" s="29"/>
      <c r="M14" s="30"/>
      <c r="N14" s="30"/>
      <c r="O14" s="30"/>
      <c r="P14" s="30"/>
      <c r="Q14" s="30"/>
      <c r="R14" s="30"/>
      <c r="S14" s="30"/>
      <c r="T14" s="30"/>
      <c r="U14" s="30"/>
      <c r="V14" s="31"/>
    </row>
    <row r="15" spans="1:22">
      <c r="A15" s="1" t="s">
        <v>25</v>
      </c>
      <c r="B15" s="29">
        <v>0</v>
      </c>
      <c r="C15" s="30">
        <v>0</v>
      </c>
      <c r="D15" s="30">
        <v>0</v>
      </c>
      <c r="E15" s="30">
        <v>0</v>
      </c>
      <c r="F15" s="30">
        <v>0</v>
      </c>
      <c r="G15" s="31">
        <f>SUM(FL_FINANCIAL)</f>
        <v>0</v>
      </c>
      <c r="H15" s="30"/>
      <c r="I15" s="34" t="s">
        <v>26</v>
      </c>
      <c r="J15" s="35">
        <v>4075960.1942132283</v>
      </c>
      <c r="K15" s="30"/>
      <c r="L15" s="29"/>
      <c r="M15" s="30"/>
      <c r="N15" s="30"/>
      <c r="O15" s="30"/>
      <c r="P15" s="30"/>
      <c r="Q15" s="30"/>
      <c r="R15" s="30"/>
      <c r="S15" s="30"/>
      <c r="T15" s="30"/>
      <c r="U15" s="30"/>
      <c r="V15" s="31"/>
    </row>
    <row r="16" spans="1:22">
      <c r="A16" s="1" t="s">
        <v>27</v>
      </c>
      <c r="B16" s="29">
        <v>0</v>
      </c>
      <c r="C16" s="30">
        <v>0</v>
      </c>
      <c r="D16" s="30">
        <v>0</v>
      </c>
      <c r="E16" s="30">
        <v>0</v>
      </c>
      <c r="F16" s="30">
        <v>0</v>
      </c>
      <c r="G16" s="31">
        <f>SUM(GA_FINANCIAL)</f>
        <v>0</v>
      </c>
      <c r="H16" s="30"/>
      <c r="I16" s="34" t="s">
        <v>28</v>
      </c>
      <c r="J16" s="35">
        <v>22239854</v>
      </c>
      <c r="K16" s="30"/>
      <c r="L16" s="29"/>
      <c r="M16" s="30"/>
      <c r="N16" s="30"/>
      <c r="O16" s="30"/>
      <c r="P16" s="30"/>
      <c r="Q16" s="30"/>
      <c r="R16" s="30"/>
      <c r="S16" s="30"/>
      <c r="T16" s="30"/>
      <c r="U16" s="30"/>
      <c r="V16" s="31"/>
    </row>
    <row r="17" spans="1:22">
      <c r="A17" s="1" t="s">
        <v>29</v>
      </c>
      <c r="B17" s="29">
        <v>0</v>
      </c>
      <c r="C17" s="30">
        <v>0</v>
      </c>
      <c r="D17" s="30">
        <v>0</v>
      </c>
      <c r="E17" s="30">
        <v>0</v>
      </c>
      <c r="F17" s="30">
        <v>0</v>
      </c>
      <c r="G17" s="31">
        <f>SUM(HI_FINANCIAL)</f>
        <v>0</v>
      </c>
      <c r="H17" s="30"/>
      <c r="I17" s="34"/>
      <c r="J17" s="35"/>
      <c r="K17" s="30"/>
      <c r="L17" s="29"/>
      <c r="M17" s="30"/>
      <c r="N17" s="30"/>
      <c r="O17" s="30"/>
      <c r="P17" s="30"/>
      <c r="Q17" s="30"/>
      <c r="R17" s="30"/>
      <c r="S17" s="30"/>
      <c r="T17" s="30"/>
      <c r="U17" s="30"/>
      <c r="V17" s="31"/>
    </row>
    <row r="18" spans="1:22">
      <c r="A18" s="1" t="s">
        <v>30</v>
      </c>
      <c r="B18" s="29">
        <v>0</v>
      </c>
      <c r="C18" s="30">
        <v>0</v>
      </c>
      <c r="D18" s="30">
        <v>0</v>
      </c>
      <c r="E18" s="30">
        <v>0</v>
      </c>
      <c r="F18" s="30">
        <v>0</v>
      </c>
      <c r="G18" s="31">
        <f>SUM(ID_FINANCIAL)</f>
        <v>0</v>
      </c>
      <c r="H18" s="30"/>
      <c r="I18" s="34" t="s">
        <v>31</v>
      </c>
      <c r="J18" s="35"/>
      <c r="K18" s="30"/>
      <c r="L18" s="29"/>
      <c r="M18" s="30"/>
      <c r="N18" s="30"/>
      <c r="O18" s="30"/>
      <c r="P18" s="30"/>
      <c r="Q18" s="30"/>
      <c r="R18" s="30"/>
      <c r="S18" s="30"/>
      <c r="T18" s="30"/>
      <c r="U18" s="30"/>
      <c r="V18" s="31"/>
    </row>
    <row r="19" spans="1:22">
      <c r="A19" s="1" t="s">
        <v>32</v>
      </c>
      <c r="B19" s="29">
        <v>0</v>
      </c>
      <c r="C19" s="30">
        <v>0</v>
      </c>
      <c r="D19" s="30">
        <v>0</v>
      </c>
      <c r="E19" s="30">
        <v>0</v>
      </c>
      <c r="F19" s="30">
        <v>0</v>
      </c>
      <c r="G19" s="31">
        <f>SUM(IL_FINANCIAL)</f>
        <v>0</v>
      </c>
      <c r="H19" s="30"/>
      <c r="I19" s="34" t="s">
        <v>33</v>
      </c>
      <c r="J19" s="35">
        <v>0</v>
      </c>
      <c r="K19" s="30"/>
      <c r="L19" s="29"/>
      <c r="M19" s="30"/>
      <c r="N19" s="30"/>
      <c r="O19" s="30"/>
      <c r="P19" s="30"/>
      <c r="Q19" s="30"/>
      <c r="R19" s="30"/>
      <c r="S19" s="30"/>
      <c r="T19" s="30"/>
      <c r="U19" s="30"/>
      <c r="V19" s="31"/>
    </row>
    <row r="20" spans="1:22">
      <c r="A20" s="1" t="s">
        <v>34</v>
      </c>
      <c r="B20" s="29">
        <v>0</v>
      </c>
      <c r="C20" s="30">
        <v>0</v>
      </c>
      <c r="D20" s="30">
        <v>0</v>
      </c>
      <c r="E20" s="30">
        <v>0</v>
      </c>
      <c r="F20" s="30">
        <v>0</v>
      </c>
      <c r="G20" s="31">
        <f>SUM(IN_FINANCIAL)</f>
        <v>0</v>
      </c>
      <c r="H20" s="30"/>
      <c r="I20" s="34" t="s">
        <v>35</v>
      </c>
      <c r="J20" s="35">
        <v>29866370.890000001</v>
      </c>
      <c r="K20" s="30"/>
      <c r="L20" s="29"/>
      <c r="M20" s="30"/>
      <c r="N20" s="30"/>
      <c r="O20" s="30"/>
      <c r="P20" s="30"/>
      <c r="Q20" s="30"/>
      <c r="R20" s="30"/>
      <c r="S20" s="30"/>
      <c r="T20" s="30"/>
      <c r="U20" s="30"/>
      <c r="V20" s="31"/>
    </row>
    <row r="21" spans="1:22">
      <c r="A21" s="1" t="s">
        <v>36</v>
      </c>
      <c r="B21" s="29">
        <v>0</v>
      </c>
      <c r="C21" s="30">
        <v>0</v>
      </c>
      <c r="D21" s="30">
        <v>0</v>
      </c>
      <c r="E21" s="30">
        <v>0</v>
      </c>
      <c r="F21" s="30">
        <v>0</v>
      </c>
      <c r="G21" s="31">
        <f>SUM(IA_FINANCIAL)</f>
        <v>0</v>
      </c>
      <c r="H21" s="30"/>
      <c r="I21" s="34" t="s">
        <v>37</v>
      </c>
      <c r="J21" s="35"/>
      <c r="K21" s="30"/>
      <c r="L21" s="29"/>
      <c r="M21" s="30"/>
      <c r="N21" s="30"/>
      <c r="O21" s="30"/>
      <c r="P21" s="30"/>
      <c r="Q21" s="30"/>
      <c r="R21" s="30"/>
      <c r="S21" s="30"/>
      <c r="T21" s="30"/>
      <c r="U21" s="30"/>
      <c r="V21" s="31"/>
    </row>
    <row r="22" spans="1:22">
      <c r="A22" s="1" t="s">
        <v>38</v>
      </c>
      <c r="B22" s="29">
        <v>0</v>
      </c>
      <c r="C22" s="30">
        <v>0</v>
      </c>
      <c r="D22" s="30">
        <v>0</v>
      </c>
      <c r="E22" s="30">
        <v>0</v>
      </c>
      <c r="F22" s="30">
        <v>0</v>
      </c>
      <c r="G22" s="31">
        <f>SUM(KS_FINANCIAL)</f>
        <v>0</v>
      </c>
      <c r="H22" s="30"/>
      <c r="I22" s="34" t="s">
        <v>39</v>
      </c>
      <c r="J22" s="35">
        <v>0</v>
      </c>
      <c r="K22" s="30"/>
      <c r="L22" s="29"/>
      <c r="M22" s="30"/>
      <c r="N22" s="30"/>
      <c r="O22" s="30"/>
      <c r="P22" s="30"/>
      <c r="Q22" s="30"/>
      <c r="R22" s="30"/>
      <c r="S22" s="30"/>
      <c r="T22" s="30"/>
      <c r="U22" s="30"/>
      <c r="V22" s="31"/>
    </row>
    <row r="23" spans="1:22">
      <c r="A23" s="1" t="s">
        <v>40</v>
      </c>
      <c r="B23" s="29">
        <v>0</v>
      </c>
      <c r="C23" s="30">
        <v>0</v>
      </c>
      <c r="D23" s="30">
        <v>0</v>
      </c>
      <c r="E23" s="30">
        <v>0</v>
      </c>
      <c r="F23" s="30">
        <v>0</v>
      </c>
      <c r="G23" s="31">
        <f>SUM(KY_FINANCIAL)</f>
        <v>0</v>
      </c>
      <c r="H23" s="30"/>
      <c r="I23" s="34" t="s">
        <v>41</v>
      </c>
      <c r="J23" s="35"/>
      <c r="K23" s="30"/>
      <c r="L23" s="29"/>
      <c r="M23" s="30"/>
      <c r="N23" s="30"/>
      <c r="O23" s="30"/>
      <c r="P23" s="30"/>
      <c r="Q23" s="30"/>
      <c r="R23" s="30"/>
      <c r="S23" s="30"/>
      <c r="T23" s="30"/>
      <c r="U23" s="30"/>
      <c r="V23" s="31"/>
    </row>
    <row r="24" spans="1:22">
      <c r="A24" s="1" t="s">
        <v>42</v>
      </c>
      <c r="B24" s="29">
        <v>0</v>
      </c>
      <c r="C24" s="30">
        <v>0</v>
      </c>
      <c r="D24" s="30">
        <v>0</v>
      </c>
      <c r="E24" s="30">
        <v>0</v>
      </c>
      <c r="F24" s="30">
        <v>0</v>
      </c>
      <c r="G24" s="31">
        <f>SUM(LA_FINANCIAL)</f>
        <v>0</v>
      </c>
      <c r="H24" s="30"/>
      <c r="I24" s="34" t="s">
        <v>43</v>
      </c>
      <c r="J24" s="35">
        <v>9414106.0000000019</v>
      </c>
      <c r="K24" s="30"/>
      <c r="L24" s="29"/>
      <c r="M24" s="30"/>
      <c r="N24" s="30"/>
      <c r="O24" s="30"/>
      <c r="P24" s="30"/>
      <c r="Q24" s="30"/>
      <c r="R24" s="30"/>
      <c r="S24" s="30"/>
      <c r="T24" s="30"/>
      <c r="U24" s="30"/>
      <c r="V24" s="31"/>
    </row>
    <row r="25" spans="1:22">
      <c r="A25" s="1" t="s">
        <v>44</v>
      </c>
      <c r="B25" s="29">
        <v>0</v>
      </c>
      <c r="C25" s="30">
        <v>0</v>
      </c>
      <c r="D25" s="30">
        <v>0</v>
      </c>
      <c r="E25" s="30">
        <v>0</v>
      </c>
      <c r="F25" s="30">
        <v>0</v>
      </c>
      <c r="G25" s="31">
        <f>SUM(ME_FINANCIAL)</f>
        <v>0</v>
      </c>
      <c r="H25" s="30"/>
      <c r="I25" s="34"/>
      <c r="J25" s="35"/>
      <c r="K25" s="30"/>
      <c r="L25" s="29"/>
      <c r="M25" s="30"/>
      <c r="N25" s="30"/>
      <c r="O25" s="30"/>
      <c r="P25" s="30"/>
      <c r="Q25" s="30"/>
      <c r="R25" s="30"/>
      <c r="S25" s="30"/>
      <c r="T25" s="30"/>
      <c r="U25" s="30"/>
      <c r="V25" s="31"/>
    </row>
    <row r="26" spans="1:22">
      <c r="A26" s="1" t="s">
        <v>45</v>
      </c>
      <c r="B26" s="29">
        <v>0</v>
      </c>
      <c r="C26" s="30">
        <v>0</v>
      </c>
      <c r="D26" s="30">
        <v>0</v>
      </c>
      <c r="E26" s="30">
        <v>0</v>
      </c>
      <c r="F26" s="30">
        <v>0</v>
      </c>
      <c r="G26" s="31">
        <f>SUM(MD_FINANCIAL)</f>
        <v>0</v>
      </c>
      <c r="H26" s="30"/>
      <c r="I26" s="34" t="s">
        <v>46</v>
      </c>
      <c r="J26" s="35">
        <f>SUM(ADD_FINANCIAL)-SUM(LESS_FINANCIAL)</f>
        <v>24528225.084213227</v>
      </c>
      <c r="K26" s="30"/>
      <c r="L26" s="29"/>
      <c r="M26" s="30"/>
      <c r="N26" s="30"/>
      <c r="O26" s="30"/>
      <c r="P26" s="30"/>
      <c r="Q26" s="30"/>
      <c r="R26" s="30"/>
      <c r="S26" s="30"/>
      <c r="T26" s="30"/>
      <c r="U26" s="30"/>
      <c r="V26" s="31"/>
    </row>
    <row r="27" spans="1:22">
      <c r="A27" s="1" t="s">
        <v>47</v>
      </c>
      <c r="B27" s="29">
        <v>0</v>
      </c>
      <c r="C27" s="30">
        <v>0</v>
      </c>
      <c r="D27" s="30">
        <v>0</v>
      </c>
      <c r="E27" s="30">
        <v>0</v>
      </c>
      <c r="F27" s="30">
        <v>0</v>
      </c>
      <c r="G27" s="31">
        <f>SUM(MA_FINANCIAL)</f>
        <v>0</v>
      </c>
      <c r="H27" s="30"/>
      <c r="I27" s="34" t="s">
        <v>48</v>
      </c>
      <c r="J27" s="35">
        <f>SUM(ALL_BLOCKS)</f>
        <v>24528225.084213227</v>
      </c>
      <c r="K27" s="30"/>
      <c r="L27" s="29"/>
      <c r="M27" s="30"/>
      <c r="N27" s="30"/>
      <c r="O27" s="30"/>
      <c r="P27" s="30"/>
      <c r="Q27" s="30"/>
      <c r="R27" s="30"/>
      <c r="S27" s="30"/>
      <c r="T27" s="30"/>
      <c r="U27" s="30"/>
      <c r="V27" s="31"/>
    </row>
    <row r="28" spans="1:22">
      <c r="A28" s="1" t="s">
        <v>49</v>
      </c>
      <c r="B28" s="29">
        <v>0</v>
      </c>
      <c r="C28" s="30">
        <v>0</v>
      </c>
      <c r="D28" s="30">
        <v>0</v>
      </c>
      <c r="E28" s="30">
        <v>0</v>
      </c>
      <c r="F28" s="30">
        <v>0</v>
      </c>
      <c r="G28" s="31">
        <f>SUM(MI_FINANCIAL)</f>
        <v>0</v>
      </c>
      <c r="H28" s="30"/>
      <c r="I28" s="36"/>
      <c r="J28" s="37"/>
      <c r="K28" s="30"/>
      <c r="L28" s="29"/>
      <c r="M28" s="30"/>
      <c r="N28" s="30"/>
      <c r="O28" s="30"/>
      <c r="P28" s="30"/>
      <c r="Q28" s="30"/>
      <c r="R28" s="30"/>
      <c r="S28" s="30"/>
      <c r="T28" s="30"/>
      <c r="U28" s="30"/>
      <c r="V28" s="31"/>
    </row>
    <row r="29" spans="1:22">
      <c r="A29" s="1" t="s">
        <v>50</v>
      </c>
      <c r="B29" s="29">
        <v>0</v>
      </c>
      <c r="C29" s="30">
        <v>0</v>
      </c>
      <c r="D29" s="30">
        <v>0</v>
      </c>
      <c r="E29" s="30">
        <v>0</v>
      </c>
      <c r="F29" s="30">
        <v>0</v>
      </c>
      <c r="G29" s="31">
        <f>SUM(MN_FINANCIAL)</f>
        <v>0</v>
      </c>
      <c r="H29" s="30"/>
      <c r="I29" s="30"/>
      <c r="J29" s="30"/>
      <c r="K29" s="30"/>
      <c r="L29" s="29"/>
      <c r="M29" s="30"/>
      <c r="N29" s="30"/>
      <c r="O29" s="30"/>
      <c r="P29" s="30"/>
      <c r="Q29" s="30"/>
      <c r="R29" s="30"/>
      <c r="S29" s="30"/>
      <c r="T29" s="30"/>
      <c r="U29" s="30"/>
      <c r="V29" s="31"/>
    </row>
    <row r="30" spans="1:22">
      <c r="A30" s="1" t="s">
        <v>51</v>
      </c>
      <c r="B30" s="29">
        <v>0</v>
      </c>
      <c r="C30" s="30">
        <v>0</v>
      </c>
      <c r="D30" s="30">
        <v>0</v>
      </c>
      <c r="E30" s="30">
        <v>0</v>
      </c>
      <c r="F30" s="30">
        <v>0</v>
      </c>
      <c r="G30" s="31">
        <f>SUM(MS_FINANCIAL)</f>
        <v>0</v>
      </c>
      <c r="H30" s="30"/>
      <c r="I30" s="30"/>
      <c r="J30" s="30"/>
      <c r="K30" s="30"/>
      <c r="L30" s="29"/>
      <c r="M30" s="30"/>
      <c r="N30" s="30"/>
      <c r="O30" s="30"/>
      <c r="P30" s="30"/>
      <c r="Q30" s="30"/>
      <c r="R30" s="30"/>
      <c r="S30" s="30"/>
      <c r="T30" s="30"/>
      <c r="U30" s="30"/>
      <c r="V30" s="31"/>
    </row>
    <row r="31" spans="1:22">
      <c r="A31" s="1" t="s">
        <v>52</v>
      </c>
      <c r="B31" s="29">
        <v>0</v>
      </c>
      <c r="C31" s="30">
        <v>0</v>
      </c>
      <c r="D31" s="30">
        <v>0</v>
      </c>
      <c r="E31" s="30">
        <v>0</v>
      </c>
      <c r="F31" s="30">
        <v>0</v>
      </c>
      <c r="G31" s="31">
        <f>SUM(MO_FINANCIAL)</f>
        <v>0</v>
      </c>
      <c r="H31" s="30"/>
      <c r="I31" s="30"/>
      <c r="J31" s="30"/>
      <c r="K31" s="30"/>
      <c r="L31" s="29"/>
      <c r="M31" s="30"/>
      <c r="N31" s="30"/>
      <c r="O31" s="30"/>
      <c r="P31" s="30"/>
      <c r="Q31" s="30"/>
      <c r="R31" s="30"/>
      <c r="S31" s="30"/>
      <c r="T31" s="30"/>
      <c r="U31" s="30"/>
      <c r="V31" s="31"/>
    </row>
    <row r="32" spans="1:22">
      <c r="A32" s="1" t="s">
        <v>53</v>
      </c>
      <c r="B32" s="29">
        <v>0</v>
      </c>
      <c r="C32" s="30">
        <v>0</v>
      </c>
      <c r="D32" s="30">
        <v>0</v>
      </c>
      <c r="E32" s="30">
        <v>0</v>
      </c>
      <c r="F32" s="30">
        <v>0</v>
      </c>
      <c r="G32" s="31">
        <f>SUM(MT_FINANCIAL)</f>
        <v>0</v>
      </c>
      <c r="H32" s="30"/>
      <c r="I32" s="30"/>
      <c r="J32" s="30"/>
      <c r="K32" s="30"/>
      <c r="L32" s="29"/>
      <c r="M32" s="30"/>
      <c r="N32" s="30"/>
      <c r="O32" s="30"/>
      <c r="P32" s="30"/>
      <c r="Q32" s="30"/>
      <c r="R32" s="30"/>
      <c r="S32" s="30"/>
      <c r="T32" s="30"/>
      <c r="U32" s="30"/>
      <c r="V32" s="31"/>
    </row>
    <row r="33" spans="1:22">
      <c r="A33" s="1" t="s">
        <v>54</v>
      </c>
      <c r="B33" s="29">
        <v>0</v>
      </c>
      <c r="C33" s="30">
        <v>0</v>
      </c>
      <c r="D33" s="30">
        <v>0</v>
      </c>
      <c r="E33" s="30">
        <v>0</v>
      </c>
      <c r="F33" s="30">
        <v>0</v>
      </c>
      <c r="G33" s="31">
        <f>SUM(NE_FINANCIAL)</f>
        <v>0</v>
      </c>
      <c r="H33" s="30"/>
      <c r="I33" s="30"/>
      <c r="J33" s="30"/>
      <c r="K33" s="30"/>
      <c r="L33" s="29"/>
      <c r="M33" s="30"/>
      <c r="N33" s="30"/>
      <c r="O33" s="30"/>
      <c r="P33" s="30"/>
      <c r="Q33" s="30"/>
      <c r="R33" s="30"/>
      <c r="S33" s="30"/>
      <c r="T33" s="30"/>
      <c r="U33" s="30"/>
      <c r="V33" s="31"/>
    </row>
    <row r="34" spans="1:22">
      <c r="A34" s="1" t="s">
        <v>55</v>
      </c>
      <c r="B34" s="29">
        <v>0</v>
      </c>
      <c r="C34" s="30">
        <v>0</v>
      </c>
      <c r="D34" s="30">
        <v>0</v>
      </c>
      <c r="E34" s="30">
        <v>0</v>
      </c>
      <c r="F34" s="30">
        <v>0</v>
      </c>
      <c r="G34" s="31">
        <f>SUM(NV_FINANCIAL)</f>
        <v>0</v>
      </c>
      <c r="H34" s="30"/>
      <c r="I34" s="30"/>
      <c r="J34" s="30"/>
      <c r="K34" s="30"/>
      <c r="L34" s="29"/>
      <c r="M34" s="30"/>
      <c r="N34" s="30"/>
      <c r="O34" s="30"/>
      <c r="P34" s="30"/>
      <c r="Q34" s="30"/>
      <c r="R34" s="30"/>
      <c r="S34" s="30"/>
      <c r="T34" s="30"/>
      <c r="U34" s="30"/>
      <c r="V34" s="31"/>
    </row>
    <row r="35" spans="1:22">
      <c r="A35" s="1" t="s">
        <v>56</v>
      </c>
      <c r="B35" s="29">
        <v>0</v>
      </c>
      <c r="C35" s="30">
        <v>0</v>
      </c>
      <c r="D35" s="30">
        <v>0</v>
      </c>
      <c r="E35" s="30">
        <v>0</v>
      </c>
      <c r="F35" s="30">
        <v>0</v>
      </c>
      <c r="G35" s="31">
        <f>SUM(NH_FINANCIAL)</f>
        <v>0</v>
      </c>
      <c r="H35" s="30"/>
      <c r="I35" s="30"/>
      <c r="J35" s="30"/>
      <c r="K35" s="30"/>
      <c r="L35" s="29"/>
      <c r="M35" s="30"/>
      <c r="N35" s="30"/>
      <c r="O35" s="30"/>
      <c r="P35" s="30"/>
      <c r="Q35" s="30"/>
      <c r="R35" s="30"/>
      <c r="S35" s="30"/>
      <c r="T35" s="30"/>
      <c r="U35" s="30"/>
      <c r="V35" s="31"/>
    </row>
    <row r="36" spans="1:22">
      <c r="A36" s="1" t="s">
        <v>57</v>
      </c>
      <c r="B36" s="29">
        <v>0</v>
      </c>
      <c r="C36" s="30">
        <v>0</v>
      </c>
      <c r="D36" s="30">
        <v>0</v>
      </c>
      <c r="E36" s="30">
        <v>0</v>
      </c>
      <c r="F36" s="30">
        <v>0</v>
      </c>
      <c r="G36" s="31">
        <f>SUM(NJ_FINANCIAL)</f>
        <v>0</v>
      </c>
      <c r="H36" s="30"/>
      <c r="I36" s="30"/>
      <c r="J36" s="30"/>
      <c r="K36" s="30"/>
      <c r="L36" s="29"/>
      <c r="M36" s="30"/>
      <c r="N36" s="30"/>
      <c r="O36" s="30"/>
      <c r="P36" s="30"/>
      <c r="Q36" s="30"/>
      <c r="R36" s="30"/>
      <c r="S36" s="30"/>
      <c r="T36" s="30"/>
      <c r="U36" s="30"/>
      <c r="V36" s="31"/>
    </row>
    <row r="37" spans="1:22">
      <c r="A37" s="1" t="s">
        <v>58</v>
      </c>
      <c r="B37" s="29">
        <v>0</v>
      </c>
      <c r="C37" s="30">
        <v>0</v>
      </c>
      <c r="D37" s="30">
        <v>0</v>
      </c>
      <c r="E37" s="30">
        <v>0</v>
      </c>
      <c r="F37" s="30">
        <v>0</v>
      </c>
      <c r="G37" s="31">
        <f>SUM(NM_FINANCIAL)</f>
        <v>0</v>
      </c>
      <c r="H37" s="30"/>
      <c r="I37" s="30"/>
      <c r="J37" s="30"/>
      <c r="K37" s="30"/>
      <c r="L37" s="29"/>
      <c r="M37" s="30"/>
      <c r="N37" s="30"/>
      <c r="O37" s="30"/>
      <c r="P37" s="30"/>
      <c r="Q37" s="30"/>
      <c r="R37" s="30"/>
      <c r="S37" s="30"/>
      <c r="T37" s="30"/>
      <c r="U37" s="30"/>
      <c r="V37" s="31"/>
    </row>
    <row r="38" spans="1:22">
      <c r="A38" s="1" t="s">
        <v>59</v>
      </c>
      <c r="B38" s="29">
        <v>0</v>
      </c>
      <c r="C38" s="30">
        <v>0</v>
      </c>
      <c r="D38" s="30">
        <v>0</v>
      </c>
      <c r="E38" s="30">
        <v>0</v>
      </c>
      <c r="F38" s="30">
        <v>0</v>
      </c>
      <c r="G38" s="31">
        <f>SUM(NY_FINANCIAL)</f>
        <v>0</v>
      </c>
      <c r="H38" s="30"/>
      <c r="I38" s="30"/>
      <c r="J38" s="30"/>
      <c r="K38" s="30"/>
      <c r="L38" s="29"/>
      <c r="M38" s="30"/>
      <c r="N38" s="30"/>
      <c r="O38" s="30"/>
      <c r="P38" s="30"/>
      <c r="Q38" s="30"/>
      <c r="R38" s="30"/>
      <c r="S38" s="30"/>
      <c r="T38" s="30"/>
      <c r="U38" s="30"/>
      <c r="V38" s="31"/>
    </row>
    <row r="39" spans="1:22">
      <c r="A39" s="1" t="s">
        <v>60</v>
      </c>
      <c r="B39" s="29">
        <v>0</v>
      </c>
      <c r="C39" s="30">
        <v>0</v>
      </c>
      <c r="D39" s="30">
        <v>0</v>
      </c>
      <c r="E39" s="30">
        <v>0</v>
      </c>
      <c r="F39" s="30">
        <v>0</v>
      </c>
      <c r="G39" s="31">
        <f>SUM(NC_FINANCIAL)</f>
        <v>0</v>
      </c>
      <c r="H39" s="30"/>
      <c r="I39" s="30"/>
      <c r="J39" s="30"/>
      <c r="K39" s="30"/>
      <c r="L39" s="29"/>
      <c r="M39" s="30"/>
      <c r="N39" s="30"/>
      <c r="O39" s="30"/>
      <c r="P39" s="30"/>
      <c r="Q39" s="30"/>
      <c r="R39" s="30"/>
      <c r="S39" s="30"/>
      <c r="T39" s="30"/>
      <c r="U39" s="30"/>
      <c r="V39" s="31"/>
    </row>
    <row r="40" spans="1:22">
      <c r="A40" s="1" t="s">
        <v>61</v>
      </c>
      <c r="B40" s="29">
        <v>0</v>
      </c>
      <c r="C40" s="30">
        <v>0</v>
      </c>
      <c r="D40" s="30">
        <v>0</v>
      </c>
      <c r="E40" s="30">
        <v>0</v>
      </c>
      <c r="F40" s="30">
        <v>0</v>
      </c>
      <c r="G40" s="31">
        <f>SUM(ND_FINANCIAL)</f>
        <v>0</v>
      </c>
      <c r="H40" s="30"/>
      <c r="I40" s="30"/>
      <c r="J40" s="30"/>
      <c r="K40" s="30"/>
      <c r="L40" s="29"/>
      <c r="M40" s="30"/>
      <c r="N40" s="30"/>
      <c r="O40" s="30"/>
      <c r="P40" s="30"/>
      <c r="Q40" s="30"/>
      <c r="R40" s="30"/>
      <c r="S40" s="30"/>
      <c r="T40" s="30"/>
      <c r="U40" s="30"/>
      <c r="V40" s="31"/>
    </row>
    <row r="41" spans="1:22">
      <c r="A41" s="1" t="s">
        <v>62</v>
      </c>
      <c r="B41" s="29">
        <v>0</v>
      </c>
      <c r="C41" s="30">
        <v>0</v>
      </c>
      <c r="D41" s="30">
        <v>0</v>
      </c>
      <c r="E41" s="30">
        <v>0</v>
      </c>
      <c r="F41" s="30">
        <v>0</v>
      </c>
      <c r="G41" s="31">
        <f>SUM(OH_FINANCIAL)</f>
        <v>0</v>
      </c>
      <c r="H41" s="30"/>
      <c r="I41" s="30"/>
      <c r="J41" s="30"/>
      <c r="K41" s="30"/>
      <c r="L41" s="29"/>
      <c r="M41" s="30"/>
      <c r="N41" s="30"/>
      <c r="O41" s="30"/>
      <c r="P41" s="30"/>
      <c r="Q41" s="30"/>
      <c r="R41" s="30"/>
      <c r="S41" s="30"/>
      <c r="T41" s="30"/>
      <c r="U41" s="30"/>
      <c r="V41" s="31"/>
    </row>
    <row r="42" spans="1:22">
      <c r="A42" s="1" t="s">
        <v>63</v>
      </c>
      <c r="B42" s="29">
        <v>0</v>
      </c>
      <c r="C42" s="30">
        <v>0</v>
      </c>
      <c r="D42" s="30">
        <v>0</v>
      </c>
      <c r="E42" s="30">
        <v>0</v>
      </c>
      <c r="F42" s="30">
        <v>0</v>
      </c>
      <c r="G42" s="31">
        <f>SUM(OK_FINANCIAL)</f>
        <v>0</v>
      </c>
      <c r="H42" s="30"/>
      <c r="I42" s="30"/>
      <c r="J42" s="30"/>
      <c r="K42" s="30"/>
      <c r="L42" s="29"/>
      <c r="M42" s="30"/>
      <c r="N42" s="30"/>
      <c r="O42" s="30"/>
      <c r="P42" s="30"/>
      <c r="Q42" s="30"/>
      <c r="R42" s="30"/>
      <c r="S42" s="30"/>
      <c r="T42" s="30"/>
      <c r="U42" s="30"/>
      <c r="V42" s="31"/>
    </row>
    <row r="43" spans="1:22">
      <c r="A43" s="1" t="s">
        <v>64</v>
      </c>
      <c r="B43" s="29">
        <v>0</v>
      </c>
      <c r="C43" s="30">
        <v>0</v>
      </c>
      <c r="D43" s="30">
        <v>0</v>
      </c>
      <c r="E43" s="30">
        <v>0</v>
      </c>
      <c r="F43" s="30">
        <v>0</v>
      </c>
      <c r="G43" s="31">
        <f>SUM(OR_FINANCIAL)</f>
        <v>0</v>
      </c>
      <c r="H43" s="30"/>
      <c r="I43" s="30"/>
      <c r="J43" s="30"/>
      <c r="K43" s="30"/>
      <c r="L43" s="29"/>
      <c r="M43" s="30"/>
      <c r="N43" s="30"/>
      <c r="O43" s="30"/>
      <c r="P43" s="30"/>
      <c r="Q43" s="30"/>
      <c r="R43" s="30"/>
      <c r="S43" s="30"/>
      <c r="T43" s="30"/>
      <c r="U43" s="30"/>
      <c r="V43" s="31"/>
    </row>
    <row r="44" spans="1:22">
      <c r="A44" s="1" t="s">
        <v>65</v>
      </c>
      <c r="B44" s="29">
        <v>0</v>
      </c>
      <c r="C44" s="30">
        <v>0</v>
      </c>
      <c r="D44" s="30">
        <v>0</v>
      </c>
      <c r="E44" s="30">
        <v>0</v>
      </c>
      <c r="F44" s="30">
        <v>0</v>
      </c>
      <c r="G44" s="31">
        <f>SUM(PA_FINANCIAL)</f>
        <v>0</v>
      </c>
      <c r="H44" s="30"/>
      <c r="I44" s="30"/>
      <c r="J44" s="30"/>
      <c r="K44" s="30"/>
      <c r="L44" s="29"/>
      <c r="M44" s="30"/>
      <c r="N44" s="30"/>
      <c r="O44" s="30"/>
      <c r="P44" s="30"/>
      <c r="Q44" s="30"/>
      <c r="R44" s="30"/>
      <c r="S44" s="30"/>
      <c r="T44" s="30"/>
      <c r="U44" s="30"/>
      <c r="V44" s="31"/>
    </row>
    <row r="45" spans="1:22">
      <c r="A45" s="1" t="s">
        <v>66</v>
      </c>
      <c r="B45" s="29">
        <v>0</v>
      </c>
      <c r="C45" s="30">
        <v>0</v>
      </c>
      <c r="D45" s="30">
        <v>0</v>
      </c>
      <c r="E45" s="30">
        <v>0</v>
      </c>
      <c r="F45" s="30">
        <v>0</v>
      </c>
      <c r="G45" s="31">
        <f>SUM(PR_FINANCIAL)</f>
        <v>0</v>
      </c>
      <c r="H45" s="30"/>
      <c r="I45" s="30"/>
      <c r="J45" s="30"/>
      <c r="K45" s="30"/>
      <c r="L45" s="29"/>
      <c r="M45" s="30"/>
      <c r="N45" s="30"/>
      <c r="O45" s="30"/>
      <c r="P45" s="30"/>
      <c r="Q45" s="30"/>
      <c r="R45" s="30"/>
      <c r="S45" s="30"/>
      <c r="T45" s="30"/>
      <c r="U45" s="30"/>
      <c r="V45" s="31"/>
    </row>
    <row r="46" spans="1:22">
      <c r="A46" s="1" t="s">
        <v>67</v>
      </c>
      <c r="B46" s="29">
        <v>0</v>
      </c>
      <c r="C46" s="30">
        <v>0</v>
      </c>
      <c r="D46" s="30">
        <v>0</v>
      </c>
      <c r="E46" s="30">
        <v>0</v>
      </c>
      <c r="F46" s="30">
        <v>0</v>
      </c>
      <c r="G46" s="31">
        <f>SUM(RI_FINANCIAL)</f>
        <v>0</v>
      </c>
      <c r="H46" s="30"/>
      <c r="I46" s="30"/>
      <c r="J46" s="30"/>
      <c r="K46" s="30"/>
      <c r="L46" s="29"/>
      <c r="M46" s="30"/>
      <c r="N46" s="30"/>
      <c r="O46" s="30"/>
      <c r="P46" s="30"/>
      <c r="Q46" s="30"/>
      <c r="R46" s="30"/>
      <c r="S46" s="30"/>
      <c r="T46" s="30"/>
      <c r="U46" s="30"/>
      <c r="V46" s="31"/>
    </row>
    <row r="47" spans="1:22">
      <c r="A47" s="1" t="s">
        <v>68</v>
      </c>
      <c r="B47" s="29">
        <v>0</v>
      </c>
      <c r="C47" s="30">
        <v>0</v>
      </c>
      <c r="D47" s="30">
        <v>0</v>
      </c>
      <c r="E47" s="30">
        <v>0</v>
      </c>
      <c r="F47" s="30">
        <v>0</v>
      </c>
      <c r="G47" s="31">
        <f>SUM(SC_FINANCIAL)</f>
        <v>0</v>
      </c>
      <c r="H47" s="30"/>
      <c r="I47" s="30"/>
      <c r="J47" s="30"/>
      <c r="K47" s="30"/>
      <c r="L47" s="29"/>
      <c r="M47" s="30"/>
      <c r="N47" s="30"/>
      <c r="O47" s="30"/>
      <c r="P47" s="30"/>
      <c r="Q47" s="30"/>
      <c r="R47" s="30"/>
      <c r="S47" s="30"/>
      <c r="T47" s="30"/>
      <c r="U47" s="30"/>
      <c r="V47" s="31"/>
    </row>
    <row r="48" spans="1:22">
      <c r="A48" s="1" t="s">
        <v>69</v>
      </c>
      <c r="B48" s="29">
        <v>0</v>
      </c>
      <c r="C48" s="30">
        <v>0</v>
      </c>
      <c r="D48" s="30">
        <v>0</v>
      </c>
      <c r="E48" s="30">
        <v>0</v>
      </c>
      <c r="F48" s="30">
        <v>0</v>
      </c>
      <c r="G48" s="31">
        <f>SUM(SD_FINANCIAL)</f>
        <v>0</v>
      </c>
      <c r="H48" s="30"/>
      <c r="I48" s="30"/>
      <c r="J48" s="30"/>
      <c r="K48" s="30"/>
      <c r="L48" s="29"/>
      <c r="M48" s="30"/>
      <c r="N48" s="30"/>
      <c r="O48" s="30"/>
      <c r="P48" s="30"/>
      <c r="Q48" s="30"/>
      <c r="R48" s="30"/>
      <c r="S48" s="30"/>
      <c r="T48" s="30"/>
      <c r="U48" s="30"/>
      <c r="V48" s="31"/>
    </row>
    <row r="49" spans="1:22">
      <c r="A49" s="1" t="s">
        <v>70</v>
      </c>
      <c r="B49" s="29">
        <v>667090.10532920924</v>
      </c>
      <c r="C49" s="30">
        <v>0</v>
      </c>
      <c r="D49" s="30">
        <v>-252.2499999999394</v>
      </c>
      <c r="E49" s="30">
        <v>0</v>
      </c>
      <c r="F49" s="30">
        <v>0</v>
      </c>
      <c r="G49" s="31">
        <f>SUM(TN_FINANCIAL)</f>
        <v>666837.85532920936</v>
      </c>
      <c r="H49" s="30"/>
      <c r="I49" s="30"/>
      <c r="J49" s="30"/>
      <c r="K49" s="30"/>
      <c r="L49" s="29"/>
      <c r="M49" s="30"/>
      <c r="N49" s="30"/>
      <c r="O49" s="30"/>
      <c r="P49" s="30"/>
      <c r="Q49" s="30"/>
      <c r="R49" s="30"/>
      <c r="S49" s="30"/>
      <c r="T49" s="30"/>
      <c r="U49" s="30"/>
      <c r="V49" s="31"/>
    </row>
    <row r="50" spans="1:22">
      <c r="A50" s="1" t="s">
        <v>71</v>
      </c>
      <c r="B50" s="29">
        <v>0</v>
      </c>
      <c r="C50" s="30">
        <v>0</v>
      </c>
      <c r="D50" s="30">
        <v>0</v>
      </c>
      <c r="E50" s="30">
        <v>0</v>
      </c>
      <c r="F50" s="30">
        <v>0</v>
      </c>
      <c r="G50" s="31">
        <f>SUM(TX_FINANCIAL)</f>
        <v>0</v>
      </c>
      <c r="H50" s="30"/>
      <c r="I50" s="30"/>
      <c r="J50" s="30"/>
      <c r="K50" s="30"/>
      <c r="L50" s="29"/>
      <c r="M50" s="30"/>
      <c r="N50" s="30"/>
      <c r="O50" s="30"/>
      <c r="P50" s="30"/>
      <c r="Q50" s="30"/>
      <c r="R50" s="30"/>
      <c r="S50" s="30"/>
      <c r="T50" s="30"/>
      <c r="U50" s="30"/>
      <c r="V50" s="31"/>
    </row>
    <row r="51" spans="1:22">
      <c r="A51" s="1" t="s">
        <v>72</v>
      </c>
      <c r="B51" s="29">
        <v>0</v>
      </c>
      <c r="C51" s="30">
        <v>0</v>
      </c>
      <c r="D51" s="30">
        <v>0</v>
      </c>
      <c r="E51" s="30">
        <v>0</v>
      </c>
      <c r="F51" s="30">
        <v>0</v>
      </c>
      <c r="G51" s="31">
        <f>SUM(UT_FINANCIAL)</f>
        <v>0</v>
      </c>
      <c r="H51" s="30"/>
      <c r="I51" s="30"/>
      <c r="J51" s="30"/>
      <c r="K51" s="30"/>
      <c r="L51" s="29"/>
      <c r="M51" s="30"/>
      <c r="N51" s="30"/>
      <c r="O51" s="30"/>
      <c r="P51" s="30"/>
      <c r="Q51" s="30"/>
      <c r="R51" s="30"/>
      <c r="S51" s="30"/>
      <c r="T51" s="30"/>
      <c r="U51" s="30"/>
      <c r="V51" s="31"/>
    </row>
    <row r="52" spans="1:22">
      <c r="A52" s="1" t="s">
        <v>73</v>
      </c>
      <c r="B52" s="29">
        <v>0</v>
      </c>
      <c r="C52" s="30">
        <v>0</v>
      </c>
      <c r="D52" s="30">
        <v>0</v>
      </c>
      <c r="E52" s="30">
        <v>0</v>
      </c>
      <c r="F52" s="30">
        <v>0</v>
      </c>
      <c r="G52" s="31">
        <f>SUM(VT_FINANCIAL)</f>
        <v>0</v>
      </c>
      <c r="H52" s="30"/>
      <c r="I52" s="30"/>
      <c r="J52" s="30"/>
      <c r="K52" s="30"/>
      <c r="L52" s="29"/>
      <c r="M52" s="30"/>
      <c r="N52" s="30"/>
      <c r="O52" s="30"/>
      <c r="P52" s="30"/>
      <c r="Q52" s="30"/>
      <c r="R52" s="30"/>
      <c r="S52" s="30"/>
      <c r="T52" s="30"/>
      <c r="U52" s="30"/>
      <c r="V52" s="31"/>
    </row>
    <row r="53" spans="1:22">
      <c r="A53" s="1" t="s">
        <v>74</v>
      </c>
      <c r="B53" s="29">
        <v>0</v>
      </c>
      <c r="C53" s="30">
        <v>0</v>
      </c>
      <c r="D53" s="30">
        <v>0</v>
      </c>
      <c r="E53" s="30">
        <v>0</v>
      </c>
      <c r="F53" s="30">
        <v>0</v>
      </c>
      <c r="G53" s="31">
        <f>SUM(VA_FINANCIAL)</f>
        <v>0</v>
      </c>
      <c r="H53" s="30"/>
      <c r="I53" s="30"/>
      <c r="J53" s="30"/>
      <c r="K53" s="30"/>
      <c r="L53" s="29"/>
      <c r="M53" s="30"/>
      <c r="N53" s="30"/>
      <c r="O53" s="30"/>
      <c r="P53" s="30"/>
      <c r="Q53" s="30"/>
      <c r="R53" s="30"/>
      <c r="S53" s="30"/>
      <c r="T53" s="30"/>
      <c r="U53" s="30"/>
      <c r="V53" s="31"/>
    </row>
    <row r="54" spans="1:22">
      <c r="A54" s="1" t="s">
        <v>75</v>
      </c>
      <c r="B54" s="29">
        <v>0</v>
      </c>
      <c r="C54" s="30">
        <v>0</v>
      </c>
      <c r="D54" s="30">
        <v>0</v>
      </c>
      <c r="E54" s="30">
        <v>0</v>
      </c>
      <c r="F54" s="30">
        <v>0</v>
      </c>
      <c r="G54" s="31">
        <f>SUM(WA_FINANCIAL)</f>
        <v>0</v>
      </c>
      <c r="H54" s="30"/>
      <c r="I54" s="30"/>
      <c r="J54" s="30"/>
      <c r="K54" s="30"/>
      <c r="L54" s="29"/>
      <c r="M54" s="30"/>
      <c r="N54" s="30"/>
      <c r="O54" s="30"/>
      <c r="P54" s="30"/>
      <c r="Q54" s="30"/>
      <c r="R54" s="30"/>
      <c r="S54" s="30"/>
      <c r="T54" s="30"/>
      <c r="U54" s="30"/>
      <c r="V54" s="31"/>
    </row>
    <row r="55" spans="1:22">
      <c r="A55" s="1" t="s">
        <v>76</v>
      </c>
      <c r="B55" s="29">
        <v>0</v>
      </c>
      <c r="C55" s="30">
        <v>0</v>
      </c>
      <c r="D55" s="30">
        <v>0</v>
      </c>
      <c r="E55" s="30">
        <v>0</v>
      </c>
      <c r="F55" s="30">
        <v>0</v>
      </c>
      <c r="G55" s="31">
        <f>SUM(WV_FINANCIAL)</f>
        <v>0</v>
      </c>
      <c r="H55" s="30"/>
      <c r="I55" s="30"/>
      <c r="J55" s="30"/>
      <c r="K55" s="30"/>
      <c r="L55" s="29"/>
      <c r="M55" s="30"/>
      <c r="N55" s="30"/>
      <c r="O55" s="30"/>
      <c r="P55" s="30"/>
      <c r="Q55" s="30"/>
      <c r="R55" s="30"/>
      <c r="S55" s="30"/>
      <c r="T55" s="30"/>
      <c r="U55" s="30"/>
      <c r="V55" s="31"/>
    </row>
    <row r="56" spans="1:22">
      <c r="A56" s="1" t="s">
        <v>77</v>
      </c>
      <c r="B56" s="29">
        <v>0</v>
      </c>
      <c r="C56" s="30">
        <v>0</v>
      </c>
      <c r="D56" s="30">
        <v>0</v>
      </c>
      <c r="E56" s="30">
        <v>0</v>
      </c>
      <c r="F56" s="30">
        <v>0</v>
      </c>
      <c r="G56" s="31">
        <f>SUM(WI_FINANCIAL)</f>
        <v>0</v>
      </c>
      <c r="H56" s="30"/>
      <c r="I56" s="30"/>
      <c r="J56" s="30"/>
      <c r="K56" s="30"/>
      <c r="L56" s="29"/>
      <c r="M56" s="30"/>
      <c r="N56" s="30"/>
      <c r="O56" s="30"/>
      <c r="P56" s="30"/>
      <c r="Q56" s="30"/>
      <c r="R56" s="30"/>
      <c r="S56" s="30"/>
      <c r="T56" s="30"/>
      <c r="U56" s="30"/>
      <c r="V56" s="31"/>
    </row>
    <row r="57" spans="1:22">
      <c r="A57" s="1" t="s">
        <v>78</v>
      </c>
      <c r="B57" s="29">
        <v>0</v>
      </c>
      <c r="C57" s="30">
        <v>0</v>
      </c>
      <c r="D57" s="30">
        <v>0</v>
      </c>
      <c r="E57" s="30">
        <v>0</v>
      </c>
      <c r="F57" s="30">
        <v>0</v>
      </c>
      <c r="G57" s="31">
        <f>SUM(WY_FINANCIAL)</f>
        <v>0</v>
      </c>
      <c r="H57" s="30"/>
      <c r="I57" s="30"/>
      <c r="J57" s="30"/>
      <c r="K57" s="30"/>
      <c r="L57" s="29"/>
      <c r="M57" s="30"/>
      <c r="N57" s="30"/>
      <c r="O57" s="30"/>
      <c r="P57" s="30"/>
      <c r="Q57" s="30"/>
      <c r="R57" s="30"/>
      <c r="S57" s="30"/>
      <c r="T57" s="30"/>
      <c r="U57" s="30"/>
      <c r="V57" s="31"/>
    </row>
    <row r="58" spans="1:22">
      <c r="A58" s="1" t="s">
        <v>79</v>
      </c>
      <c r="B58" s="29">
        <v>0</v>
      </c>
      <c r="C58" s="30">
        <v>0</v>
      </c>
      <c r="D58" s="30">
        <v>0</v>
      </c>
      <c r="E58" s="30">
        <v>0</v>
      </c>
      <c r="F58" s="30">
        <v>0</v>
      </c>
      <c r="G58" s="31">
        <f>SUM(OT_FINANCIAL)</f>
        <v>0</v>
      </c>
      <c r="H58" s="30"/>
      <c r="I58" s="30"/>
      <c r="J58" s="30"/>
      <c r="K58" s="30"/>
      <c r="L58" s="29"/>
      <c r="M58" s="30"/>
      <c r="N58" s="30"/>
      <c r="O58" s="30"/>
      <c r="P58" s="30"/>
      <c r="Q58" s="30"/>
      <c r="R58" s="30"/>
      <c r="S58" s="30"/>
      <c r="T58" s="30"/>
      <c r="U58" s="30"/>
      <c r="V58" s="31"/>
    </row>
    <row r="59" spans="1:22">
      <c r="B59" s="29"/>
      <c r="C59" s="30"/>
      <c r="D59" s="30"/>
      <c r="E59" s="30"/>
      <c r="F59" s="30"/>
      <c r="G59" s="31"/>
      <c r="H59" s="30"/>
      <c r="I59" s="30"/>
      <c r="J59" s="30"/>
      <c r="K59" s="30"/>
      <c r="L59" s="29"/>
      <c r="M59" s="30"/>
      <c r="N59" s="30"/>
      <c r="O59" s="30"/>
      <c r="P59" s="30"/>
      <c r="Q59" s="30"/>
      <c r="R59" s="30"/>
      <c r="S59" s="30"/>
      <c r="T59" s="30"/>
      <c r="U59" s="30"/>
      <c r="V59" s="31"/>
    </row>
    <row r="60" spans="1:22">
      <c r="A60" s="1" t="s">
        <v>8</v>
      </c>
      <c r="B60" s="29">
        <f>SUM(LIFE)</f>
        <v>24484543.314213227</v>
      </c>
      <c r="C60" s="30">
        <f>SUM(ALLOCATED)</f>
        <v>0</v>
      </c>
      <c r="D60" s="30">
        <f>SUM(HEALTH)</f>
        <v>43681.769999998709</v>
      </c>
      <c r="E60" s="30">
        <f>SUM(UNALLOCATED)</f>
        <v>0</v>
      </c>
      <c r="F60" s="30">
        <f>SUM(LTC)</f>
        <v>0</v>
      </c>
      <c r="G60" s="31">
        <f>SUM(ALL_BLOCKS)</f>
        <v>24528225.084213227</v>
      </c>
      <c r="H60" s="30"/>
      <c r="I60" s="30"/>
      <c r="J60" s="30"/>
      <c r="K60" s="30"/>
      <c r="L60" s="29">
        <f>SUM(LIFE_CALLED)</f>
        <v>0</v>
      </c>
      <c r="M60" s="30">
        <f>SUM(LIFE_REFUNDED)</f>
        <v>0</v>
      </c>
      <c r="N60" s="30"/>
      <c r="O60" s="30">
        <f>SUM(ALLOC_CALLED)</f>
        <v>0</v>
      </c>
      <c r="P60" s="30">
        <f>SUM(ALLOC_REFUNDED)</f>
        <v>0</v>
      </c>
      <c r="Q60" s="30"/>
      <c r="R60" s="30">
        <f>SUM(HEALTH_CALLED)</f>
        <v>0</v>
      </c>
      <c r="S60" s="30">
        <f>SUM(HEALTH_REFUNDED)</f>
        <v>0</v>
      </c>
      <c r="T60" s="30"/>
      <c r="U60" s="30">
        <f>SUM(UNALLOC_CALLED)</f>
        <v>0</v>
      </c>
      <c r="V60" s="31">
        <f>SUM(UNALLOC_REFUNDED)</f>
        <v>0</v>
      </c>
    </row>
    <row r="61" spans="1:22" ht="5.0999999999999996" customHeight="1">
      <c r="B61" s="8"/>
      <c r="G61" s="11"/>
      <c r="L61" s="8"/>
      <c r="V61" s="11"/>
    </row>
    <row r="62" spans="1:22">
      <c r="B62" s="8"/>
      <c r="G62" s="11"/>
      <c r="L62" s="122" t="s">
        <v>80</v>
      </c>
      <c r="M62" s="123"/>
      <c r="N62" s="123"/>
      <c r="O62" s="123"/>
      <c r="P62" s="123"/>
      <c r="Q62" s="123"/>
      <c r="R62" s="123"/>
      <c r="S62" s="123"/>
      <c r="T62" s="123"/>
      <c r="U62" s="123"/>
      <c r="V62" s="124"/>
    </row>
    <row r="63" spans="1:22">
      <c r="B63" s="8"/>
      <c r="G63" s="11"/>
      <c r="L63" s="125"/>
      <c r="M63" s="123"/>
      <c r="N63" s="123"/>
      <c r="O63" s="123"/>
      <c r="P63" s="123"/>
      <c r="Q63" s="123"/>
      <c r="R63" s="123"/>
      <c r="S63" s="123"/>
      <c r="T63" s="123"/>
      <c r="U63" s="123"/>
      <c r="V63" s="124"/>
    </row>
    <row r="64" spans="1:22">
      <c r="B64" s="10"/>
      <c r="C64" s="7"/>
      <c r="D64" s="7"/>
      <c r="E64" s="7"/>
      <c r="F64" s="7"/>
      <c r="G64" s="13"/>
      <c r="L64" s="126"/>
      <c r="M64" s="127"/>
      <c r="N64" s="127"/>
      <c r="O64" s="127"/>
      <c r="P64" s="127"/>
      <c r="Q64" s="127"/>
      <c r="R64" s="127"/>
      <c r="S64" s="127"/>
      <c r="T64" s="127"/>
      <c r="U64" s="127"/>
      <c r="V64" s="128"/>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V64"/>
  <sheetViews>
    <sheetView zoomScale="75" workbookViewId="0">
      <selection sqref="A1:XFD1048576"/>
    </sheetView>
  </sheetViews>
  <sheetFormatPr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129" t="s">
        <v>94</v>
      </c>
      <c r="B1" s="123"/>
      <c r="C1" s="123"/>
      <c r="D1" s="123"/>
      <c r="E1" s="123"/>
      <c r="F1" s="123"/>
      <c r="G1" s="123"/>
    </row>
    <row r="3" spans="1:22">
      <c r="B3" s="130" t="s">
        <v>1</v>
      </c>
      <c r="C3" s="131"/>
      <c r="D3" s="131"/>
      <c r="E3" s="131"/>
      <c r="F3" s="131"/>
      <c r="G3" s="132"/>
      <c r="L3" s="133" t="s">
        <v>2</v>
      </c>
      <c r="M3" s="134"/>
      <c r="N3" s="134"/>
      <c r="O3" s="134"/>
      <c r="P3" s="134"/>
      <c r="Q3" s="134"/>
      <c r="R3" s="134"/>
      <c r="S3" s="134"/>
      <c r="T3" s="134"/>
      <c r="U3" s="134"/>
      <c r="V3" s="135"/>
    </row>
    <row r="4" spans="1:22">
      <c r="B4" s="8"/>
      <c r="G4" s="11"/>
      <c r="L4" s="136" t="s">
        <v>3</v>
      </c>
      <c r="M4" s="137"/>
      <c r="N4" s="4"/>
      <c r="O4" s="138" t="s">
        <v>4</v>
      </c>
      <c r="P4" s="137"/>
      <c r="Q4" s="4"/>
      <c r="R4" s="138" t="s">
        <v>5</v>
      </c>
      <c r="S4" s="137"/>
      <c r="T4" s="4"/>
      <c r="U4" s="138" t="s">
        <v>6</v>
      </c>
      <c r="V4" s="139"/>
    </row>
    <row r="5" spans="1:22" ht="60" customHeight="1">
      <c r="B5" s="9" t="s">
        <v>3</v>
      </c>
      <c r="C5" s="5" t="s">
        <v>4</v>
      </c>
      <c r="D5" s="5" t="s">
        <v>5</v>
      </c>
      <c r="E5" s="5" t="s">
        <v>6</v>
      </c>
      <c r="F5" s="5" t="s">
        <v>7</v>
      </c>
      <c r="G5" s="12" t="s">
        <v>8</v>
      </c>
      <c r="L5" s="15" t="s">
        <v>9</v>
      </c>
      <c r="M5" s="14" t="s">
        <v>10</v>
      </c>
      <c r="N5" s="14"/>
      <c r="O5" s="14" t="s">
        <v>9</v>
      </c>
      <c r="P5" s="14" t="s">
        <v>10</v>
      </c>
      <c r="Q5" s="14"/>
      <c r="R5" s="14" t="s">
        <v>9</v>
      </c>
      <c r="S5" s="14" t="s">
        <v>10</v>
      </c>
      <c r="T5" s="14"/>
      <c r="U5" s="14" t="s">
        <v>9</v>
      </c>
      <c r="V5" s="16" t="s">
        <v>10</v>
      </c>
    </row>
    <row r="6" spans="1:22">
      <c r="A6" s="1" t="s">
        <v>11</v>
      </c>
      <c r="B6" s="29">
        <v>0</v>
      </c>
      <c r="C6" s="30">
        <v>0</v>
      </c>
      <c r="D6" s="30">
        <v>3874.9445934012765</v>
      </c>
      <c r="E6" s="30">
        <v>0</v>
      </c>
      <c r="F6" s="30">
        <v>0</v>
      </c>
      <c r="G6" s="31">
        <f>SUM(AL_FINANCIAL)</f>
        <v>3874.9445934012765</v>
      </c>
      <c r="H6" s="30"/>
      <c r="I6" s="30"/>
      <c r="J6" s="30"/>
      <c r="K6" s="30"/>
      <c r="L6" s="29"/>
      <c r="M6" s="30"/>
      <c r="N6" s="30"/>
      <c r="O6" s="30"/>
      <c r="P6" s="30"/>
      <c r="Q6" s="30"/>
      <c r="R6" s="30"/>
      <c r="S6" s="30"/>
      <c r="T6" s="30"/>
      <c r="U6" s="30"/>
      <c r="V6" s="31"/>
    </row>
    <row r="7" spans="1:22">
      <c r="A7" s="1" t="s">
        <v>12</v>
      </c>
      <c r="B7" s="29">
        <v>0</v>
      </c>
      <c r="C7" s="30">
        <v>0</v>
      </c>
      <c r="D7" s="30">
        <v>-3166.1138870076393</v>
      </c>
      <c r="E7" s="30">
        <v>0</v>
      </c>
      <c r="F7" s="30">
        <v>0</v>
      </c>
      <c r="G7" s="31">
        <f>SUM(AK_FINANCIAL)</f>
        <v>-3166.1138870076393</v>
      </c>
      <c r="H7" s="30"/>
      <c r="I7" s="32"/>
      <c r="J7" s="33"/>
      <c r="K7" s="30"/>
      <c r="L7" s="29">
        <v>0</v>
      </c>
      <c r="M7" s="30">
        <v>0</v>
      </c>
      <c r="N7" s="30"/>
      <c r="O7" s="30">
        <v>0</v>
      </c>
      <c r="P7" s="30">
        <v>0</v>
      </c>
      <c r="Q7" s="30"/>
      <c r="R7" s="30">
        <v>25000</v>
      </c>
      <c r="S7" s="30">
        <v>20000</v>
      </c>
      <c r="T7" s="30"/>
      <c r="U7" s="30">
        <v>0</v>
      </c>
      <c r="V7" s="31">
        <v>0</v>
      </c>
    </row>
    <row r="8" spans="1:22">
      <c r="A8" s="1" t="s">
        <v>13</v>
      </c>
      <c r="B8" s="29">
        <v>0</v>
      </c>
      <c r="C8" s="30">
        <v>0</v>
      </c>
      <c r="D8" s="30">
        <v>55238.048798403004</v>
      </c>
      <c r="E8" s="30">
        <v>0</v>
      </c>
      <c r="F8" s="30">
        <v>0</v>
      </c>
      <c r="G8" s="31">
        <f>SUM(AZ_FINANCIAL)</f>
        <v>55238.048798403004</v>
      </c>
      <c r="H8" s="30"/>
      <c r="I8" s="34" t="s">
        <v>14</v>
      </c>
      <c r="J8" s="35"/>
      <c r="K8" s="30"/>
      <c r="L8" s="29">
        <v>0</v>
      </c>
      <c r="M8" s="30">
        <v>0</v>
      </c>
      <c r="N8" s="30"/>
      <c r="O8" s="30">
        <v>0</v>
      </c>
      <c r="P8" s="30">
        <v>0</v>
      </c>
      <c r="Q8" s="30"/>
      <c r="R8" s="30">
        <v>0</v>
      </c>
      <c r="S8" s="30">
        <v>0</v>
      </c>
      <c r="T8" s="30"/>
      <c r="U8" s="30">
        <v>0</v>
      </c>
      <c r="V8" s="31">
        <v>0</v>
      </c>
    </row>
    <row r="9" spans="1:22">
      <c r="A9" s="1" t="s">
        <v>15</v>
      </c>
      <c r="B9" s="29">
        <v>0</v>
      </c>
      <c r="C9" s="30">
        <v>0</v>
      </c>
      <c r="D9" s="30">
        <v>19304.551228166325</v>
      </c>
      <c r="E9" s="30">
        <v>0</v>
      </c>
      <c r="F9" s="30">
        <v>0</v>
      </c>
      <c r="G9" s="31">
        <f>SUM(AR_FINANCIAL)</f>
        <v>19304.551228166325</v>
      </c>
      <c r="H9" s="30"/>
      <c r="I9" s="34"/>
      <c r="J9" s="35"/>
      <c r="K9" s="30"/>
      <c r="L9" s="29">
        <v>0</v>
      </c>
      <c r="M9" s="30">
        <v>0</v>
      </c>
      <c r="N9" s="30"/>
      <c r="O9" s="30">
        <v>0</v>
      </c>
      <c r="P9" s="30">
        <v>0</v>
      </c>
      <c r="Q9" s="30"/>
      <c r="R9" s="30">
        <v>822261</v>
      </c>
      <c r="S9" s="30">
        <v>0</v>
      </c>
      <c r="T9" s="30"/>
      <c r="U9" s="30">
        <v>0</v>
      </c>
      <c r="V9" s="31">
        <v>0</v>
      </c>
    </row>
    <row r="10" spans="1:22">
      <c r="A10" s="1" t="s">
        <v>16</v>
      </c>
      <c r="B10" s="29">
        <v>0</v>
      </c>
      <c r="C10" s="30">
        <v>0</v>
      </c>
      <c r="D10" s="30">
        <v>568284.05454954412</v>
      </c>
      <c r="E10" s="30">
        <v>0</v>
      </c>
      <c r="F10" s="30">
        <v>0</v>
      </c>
      <c r="G10" s="31">
        <f>SUM(CA_FINANCIAL)</f>
        <v>568284.05454954412</v>
      </c>
      <c r="H10" s="30"/>
      <c r="I10" s="34" t="s">
        <v>17</v>
      </c>
      <c r="J10" s="35">
        <v>60742961.978204124</v>
      </c>
      <c r="K10" s="30"/>
      <c r="L10" s="29">
        <v>0</v>
      </c>
      <c r="M10" s="30">
        <v>0</v>
      </c>
      <c r="N10" s="30"/>
      <c r="O10" s="30">
        <v>0</v>
      </c>
      <c r="P10" s="30">
        <v>0</v>
      </c>
      <c r="Q10" s="30"/>
      <c r="R10" s="30">
        <v>4000000</v>
      </c>
      <c r="S10" s="30">
        <v>3125000</v>
      </c>
      <c r="T10" s="30"/>
      <c r="U10" s="30">
        <v>0</v>
      </c>
      <c r="V10" s="31">
        <v>0</v>
      </c>
    </row>
    <row r="11" spans="1:22">
      <c r="A11" s="1" t="s">
        <v>18</v>
      </c>
      <c r="B11" s="29">
        <v>0</v>
      </c>
      <c r="C11" s="30">
        <v>0</v>
      </c>
      <c r="D11" s="30">
        <v>4171.9436351596378</v>
      </c>
      <c r="E11" s="30">
        <v>0</v>
      </c>
      <c r="F11" s="30">
        <v>0</v>
      </c>
      <c r="G11" s="31">
        <f>SUM(CO_FINANCIAL)</f>
        <v>4171.9436351596378</v>
      </c>
      <c r="H11" s="30"/>
      <c r="I11" s="34"/>
      <c r="J11" s="35"/>
      <c r="K11" s="30"/>
      <c r="L11" s="29">
        <v>0</v>
      </c>
      <c r="M11" s="30">
        <v>0</v>
      </c>
      <c r="N11" s="30"/>
      <c r="O11" s="30">
        <v>0</v>
      </c>
      <c r="P11" s="30">
        <v>0</v>
      </c>
      <c r="Q11" s="30"/>
      <c r="R11" s="30">
        <v>768000</v>
      </c>
      <c r="S11" s="30">
        <v>777442</v>
      </c>
      <c r="T11" s="30"/>
      <c r="U11" s="30">
        <v>0</v>
      </c>
      <c r="V11" s="31">
        <v>0</v>
      </c>
    </row>
    <row r="12" spans="1:22">
      <c r="A12" s="1" t="s">
        <v>19</v>
      </c>
      <c r="B12" s="29">
        <v>0</v>
      </c>
      <c r="C12" s="30">
        <v>0</v>
      </c>
      <c r="D12" s="30">
        <v>-9352.1965238164557</v>
      </c>
      <c r="E12" s="30">
        <v>0</v>
      </c>
      <c r="F12" s="30">
        <v>0</v>
      </c>
      <c r="G12" s="31">
        <f>SUM(CT_FINANCIAL)</f>
        <v>-9352.1965238164557</v>
      </c>
      <c r="H12" s="30"/>
      <c r="I12" s="34" t="s">
        <v>20</v>
      </c>
      <c r="J12" s="35"/>
      <c r="K12" s="30"/>
      <c r="L12" s="29"/>
      <c r="M12" s="30"/>
      <c r="N12" s="30"/>
      <c r="O12" s="30"/>
      <c r="P12" s="30"/>
      <c r="Q12" s="30"/>
      <c r="R12" s="30"/>
      <c r="S12" s="30"/>
      <c r="T12" s="30"/>
      <c r="U12" s="30"/>
      <c r="V12" s="31"/>
    </row>
    <row r="13" spans="1:22">
      <c r="A13" s="1" t="s">
        <v>21</v>
      </c>
      <c r="B13" s="29">
        <v>0</v>
      </c>
      <c r="C13" s="30">
        <v>0</v>
      </c>
      <c r="D13" s="30">
        <v>-78220.837883310975</v>
      </c>
      <c r="E13" s="30">
        <v>0</v>
      </c>
      <c r="F13" s="30">
        <v>0</v>
      </c>
      <c r="G13" s="31">
        <f>SUM(DE_FINANCIAL)</f>
        <v>-78220.837883310975</v>
      </c>
      <c r="H13" s="30"/>
      <c r="I13" s="34" t="s">
        <v>22</v>
      </c>
      <c r="J13" s="35">
        <v>41580577.440000005</v>
      </c>
      <c r="K13" s="30"/>
      <c r="L13" s="29">
        <v>0</v>
      </c>
      <c r="M13" s="30">
        <v>0</v>
      </c>
      <c r="N13" s="30"/>
      <c r="O13" s="30">
        <v>0</v>
      </c>
      <c r="P13" s="30">
        <v>0</v>
      </c>
      <c r="Q13" s="30"/>
      <c r="R13" s="30">
        <v>375000</v>
      </c>
      <c r="S13" s="30">
        <v>0</v>
      </c>
      <c r="T13" s="30"/>
      <c r="U13" s="30">
        <v>0</v>
      </c>
      <c r="V13" s="31">
        <v>0</v>
      </c>
    </row>
    <row r="14" spans="1:22">
      <c r="A14" s="1" t="s">
        <v>23</v>
      </c>
      <c r="B14" s="29">
        <v>0</v>
      </c>
      <c r="C14" s="30">
        <v>0</v>
      </c>
      <c r="D14" s="30">
        <v>-8620.9350126974732</v>
      </c>
      <c r="E14" s="30">
        <v>0</v>
      </c>
      <c r="F14" s="30">
        <v>0</v>
      </c>
      <c r="G14" s="31">
        <f>SUM(DC_FINANCIAL)</f>
        <v>-8620.9350126974732</v>
      </c>
      <c r="H14" s="30"/>
      <c r="I14" s="34" t="s">
        <v>24</v>
      </c>
      <c r="J14" s="35">
        <v>3742009.03</v>
      </c>
      <c r="K14" s="30"/>
      <c r="L14" s="29"/>
      <c r="M14" s="30"/>
      <c r="N14" s="30"/>
      <c r="O14" s="30"/>
      <c r="P14" s="30"/>
      <c r="Q14" s="30"/>
      <c r="R14" s="30"/>
      <c r="S14" s="30"/>
      <c r="T14" s="30"/>
      <c r="U14" s="30"/>
      <c r="V14" s="31"/>
    </row>
    <row r="15" spans="1:22">
      <c r="A15" s="1" t="s">
        <v>25</v>
      </c>
      <c r="B15" s="29">
        <v>0</v>
      </c>
      <c r="C15" s="30">
        <v>0</v>
      </c>
      <c r="D15" s="30">
        <v>237851.78580260929</v>
      </c>
      <c r="E15" s="30">
        <v>0</v>
      </c>
      <c r="F15" s="30">
        <v>0</v>
      </c>
      <c r="G15" s="31">
        <f>SUM(FL_FINANCIAL)</f>
        <v>237851.78580260929</v>
      </c>
      <c r="H15" s="30"/>
      <c r="I15" s="34" t="s">
        <v>26</v>
      </c>
      <c r="J15" s="35">
        <v>2499316.1999999997</v>
      </c>
      <c r="K15" s="30"/>
      <c r="L15" s="29"/>
      <c r="M15" s="30"/>
      <c r="N15" s="30"/>
      <c r="O15" s="30"/>
      <c r="P15" s="30"/>
      <c r="Q15" s="30"/>
      <c r="R15" s="30"/>
      <c r="S15" s="30"/>
      <c r="T15" s="30"/>
      <c r="U15" s="30"/>
      <c r="V15" s="31"/>
    </row>
    <row r="16" spans="1:22">
      <c r="A16" s="1" t="s">
        <v>27</v>
      </c>
      <c r="B16" s="29">
        <v>0</v>
      </c>
      <c r="C16" s="30">
        <v>0</v>
      </c>
      <c r="D16" s="30">
        <v>-169823.37518123584</v>
      </c>
      <c r="E16" s="30">
        <v>0</v>
      </c>
      <c r="F16" s="30">
        <v>0</v>
      </c>
      <c r="G16" s="31">
        <f>SUM(GA_FINANCIAL)</f>
        <v>-169823.37518123584</v>
      </c>
      <c r="H16" s="30"/>
      <c r="I16" s="34" t="s">
        <v>28</v>
      </c>
      <c r="J16" s="35">
        <v>0</v>
      </c>
      <c r="K16" s="30"/>
      <c r="L16" s="29"/>
      <c r="M16" s="30"/>
      <c r="N16" s="30"/>
      <c r="O16" s="30"/>
      <c r="P16" s="30"/>
      <c r="Q16" s="30"/>
      <c r="R16" s="30"/>
      <c r="S16" s="30"/>
      <c r="T16" s="30"/>
      <c r="U16" s="30"/>
      <c r="V16" s="31"/>
    </row>
    <row r="17" spans="1:22">
      <c r="A17" s="1" t="s">
        <v>29</v>
      </c>
      <c r="B17" s="29">
        <v>0</v>
      </c>
      <c r="C17" s="30">
        <v>0</v>
      </c>
      <c r="D17" s="30">
        <v>-88980.786807353637</v>
      </c>
      <c r="E17" s="30">
        <v>0</v>
      </c>
      <c r="F17" s="30">
        <v>0</v>
      </c>
      <c r="G17" s="31">
        <f>SUM(HI_FINANCIAL)</f>
        <v>-88980.786807353637</v>
      </c>
      <c r="H17" s="30"/>
      <c r="I17" s="34"/>
      <c r="J17" s="35"/>
      <c r="K17" s="30"/>
      <c r="L17" s="29"/>
      <c r="M17" s="30"/>
      <c r="N17" s="30"/>
      <c r="O17" s="30"/>
      <c r="P17" s="30"/>
      <c r="Q17" s="30"/>
      <c r="R17" s="30"/>
      <c r="S17" s="30"/>
      <c r="T17" s="30"/>
      <c r="U17" s="30"/>
      <c r="V17" s="31"/>
    </row>
    <row r="18" spans="1:22">
      <c r="A18" s="1" t="s">
        <v>30</v>
      </c>
      <c r="B18" s="29">
        <v>0</v>
      </c>
      <c r="C18" s="30">
        <v>0</v>
      </c>
      <c r="D18" s="30">
        <v>-17215.527643896865</v>
      </c>
      <c r="E18" s="30">
        <v>0</v>
      </c>
      <c r="F18" s="30">
        <v>0</v>
      </c>
      <c r="G18" s="31">
        <f>SUM(ID_FINANCIAL)</f>
        <v>-17215.527643896865</v>
      </c>
      <c r="H18" s="30"/>
      <c r="I18" s="34" t="s">
        <v>31</v>
      </c>
      <c r="J18" s="35"/>
      <c r="K18" s="30"/>
      <c r="L18" s="29"/>
      <c r="M18" s="30"/>
      <c r="N18" s="30"/>
      <c r="O18" s="30"/>
      <c r="P18" s="30"/>
      <c r="Q18" s="30"/>
      <c r="R18" s="30"/>
      <c r="S18" s="30"/>
      <c r="T18" s="30"/>
      <c r="U18" s="30"/>
      <c r="V18" s="31"/>
    </row>
    <row r="19" spans="1:22">
      <c r="A19" s="1" t="s">
        <v>32</v>
      </c>
      <c r="B19" s="29">
        <v>0</v>
      </c>
      <c r="C19" s="30">
        <v>0</v>
      </c>
      <c r="D19" s="30">
        <v>-200180.71585663455</v>
      </c>
      <c r="E19" s="30">
        <v>0</v>
      </c>
      <c r="F19" s="30">
        <v>0</v>
      </c>
      <c r="G19" s="31">
        <f>SUM(IL_FINANCIAL)</f>
        <v>-200180.71585663455</v>
      </c>
      <c r="H19" s="30"/>
      <c r="I19" s="34" t="s">
        <v>33</v>
      </c>
      <c r="J19" s="35">
        <v>19253402.569149315</v>
      </c>
      <c r="K19" s="30"/>
      <c r="L19" s="29">
        <v>500000</v>
      </c>
      <c r="M19" s="30">
        <v>600000</v>
      </c>
      <c r="N19" s="30"/>
      <c r="O19" s="30">
        <v>100000</v>
      </c>
      <c r="P19" s="30">
        <v>50000</v>
      </c>
      <c r="Q19" s="30"/>
      <c r="R19" s="30">
        <v>4000000</v>
      </c>
      <c r="S19" s="30">
        <v>4350000</v>
      </c>
      <c r="T19" s="30"/>
      <c r="U19" s="30">
        <v>0</v>
      </c>
      <c r="V19" s="31">
        <v>0</v>
      </c>
    </row>
    <row r="20" spans="1:22">
      <c r="A20" s="1" t="s">
        <v>34</v>
      </c>
      <c r="B20" s="29">
        <v>0</v>
      </c>
      <c r="C20" s="30">
        <v>0</v>
      </c>
      <c r="D20" s="30">
        <v>-81617.468767016195</v>
      </c>
      <c r="E20" s="30">
        <v>0</v>
      </c>
      <c r="F20" s="30">
        <v>0</v>
      </c>
      <c r="G20" s="31">
        <f>SUM(IN_FINANCIAL)</f>
        <v>-81617.468767016195</v>
      </c>
      <c r="H20" s="30"/>
      <c r="I20" s="34" t="s">
        <v>35</v>
      </c>
      <c r="J20" s="35">
        <v>41580577.440000005</v>
      </c>
      <c r="K20" s="30"/>
      <c r="L20" s="29">
        <v>0</v>
      </c>
      <c r="M20" s="30">
        <v>0</v>
      </c>
      <c r="N20" s="30"/>
      <c r="O20" s="30">
        <v>0</v>
      </c>
      <c r="P20" s="30">
        <v>0</v>
      </c>
      <c r="Q20" s="30"/>
      <c r="R20" s="30">
        <v>1899405</v>
      </c>
      <c r="S20" s="30">
        <v>0</v>
      </c>
      <c r="T20" s="30"/>
      <c r="U20" s="30">
        <v>0</v>
      </c>
      <c r="V20" s="31">
        <v>0</v>
      </c>
    </row>
    <row r="21" spans="1:22">
      <c r="A21" s="1" t="s">
        <v>36</v>
      </c>
      <c r="B21" s="29">
        <v>0</v>
      </c>
      <c r="C21" s="30">
        <v>0</v>
      </c>
      <c r="D21" s="30">
        <v>-33887.072379988938</v>
      </c>
      <c r="E21" s="30">
        <v>0</v>
      </c>
      <c r="F21" s="30">
        <v>0</v>
      </c>
      <c r="G21" s="31">
        <f>SUM(IA_FINANCIAL)</f>
        <v>-33887.072379988938</v>
      </c>
      <c r="H21" s="30"/>
      <c r="I21" s="34" t="s">
        <v>37</v>
      </c>
      <c r="J21" s="35"/>
      <c r="K21" s="30"/>
      <c r="L21" s="29"/>
      <c r="M21" s="30"/>
      <c r="N21" s="30"/>
      <c r="O21" s="30"/>
      <c r="P21" s="30"/>
      <c r="Q21" s="30"/>
      <c r="R21" s="30"/>
      <c r="S21" s="30"/>
      <c r="T21" s="30"/>
      <c r="U21" s="30"/>
      <c r="V21" s="31"/>
    </row>
    <row r="22" spans="1:22">
      <c r="A22" s="1" t="s">
        <v>38</v>
      </c>
      <c r="B22" s="29">
        <v>0</v>
      </c>
      <c r="C22" s="30">
        <v>0</v>
      </c>
      <c r="D22" s="30">
        <v>300577.7467150609</v>
      </c>
      <c r="E22" s="30">
        <v>0</v>
      </c>
      <c r="F22" s="30">
        <v>0</v>
      </c>
      <c r="G22" s="31">
        <f>SUM(KS_FINANCIAL)</f>
        <v>300577.7467150609</v>
      </c>
      <c r="H22" s="30"/>
      <c r="I22" s="34" t="s">
        <v>39</v>
      </c>
      <c r="J22" s="35">
        <v>0</v>
      </c>
      <c r="K22" s="30"/>
      <c r="L22" s="29"/>
      <c r="M22" s="30"/>
      <c r="N22" s="30"/>
      <c r="O22" s="30"/>
      <c r="P22" s="30"/>
      <c r="Q22" s="30"/>
      <c r="R22" s="30"/>
      <c r="S22" s="30"/>
      <c r="T22" s="30"/>
      <c r="U22" s="30"/>
      <c r="V22" s="31"/>
    </row>
    <row r="23" spans="1:22">
      <c r="A23" s="1" t="s">
        <v>40</v>
      </c>
      <c r="B23" s="29">
        <v>0</v>
      </c>
      <c r="C23" s="30">
        <v>0</v>
      </c>
      <c r="D23" s="30">
        <v>18668.675945510331</v>
      </c>
      <c r="E23" s="30">
        <v>0</v>
      </c>
      <c r="F23" s="30">
        <v>0</v>
      </c>
      <c r="G23" s="31">
        <f>SUM(KY_FINANCIAL)</f>
        <v>18668.675945510331</v>
      </c>
      <c r="H23" s="30"/>
      <c r="I23" s="34" t="s">
        <v>41</v>
      </c>
      <c r="J23" s="35"/>
      <c r="K23" s="30"/>
      <c r="L23" s="29"/>
      <c r="M23" s="30"/>
      <c r="N23" s="30"/>
      <c r="O23" s="30"/>
      <c r="P23" s="30"/>
      <c r="Q23" s="30"/>
      <c r="R23" s="30"/>
      <c r="S23" s="30"/>
      <c r="T23" s="30"/>
      <c r="U23" s="30"/>
      <c r="V23" s="31"/>
    </row>
    <row r="24" spans="1:22">
      <c r="A24" s="1" t="s">
        <v>42</v>
      </c>
      <c r="B24" s="29">
        <v>0</v>
      </c>
      <c r="C24" s="30">
        <v>0</v>
      </c>
      <c r="D24" s="30">
        <v>-61397.366331062745</v>
      </c>
      <c r="E24" s="30">
        <v>0</v>
      </c>
      <c r="F24" s="30">
        <v>0</v>
      </c>
      <c r="G24" s="31">
        <f>SUM(LA_FINANCIAL)</f>
        <v>-61397.366331062745</v>
      </c>
      <c r="H24" s="30"/>
      <c r="I24" s="34" t="s">
        <v>43</v>
      </c>
      <c r="J24" s="35">
        <v>47911525.687784433</v>
      </c>
      <c r="K24" s="30"/>
      <c r="L24" s="29">
        <v>8479</v>
      </c>
      <c r="M24" s="30">
        <v>0</v>
      </c>
      <c r="N24" s="30"/>
      <c r="O24" s="30">
        <v>0</v>
      </c>
      <c r="P24" s="30">
        <v>0</v>
      </c>
      <c r="Q24" s="30"/>
      <c r="R24" s="30">
        <v>893521</v>
      </c>
      <c r="S24" s="30">
        <v>0</v>
      </c>
      <c r="T24" s="30"/>
      <c r="U24" s="30">
        <v>0</v>
      </c>
      <c r="V24" s="31">
        <v>0</v>
      </c>
    </row>
    <row r="25" spans="1:22">
      <c r="A25" s="1" t="s">
        <v>44</v>
      </c>
      <c r="B25" s="29">
        <v>0</v>
      </c>
      <c r="C25" s="30">
        <v>0</v>
      </c>
      <c r="D25" s="30">
        <v>-6398.9049238634225</v>
      </c>
      <c r="E25" s="30">
        <v>0</v>
      </c>
      <c r="F25" s="30">
        <v>0</v>
      </c>
      <c r="G25" s="31">
        <f>SUM(ME_FINANCIAL)</f>
        <v>-6398.9049238634225</v>
      </c>
      <c r="H25" s="30"/>
      <c r="I25" s="34"/>
      <c r="J25" s="35"/>
      <c r="K25" s="30"/>
      <c r="L25" s="29"/>
      <c r="M25" s="30"/>
      <c r="N25" s="30"/>
      <c r="O25" s="30"/>
      <c r="P25" s="30"/>
      <c r="Q25" s="30"/>
      <c r="R25" s="30"/>
      <c r="S25" s="30"/>
      <c r="T25" s="30"/>
      <c r="U25" s="30"/>
      <c r="V25" s="31"/>
    </row>
    <row r="26" spans="1:22">
      <c r="A26" s="1" t="s">
        <v>45</v>
      </c>
      <c r="B26" s="29">
        <v>0</v>
      </c>
      <c r="C26" s="30">
        <v>0</v>
      </c>
      <c r="D26" s="30">
        <v>-1009.7255070811152</v>
      </c>
      <c r="E26" s="30">
        <v>0</v>
      </c>
      <c r="F26" s="30">
        <v>0</v>
      </c>
      <c r="G26" s="31">
        <f>SUM(MD_FINANCIAL)</f>
        <v>-1009.7255070811152</v>
      </c>
      <c r="H26" s="30"/>
      <c r="I26" s="34" t="s">
        <v>46</v>
      </c>
      <c r="J26" s="35">
        <f>SUM(ADD_FINANCIAL)-SUM(LESS_FINANCIAL)</f>
        <v>-180641.04872961342</v>
      </c>
      <c r="K26" s="30"/>
      <c r="L26" s="29"/>
      <c r="M26" s="30"/>
      <c r="N26" s="30"/>
      <c r="O26" s="30"/>
      <c r="P26" s="30"/>
      <c r="Q26" s="30"/>
      <c r="R26" s="30"/>
      <c r="S26" s="30"/>
      <c r="T26" s="30"/>
      <c r="U26" s="30"/>
      <c r="V26" s="31"/>
    </row>
    <row r="27" spans="1:22">
      <c r="A27" s="1" t="s">
        <v>47</v>
      </c>
      <c r="B27" s="29">
        <v>0</v>
      </c>
      <c r="C27" s="30">
        <v>0</v>
      </c>
      <c r="D27" s="30">
        <v>6300.6936214035959</v>
      </c>
      <c r="E27" s="30">
        <v>0</v>
      </c>
      <c r="F27" s="30">
        <v>0</v>
      </c>
      <c r="G27" s="31">
        <f>SUM(MA_FINANCIAL)</f>
        <v>6300.6936214035959</v>
      </c>
      <c r="H27" s="30"/>
      <c r="I27" s="34" t="s">
        <v>48</v>
      </c>
      <c r="J27" s="35">
        <f>SUM(ALL_BLOCKS)</f>
        <v>-180641.04872965094</v>
      </c>
      <c r="K27" s="30"/>
      <c r="L27" s="29"/>
      <c r="M27" s="30"/>
      <c r="N27" s="30"/>
      <c r="O27" s="30"/>
      <c r="P27" s="30"/>
      <c r="Q27" s="30"/>
      <c r="R27" s="30"/>
      <c r="S27" s="30"/>
      <c r="T27" s="30"/>
      <c r="U27" s="30"/>
      <c r="V27" s="31"/>
    </row>
    <row r="28" spans="1:22">
      <c r="A28" s="1" t="s">
        <v>49</v>
      </c>
      <c r="B28" s="29">
        <v>10961</v>
      </c>
      <c r="C28" s="30">
        <v>0</v>
      </c>
      <c r="D28" s="30">
        <v>-265205.13900687784</v>
      </c>
      <c r="E28" s="30">
        <v>0</v>
      </c>
      <c r="F28" s="30">
        <v>0</v>
      </c>
      <c r="G28" s="31">
        <f>SUM(MI_FINANCIAL)</f>
        <v>-254244.13900687784</v>
      </c>
      <c r="H28" s="30"/>
      <c r="I28" s="36"/>
      <c r="J28" s="37"/>
      <c r="K28" s="30"/>
      <c r="L28" s="29"/>
      <c r="M28" s="30"/>
      <c r="N28" s="30"/>
      <c r="O28" s="30"/>
      <c r="P28" s="30"/>
      <c r="Q28" s="30"/>
      <c r="R28" s="30"/>
      <c r="S28" s="30"/>
      <c r="T28" s="30"/>
      <c r="U28" s="30"/>
      <c r="V28" s="31"/>
    </row>
    <row r="29" spans="1:22">
      <c r="A29" s="1" t="s">
        <v>50</v>
      </c>
      <c r="B29" s="29">
        <v>0</v>
      </c>
      <c r="C29" s="30">
        <v>0</v>
      </c>
      <c r="D29" s="30">
        <v>-27620.434546913762</v>
      </c>
      <c r="E29" s="30">
        <v>0</v>
      </c>
      <c r="F29" s="30">
        <v>0</v>
      </c>
      <c r="G29" s="31">
        <f>SUM(MN_FINANCIAL)</f>
        <v>-27620.434546913762</v>
      </c>
      <c r="H29" s="30"/>
      <c r="I29" s="30"/>
      <c r="J29" s="30"/>
      <c r="K29" s="30"/>
      <c r="L29" s="29">
        <v>0</v>
      </c>
      <c r="M29" s="30">
        <v>0</v>
      </c>
      <c r="N29" s="30"/>
      <c r="O29" s="30">
        <v>0</v>
      </c>
      <c r="P29" s="30">
        <v>0</v>
      </c>
      <c r="Q29" s="30"/>
      <c r="R29" s="30">
        <v>300000</v>
      </c>
      <c r="S29" s="30">
        <v>0</v>
      </c>
      <c r="T29" s="30"/>
      <c r="U29" s="30">
        <v>0</v>
      </c>
      <c r="V29" s="31">
        <v>0</v>
      </c>
    </row>
    <row r="30" spans="1:22">
      <c r="A30" s="1" t="s">
        <v>51</v>
      </c>
      <c r="B30" s="29">
        <v>0</v>
      </c>
      <c r="C30" s="30">
        <v>0</v>
      </c>
      <c r="D30" s="30">
        <v>38456.264529145905</v>
      </c>
      <c r="E30" s="30">
        <v>0</v>
      </c>
      <c r="F30" s="30">
        <v>0</v>
      </c>
      <c r="G30" s="31">
        <f>SUM(MS_FINANCIAL)</f>
        <v>38456.264529145905</v>
      </c>
      <c r="H30" s="30"/>
      <c r="I30" s="30"/>
      <c r="J30" s="30"/>
      <c r="K30" s="30"/>
      <c r="L30" s="29"/>
      <c r="M30" s="30"/>
      <c r="N30" s="30"/>
      <c r="O30" s="30"/>
      <c r="P30" s="30"/>
      <c r="Q30" s="30"/>
      <c r="R30" s="30"/>
      <c r="S30" s="30"/>
      <c r="T30" s="30"/>
      <c r="U30" s="30"/>
      <c r="V30" s="31"/>
    </row>
    <row r="31" spans="1:22">
      <c r="A31" s="1" t="s">
        <v>52</v>
      </c>
      <c r="B31" s="29">
        <v>0</v>
      </c>
      <c r="C31" s="30">
        <v>0</v>
      </c>
      <c r="D31" s="30">
        <v>33611.529028830701</v>
      </c>
      <c r="E31" s="30">
        <v>0</v>
      </c>
      <c r="F31" s="30">
        <v>0</v>
      </c>
      <c r="G31" s="31">
        <f>SUM(MO_FINANCIAL)</f>
        <v>33611.529028830701</v>
      </c>
      <c r="H31" s="30"/>
      <c r="I31" s="30"/>
      <c r="J31" s="30"/>
      <c r="K31" s="30"/>
      <c r="L31" s="29"/>
      <c r="M31" s="30"/>
      <c r="N31" s="30"/>
      <c r="O31" s="30"/>
      <c r="P31" s="30"/>
      <c r="Q31" s="30"/>
      <c r="R31" s="30"/>
      <c r="S31" s="30"/>
      <c r="T31" s="30"/>
      <c r="U31" s="30"/>
      <c r="V31" s="31"/>
    </row>
    <row r="32" spans="1:22">
      <c r="A32" s="1" t="s">
        <v>53</v>
      </c>
      <c r="B32" s="29">
        <v>0</v>
      </c>
      <c r="C32" s="30">
        <v>0</v>
      </c>
      <c r="D32" s="30">
        <v>-10628.114116534009</v>
      </c>
      <c r="E32" s="30">
        <v>0</v>
      </c>
      <c r="F32" s="30">
        <v>0</v>
      </c>
      <c r="G32" s="31">
        <f>SUM(MT_FINANCIAL)</f>
        <v>-10628.114116534009</v>
      </c>
      <c r="H32" s="30"/>
      <c r="I32" s="30"/>
      <c r="J32" s="30"/>
      <c r="K32" s="30"/>
      <c r="L32" s="29">
        <v>0</v>
      </c>
      <c r="M32" s="30">
        <v>0</v>
      </c>
      <c r="N32" s="30"/>
      <c r="O32" s="30">
        <v>0</v>
      </c>
      <c r="P32" s="30">
        <v>0</v>
      </c>
      <c r="Q32" s="30"/>
      <c r="R32" s="30">
        <v>120000</v>
      </c>
      <c r="S32" s="30">
        <v>0</v>
      </c>
      <c r="T32" s="30"/>
      <c r="U32" s="30">
        <v>0</v>
      </c>
      <c r="V32" s="31">
        <v>0</v>
      </c>
    </row>
    <row r="33" spans="1:22">
      <c r="A33" s="1" t="s">
        <v>54</v>
      </c>
      <c r="B33" s="29">
        <v>0</v>
      </c>
      <c r="C33" s="30">
        <v>0</v>
      </c>
      <c r="D33" s="30">
        <v>-15623.362177608295</v>
      </c>
      <c r="E33" s="30">
        <v>0</v>
      </c>
      <c r="F33" s="30">
        <v>0</v>
      </c>
      <c r="G33" s="31">
        <f>SUM(NE_FINANCIAL)</f>
        <v>-15623.362177608295</v>
      </c>
      <c r="H33" s="30"/>
      <c r="I33" s="30"/>
      <c r="J33" s="30"/>
      <c r="K33" s="30"/>
      <c r="L33" s="29"/>
      <c r="M33" s="30"/>
      <c r="N33" s="30"/>
      <c r="O33" s="30"/>
      <c r="P33" s="30"/>
      <c r="Q33" s="30"/>
      <c r="R33" s="30"/>
      <c r="S33" s="30"/>
      <c r="T33" s="30"/>
      <c r="U33" s="30"/>
      <c r="V33" s="31"/>
    </row>
    <row r="34" spans="1:22">
      <c r="A34" s="1" t="s">
        <v>55</v>
      </c>
      <c r="B34" s="29">
        <v>0</v>
      </c>
      <c r="C34" s="30">
        <v>0</v>
      </c>
      <c r="D34" s="30">
        <v>14589.027110384894</v>
      </c>
      <c r="E34" s="30">
        <v>0</v>
      </c>
      <c r="F34" s="30">
        <v>0</v>
      </c>
      <c r="G34" s="31">
        <f>SUM(NV_FINANCIAL)</f>
        <v>14589.027110384894</v>
      </c>
      <c r="H34" s="30"/>
      <c r="I34" s="30"/>
      <c r="J34" s="30"/>
      <c r="K34" s="30"/>
      <c r="L34" s="29">
        <v>0</v>
      </c>
      <c r="M34" s="30">
        <v>0</v>
      </c>
      <c r="N34" s="30"/>
      <c r="O34" s="30">
        <v>0</v>
      </c>
      <c r="P34" s="30">
        <v>0</v>
      </c>
      <c r="Q34" s="30"/>
      <c r="R34" s="30">
        <v>759000</v>
      </c>
      <c r="S34" s="30">
        <v>0</v>
      </c>
      <c r="T34" s="30"/>
      <c r="U34" s="30">
        <v>0</v>
      </c>
      <c r="V34" s="31">
        <v>0</v>
      </c>
    </row>
    <row r="35" spans="1:22">
      <c r="A35" s="1" t="s">
        <v>56</v>
      </c>
      <c r="B35" s="29">
        <v>0</v>
      </c>
      <c r="C35" s="30">
        <v>0</v>
      </c>
      <c r="D35" s="30">
        <v>-6041.26163744925</v>
      </c>
      <c r="E35" s="30">
        <v>0</v>
      </c>
      <c r="F35" s="30">
        <v>0</v>
      </c>
      <c r="G35" s="31">
        <f>SUM(NH_FINANCIAL)</f>
        <v>-6041.26163744925</v>
      </c>
      <c r="H35" s="30"/>
      <c r="I35" s="30"/>
      <c r="J35" s="30"/>
      <c r="K35" s="30"/>
      <c r="L35" s="29"/>
      <c r="M35" s="30"/>
      <c r="N35" s="30"/>
      <c r="O35" s="30"/>
      <c r="P35" s="30"/>
      <c r="Q35" s="30"/>
      <c r="R35" s="30"/>
      <c r="S35" s="30"/>
      <c r="T35" s="30"/>
      <c r="U35" s="30"/>
      <c r="V35" s="31"/>
    </row>
    <row r="36" spans="1:22">
      <c r="A36" s="1" t="s">
        <v>57</v>
      </c>
      <c r="B36" s="29">
        <v>0</v>
      </c>
      <c r="C36" s="30">
        <v>0</v>
      </c>
      <c r="D36" s="30">
        <v>-51625.752553811762</v>
      </c>
      <c r="E36" s="30">
        <v>0</v>
      </c>
      <c r="F36" s="30">
        <v>0</v>
      </c>
      <c r="G36" s="31">
        <f>SUM(NJ_FINANCIAL)</f>
        <v>-51625.752553811762</v>
      </c>
      <c r="H36" s="30"/>
      <c r="I36" s="30"/>
      <c r="J36" s="30"/>
      <c r="K36" s="30"/>
      <c r="L36" s="29">
        <v>0</v>
      </c>
      <c r="M36" s="30">
        <v>0</v>
      </c>
      <c r="N36" s="30"/>
      <c r="O36" s="30">
        <v>0</v>
      </c>
      <c r="P36" s="30">
        <v>0</v>
      </c>
      <c r="Q36" s="30"/>
      <c r="R36" s="30">
        <v>75000</v>
      </c>
      <c r="S36" s="30">
        <v>0</v>
      </c>
      <c r="T36" s="30"/>
      <c r="U36" s="30">
        <v>0</v>
      </c>
      <c r="V36" s="31">
        <v>0</v>
      </c>
    </row>
    <row r="37" spans="1:22">
      <c r="A37" s="1" t="s">
        <v>58</v>
      </c>
      <c r="B37" s="29">
        <v>0</v>
      </c>
      <c r="C37" s="30">
        <v>0</v>
      </c>
      <c r="D37" s="30">
        <v>-110124.61545875872</v>
      </c>
      <c r="E37" s="30">
        <v>0</v>
      </c>
      <c r="F37" s="30">
        <v>0</v>
      </c>
      <c r="G37" s="31">
        <f>SUM(NM_FINANCIAL)</f>
        <v>-110124.61545875872</v>
      </c>
      <c r="H37" s="30"/>
      <c r="I37" s="30"/>
      <c r="J37" s="30"/>
      <c r="K37" s="30"/>
      <c r="L37" s="29"/>
      <c r="M37" s="30"/>
      <c r="N37" s="30"/>
      <c r="O37" s="30"/>
      <c r="P37" s="30"/>
      <c r="Q37" s="30"/>
      <c r="R37" s="30"/>
      <c r="S37" s="30"/>
      <c r="T37" s="30"/>
      <c r="U37" s="30"/>
      <c r="V37" s="31"/>
    </row>
    <row r="38" spans="1:22">
      <c r="A38" s="1" t="s">
        <v>59</v>
      </c>
      <c r="B38" s="29">
        <v>0</v>
      </c>
      <c r="C38" s="30">
        <v>0</v>
      </c>
      <c r="D38" s="30">
        <v>-148294.45468900117</v>
      </c>
      <c r="E38" s="30">
        <v>0</v>
      </c>
      <c r="F38" s="30">
        <v>0</v>
      </c>
      <c r="G38" s="31">
        <f>SUM(NY_FINANCIAL)</f>
        <v>-148294.45468900117</v>
      </c>
      <c r="H38" s="30"/>
      <c r="I38" s="30"/>
      <c r="J38" s="30"/>
      <c r="K38" s="30"/>
      <c r="L38" s="29"/>
      <c r="M38" s="30"/>
      <c r="N38" s="30"/>
      <c r="O38" s="30"/>
      <c r="P38" s="30"/>
      <c r="Q38" s="30"/>
      <c r="R38" s="30"/>
      <c r="S38" s="30"/>
      <c r="T38" s="30"/>
      <c r="U38" s="30"/>
      <c r="V38" s="31"/>
    </row>
    <row r="39" spans="1:22">
      <c r="A39" s="1" t="s">
        <v>60</v>
      </c>
      <c r="B39" s="29">
        <v>0</v>
      </c>
      <c r="C39" s="30">
        <v>0</v>
      </c>
      <c r="D39" s="30">
        <v>44794.752755964641</v>
      </c>
      <c r="E39" s="30">
        <v>0</v>
      </c>
      <c r="F39" s="30">
        <v>0</v>
      </c>
      <c r="G39" s="31">
        <f>SUM(NC_FINANCIAL)</f>
        <v>44794.752755964641</v>
      </c>
      <c r="H39" s="30"/>
      <c r="I39" s="30"/>
      <c r="J39" s="30"/>
      <c r="K39" s="30"/>
      <c r="L39" s="29">
        <v>190000</v>
      </c>
      <c r="M39" s="30">
        <v>0</v>
      </c>
      <c r="N39" s="30"/>
      <c r="O39" s="30">
        <v>0</v>
      </c>
      <c r="P39" s="30">
        <v>0</v>
      </c>
      <c r="Q39" s="30"/>
      <c r="R39" s="30">
        <v>310000</v>
      </c>
      <c r="S39" s="30">
        <v>0</v>
      </c>
      <c r="T39" s="30"/>
      <c r="U39" s="30">
        <v>0</v>
      </c>
      <c r="V39" s="31">
        <v>0</v>
      </c>
    </row>
    <row r="40" spans="1:22">
      <c r="A40" s="1" t="s">
        <v>61</v>
      </c>
      <c r="B40" s="29">
        <v>0</v>
      </c>
      <c r="C40" s="30">
        <v>0</v>
      </c>
      <c r="D40" s="30">
        <v>1025.1314272001364</v>
      </c>
      <c r="E40" s="30">
        <v>0</v>
      </c>
      <c r="F40" s="30">
        <v>0</v>
      </c>
      <c r="G40" s="31">
        <f>SUM(ND_FINANCIAL)</f>
        <v>1025.1314272001364</v>
      </c>
      <c r="H40" s="30"/>
      <c r="I40" s="30"/>
      <c r="J40" s="30"/>
      <c r="K40" s="30"/>
      <c r="L40" s="29"/>
      <c r="M40" s="30"/>
      <c r="N40" s="30"/>
      <c r="O40" s="30"/>
      <c r="P40" s="30"/>
      <c r="Q40" s="30"/>
      <c r="R40" s="30"/>
      <c r="S40" s="30"/>
      <c r="T40" s="30"/>
      <c r="U40" s="30"/>
      <c r="V40" s="31"/>
    </row>
    <row r="41" spans="1:22">
      <c r="A41" s="1" t="s">
        <v>62</v>
      </c>
      <c r="B41" s="29">
        <v>0</v>
      </c>
      <c r="C41" s="30">
        <v>0</v>
      </c>
      <c r="D41" s="30">
        <v>-19388.193628902081</v>
      </c>
      <c r="E41" s="30">
        <v>0</v>
      </c>
      <c r="F41" s="30">
        <v>0</v>
      </c>
      <c r="G41" s="31">
        <f>SUM(OH_FINANCIAL)</f>
        <v>-19388.193628902081</v>
      </c>
      <c r="H41" s="30"/>
      <c r="I41" s="30"/>
      <c r="J41" s="30"/>
      <c r="K41" s="30"/>
      <c r="L41" s="29"/>
      <c r="M41" s="30"/>
      <c r="N41" s="30"/>
      <c r="O41" s="30"/>
      <c r="P41" s="30"/>
      <c r="Q41" s="30"/>
      <c r="R41" s="30"/>
      <c r="S41" s="30"/>
      <c r="T41" s="30"/>
      <c r="U41" s="30"/>
      <c r="V41" s="31"/>
    </row>
    <row r="42" spans="1:22">
      <c r="A42" s="1" t="s">
        <v>63</v>
      </c>
      <c r="B42" s="29">
        <v>0</v>
      </c>
      <c r="C42" s="30">
        <v>0</v>
      </c>
      <c r="D42" s="30">
        <v>19124.527547587408</v>
      </c>
      <c r="E42" s="30">
        <v>0</v>
      </c>
      <c r="F42" s="30">
        <v>0</v>
      </c>
      <c r="G42" s="31">
        <f>SUM(OK_FINANCIAL)</f>
        <v>19124.527547587408</v>
      </c>
      <c r="H42" s="30"/>
      <c r="I42" s="30"/>
      <c r="J42" s="30"/>
      <c r="K42" s="30"/>
      <c r="L42" s="29">
        <v>40000</v>
      </c>
      <c r="M42" s="30">
        <v>42800</v>
      </c>
      <c r="N42" s="30"/>
      <c r="O42" s="30">
        <v>0</v>
      </c>
      <c r="P42" s="30">
        <v>0</v>
      </c>
      <c r="Q42" s="30"/>
      <c r="R42" s="30">
        <v>1960000</v>
      </c>
      <c r="S42" s="30">
        <v>2032200</v>
      </c>
      <c r="T42" s="30"/>
      <c r="U42" s="30">
        <v>0</v>
      </c>
      <c r="V42" s="31">
        <v>0</v>
      </c>
    </row>
    <row r="43" spans="1:22">
      <c r="A43" s="1" t="s">
        <v>64</v>
      </c>
      <c r="B43" s="29">
        <v>0</v>
      </c>
      <c r="C43" s="30">
        <v>0</v>
      </c>
      <c r="D43" s="30">
        <v>21952.044262305018</v>
      </c>
      <c r="E43" s="30">
        <v>0</v>
      </c>
      <c r="F43" s="30">
        <v>0</v>
      </c>
      <c r="G43" s="31">
        <f>SUM(OR_FINANCIAL)</f>
        <v>21952.044262305018</v>
      </c>
      <c r="H43" s="30"/>
      <c r="I43" s="30"/>
      <c r="J43" s="30"/>
      <c r="K43" s="30"/>
      <c r="L43" s="29"/>
      <c r="M43" s="30"/>
      <c r="N43" s="30"/>
      <c r="O43" s="30"/>
      <c r="P43" s="30"/>
      <c r="Q43" s="30"/>
      <c r="R43" s="30"/>
      <c r="S43" s="30"/>
      <c r="T43" s="30"/>
      <c r="U43" s="30"/>
      <c r="V43" s="31"/>
    </row>
    <row r="44" spans="1:22">
      <c r="A44" s="1" t="s">
        <v>65</v>
      </c>
      <c r="B44" s="29">
        <v>0</v>
      </c>
      <c r="C44" s="30">
        <v>0</v>
      </c>
      <c r="D44" s="30">
        <v>10456.801959780511</v>
      </c>
      <c r="E44" s="30">
        <v>0</v>
      </c>
      <c r="F44" s="30">
        <v>0</v>
      </c>
      <c r="G44" s="31">
        <f>SUM(PA_FINANCIAL)</f>
        <v>10456.801959780511</v>
      </c>
      <c r="H44" s="30"/>
      <c r="I44" s="30"/>
      <c r="J44" s="30"/>
      <c r="K44" s="30"/>
      <c r="L44" s="29"/>
      <c r="M44" s="30"/>
      <c r="N44" s="30"/>
      <c r="O44" s="30"/>
      <c r="P44" s="30"/>
      <c r="Q44" s="30"/>
      <c r="R44" s="30"/>
      <c r="S44" s="30"/>
      <c r="T44" s="30"/>
      <c r="U44" s="30"/>
      <c r="V44" s="31"/>
    </row>
    <row r="45" spans="1:22">
      <c r="A45" s="1" t="s">
        <v>66</v>
      </c>
      <c r="B45" s="29">
        <v>0</v>
      </c>
      <c r="C45" s="30">
        <v>0</v>
      </c>
      <c r="D45" s="30">
        <v>-7567.2698410309822</v>
      </c>
      <c r="E45" s="30">
        <v>0</v>
      </c>
      <c r="F45" s="30">
        <v>0</v>
      </c>
      <c r="G45" s="31">
        <f>SUM(PR_FINANCIAL)</f>
        <v>-7567.2698410309822</v>
      </c>
      <c r="H45" s="30"/>
      <c r="I45" s="30"/>
      <c r="J45" s="30"/>
      <c r="K45" s="30"/>
      <c r="L45" s="29">
        <v>0</v>
      </c>
      <c r="M45" s="30">
        <v>0</v>
      </c>
      <c r="N45" s="30"/>
      <c r="O45" s="30">
        <v>0</v>
      </c>
      <c r="P45" s="30">
        <v>0</v>
      </c>
      <c r="Q45" s="30"/>
      <c r="R45" s="30">
        <v>108788</v>
      </c>
      <c r="S45" s="30">
        <v>0</v>
      </c>
      <c r="T45" s="30"/>
      <c r="U45" s="30">
        <v>0</v>
      </c>
      <c r="V45" s="31">
        <v>0</v>
      </c>
    </row>
    <row r="46" spans="1:22">
      <c r="A46" s="1" t="s">
        <v>67</v>
      </c>
      <c r="B46" s="29">
        <v>0</v>
      </c>
      <c r="C46" s="30">
        <v>0</v>
      </c>
      <c r="D46" s="30">
        <v>-3988.27860882506</v>
      </c>
      <c r="E46" s="30">
        <v>0</v>
      </c>
      <c r="F46" s="30">
        <v>0</v>
      </c>
      <c r="G46" s="31">
        <f>SUM(RI_FINANCIAL)</f>
        <v>-3988.27860882506</v>
      </c>
      <c r="H46" s="30"/>
      <c r="I46" s="30"/>
      <c r="J46" s="30"/>
      <c r="K46" s="30"/>
      <c r="L46" s="29"/>
      <c r="M46" s="30"/>
      <c r="N46" s="30"/>
      <c r="O46" s="30"/>
      <c r="P46" s="30"/>
      <c r="Q46" s="30"/>
      <c r="R46" s="30"/>
      <c r="S46" s="30"/>
      <c r="T46" s="30"/>
      <c r="U46" s="30"/>
      <c r="V46" s="31"/>
    </row>
    <row r="47" spans="1:22">
      <c r="A47" s="1" t="s">
        <v>68</v>
      </c>
      <c r="B47" s="29">
        <v>4801</v>
      </c>
      <c r="C47" s="30">
        <v>0</v>
      </c>
      <c r="D47" s="30">
        <v>58303.789837433491</v>
      </c>
      <c r="E47" s="30">
        <v>0</v>
      </c>
      <c r="F47" s="30">
        <v>0</v>
      </c>
      <c r="G47" s="31">
        <f>SUM(SC_FINANCIAL)</f>
        <v>63104.789837433491</v>
      </c>
      <c r="H47" s="30"/>
      <c r="I47" s="30"/>
      <c r="J47" s="30"/>
      <c r="K47" s="30"/>
      <c r="L47" s="29"/>
      <c r="M47" s="30"/>
      <c r="N47" s="30"/>
      <c r="O47" s="30"/>
      <c r="P47" s="30"/>
      <c r="Q47" s="30"/>
      <c r="R47" s="30"/>
      <c r="S47" s="30"/>
      <c r="T47" s="30"/>
      <c r="U47" s="30"/>
      <c r="V47" s="31"/>
    </row>
    <row r="48" spans="1:22">
      <c r="A48" s="1" t="s">
        <v>69</v>
      </c>
      <c r="B48" s="29">
        <v>0</v>
      </c>
      <c r="C48" s="30">
        <v>0</v>
      </c>
      <c r="D48" s="30">
        <v>-20438.225363189376</v>
      </c>
      <c r="E48" s="30">
        <v>0</v>
      </c>
      <c r="F48" s="30">
        <v>0</v>
      </c>
      <c r="G48" s="31">
        <f>SUM(SD_FINANCIAL)</f>
        <v>-20438.225363189376</v>
      </c>
      <c r="H48" s="30"/>
      <c r="I48" s="30"/>
      <c r="J48" s="30"/>
      <c r="K48" s="30"/>
      <c r="L48" s="29"/>
      <c r="M48" s="30"/>
      <c r="N48" s="30"/>
      <c r="O48" s="30"/>
      <c r="P48" s="30"/>
      <c r="Q48" s="30"/>
      <c r="R48" s="30"/>
      <c r="S48" s="30"/>
      <c r="T48" s="30"/>
      <c r="U48" s="30"/>
      <c r="V48" s="31"/>
    </row>
    <row r="49" spans="1:22">
      <c r="A49" s="1" t="s">
        <v>70</v>
      </c>
      <c r="B49" s="29">
        <v>0</v>
      </c>
      <c r="C49" s="30">
        <v>0</v>
      </c>
      <c r="D49" s="30">
        <v>75717.26813775138</v>
      </c>
      <c r="E49" s="30">
        <v>0</v>
      </c>
      <c r="F49" s="30">
        <v>0</v>
      </c>
      <c r="G49" s="31">
        <f>SUM(TN_FINANCIAL)</f>
        <v>75717.26813775138</v>
      </c>
      <c r="H49" s="30"/>
      <c r="I49" s="30"/>
      <c r="J49" s="30"/>
      <c r="K49" s="30"/>
      <c r="L49" s="29"/>
      <c r="M49" s="30"/>
      <c r="N49" s="30"/>
      <c r="O49" s="30"/>
      <c r="P49" s="30"/>
      <c r="Q49" s="30"/>
      <c r="R49" s="30"/>
      <c r="S49" s="30"/>
      <c r="T49" s="30"/>
      <c r="U49" s="30"/>
      <c r="V49" s="31"/>
    </row>
    <row r="50" spans="1:22">
      <c r="A50" s="1" t="s">
        <v>71</v>
      </c>
      <c r="B50" s="29">
        <v>0</v>
      </c>
      <c r="C50" s="30">
        <v>0</v>
      </c>
      <c r="D50" s="30">
        <v>85484.769795624539</v>
      </c>
      <c r="E50" s="30">
        <v>0</v>
      </c>
      <c r="F50" s="30">
        <v>0</v>
      </c>
      <c r="G50" s="31">
        <f>SUM(TX_FINANCIAL)</f>
        <v>85484.769795624539</v>
      </c>
      <c r="H50" s="30"/>
      <c r="I50" s="30"/>
      <c r="J50" s="30"/>
      <c r="K50" s="30"/>
      <c r="L50" s="29">
        <v>50085</v>
      </c>
      <c r="M50" s="30">
        <v>42523</v>
      </c>
      <c r="N50" s="30"/>
      <c r="O50" s="30">
        <v>0</v>
      </c>
      <c r="P50" s="30">
        <v>0</v>
      </c>
      <c r="Q50" s="30"/>
      <c r="R50" s="30">
        <v>2548542</v>
      </c>
      <c r="S50" s="30">
        <v>2160728</v>
      </c>
      <c r="T50" s="30"/>
      <c r="U50" s="30">
        <v>0</v>
      </c>
      <c r="V50" s="31">
        <v>0</v>
      </c>
    </row>
    <row r="51" spans="1:22">
      <c r="A51" s="1" t="s">
        <v>72</v>
      </c>
      <c r="B51" s="29">
        <v>0</v>
      </c>
      <c r="C51" s="30">
        <v>0</v>
      </c>
      <c r="D51" s="30">
        <v>-27279.835202616767</v>
      </c>
      <c r="E51" s="30">
        <v>0</v>
      </c>
      <c r="F51" s="30">
        <v>0</v>
      </c>
      <c r="G51" s="31">
        <f>SUM(UT_FINANCIAL)</f>
        <v>-27279.835202616767</v>
      </c>
      <c r="H51" s="30"/>
      <c r="I51" s="30"/>
      <c r="J51" s="30"/>
      <c r="K51" s="30"/>
      <c r="L51" s="29"/>
      <c r="M51" s="30"/>
      <c r="N51" s="30"/>
      <c r="O51" s="30"/>
      <c r="P51" s="30"/>
      <c r="Q51" s="30"/>
      <c r="R51" s="30"/>
      <c r="S51" s="30"/>
      <c r="T51" s="30"/>
      <c r="U51" s="30"/>
      <c r="V51" s="31"/>
    </row>
    <row r="52" spans="1:22">
      <c r="A52" s="1" t="s">
        <v>73</v>
      </c>
      <c r="B52" s="29">
        <v>0</v>
      </c>
      <c r="C52" s="30">
        <v>0</v>
      </c>
      <c r="D52" s="30">
        <v>1860.167806972473</v>
      </c>
      <c r="E52" s="30">
        <v>0</v>
      </c>
      <c r="F52" s="30">
        <v>0</v>
      </c>
      <c r="G52" s="31">
        <f>SUM(VT_FINANCIAL)</f>
        <v>1860.167806972473</v>
      </c>
      <c r="H52" s="30"/>
      <c r="I52" s="30"/>
      <c r="J52" s="30"/>
      <c r="K52" s="30"/>
      <c r="L52" s="29">
        <v>0</v>
      </c>
      <c r="M52" s="30">
        <v>0</v>
      </c>
      <c r="N52" s="30"/>
      <c r="O52" s="30">
        <v>0</v>
      </c>
      <c r="P52" s="30">
        <v>0</v>
      </c>
      <c r="Q52" s="30"/>
      <c r="R52" s="30">
        <v>150000</v>
      </c>
      <c r="S52" s="30">
        <v>0</v>
      </c>
      <c r="T52" s="30"/>
      <c r="U52" s="30">
        <v>0</v>
      </c>
      <c r="V52" s="31">
        <v>0</v>
      </c>
    </row>
    <row r="53" spans="1:22">
      <c r="A53" s="1" t="s">
        <v>74</v>
      </c>
      <c r="B53" s="29">
        <v>0</v>
      </c>
      <c r="C53" s="30">
        <v>0</v>
      </c>
      <c r="D53" s="30">
        <v>-108913.589677535</v>
      </c>
      <c r="E53" s="30">
        <v>0</v>
      </c>
      <c r="F53" s="30">
        <v>0</v>
      </c>
      <c r="G53" s="31">
        <f>SUM(VA_FINANCIAL)</f>
        <v>-108913.589677535</v>
      </c>
      <c r="H53" s="30"/>
      <c r="I53" s="30"/>
      <c r="J53" s="30"/>
      <c r="K53" s="30"/>
      <c r="L53" s="29">
        <v>5000</v>
      </c>
      <c r="M53" s="30">
        <v>1948</v>
      </c>
      <c r="N53" s="30"/>
      <c r="O53" s="30">
        <v>0</v>
      </c>
      <c r="P53" s="30">
        <v>0</v>
      </c>
      <c r="Q53" s="30"/>
      <c r="R53" s="30">
        <v>320000</v>
      </c>
      <c r="S53" s="30">
        <v>0</v>
      </c>
      <c r="T53" s="30"/>
      <c r="U53" s="30">
        <v>0</v>
      </c>
      <c r="V53" s="31">
        <v>0</v>
      </c>
    </row>
    <row r="54" spans="1:22">
      <c r="A54" s="1" t="s">
        <v>75</v>
      </c>
      <c r="B54" s="29">
        <v>0</v>
      </c>
      <c r="C54" s="30">
        <v>0</v>
      </c>
      <c r="D54" s="30">
        <v>5614.8567424908979</v>
      </c>
      <c r="E54" s="30">
        <v>0</v>
      </c>
      <c r="F54" s="30">
        <v>0</v>
      </c>
      <c r="G54" s="31">
        <f>SUM(WA_FINANCIAL)</f>
        <v>5614.8567424908979</v>
      </c>
      <c r="H54" s="30"/>
      <c r="I54" s="30"/>
      <c r="J54" s="30"/>
      <c r="K54" s="30"/>
      <c r="L54" s="29">
        <v>0</v>
      </c>
      <c r="M54" s="30">
        <v>0</v>
      </c>
      <c r="N54" s="30"/>
      <c r="O54" s="30">
        <v>0</v>
      </c>
      <c r="P54" s="30">
        <v>0</v>
      </c>
      <c r="Q54" s="30"/>
      <c r="R54" s="30">
        <v>200000</v>
      </c>
      <c r="S54" s="30">
        <v>190535</v>
      </c>
      <c r="T54" s="30"/>
      <c r="U54" s="30">
        <v>0</v>
      </c>
      <c r="V54" s="31">
        <v>0</v>
      </c>
    </row>
    <row r="55" spans="1:22">
      <c r="A55" s="1" t="s">
        <v>76</v>
      </c>
      <c r="B55" s="29">
        <v>0</v>
      </c>
      <c r="C55" s="30">
        <v>0</v>
      </c>
      <c r="D55" s="30">
        <v>-31602.985871662269</v>
      </c>
      <c r="E55" s="30">
        <v>0</v>
      </c>
      <c r="F55" s="30">
        <v>0</v>
      </c>
      <c r="G55" s="31">
        <f>SUM(WV_FINANCIAL)</f>
        <v>-31602.985871662269</v>
      </c>
      <c r="H55" s="30"/>
      <c r="I55" s="30"/>
      <c r="J55" s="30"/>
      <c r="K55" s="30"/>
      <c r="L55" s="29">
        <v>0</v>
      </c>
      <c r="M55" s="30">
        <v>0</v>
      </c>
      <c r="N55" s="30"/>
      <c r="O55" s="30">
        <v>0</v>
      </c>
      <c r="P55" s="30">
        <v>0</v>
      </c>
      <c r="Q55" s="30"/>
      <c r="R55" s="30">
        <v>0</v>
      </c>
      <c r="S55" s="30">
        <v>671547</v>
      </c>
      <c r="T55" s="30"/>
      <c r="U55" s="30">
        <v>0</v>
      </c>
      <c r="V55" s="31">
        <v>0</v>
      </c>
    </row>
    <row r="56" spans="1:22">
      <c r="A56" s="1" t="s">
        <v>77</v>
      </c>
      <c r="B56" s="29">
        <v>0</v>
      </c>
      <c r="C56" s="30">
        <v>0</v>
      </c>
      <c r="D56" s="30">
        <v>-201020.48196128983</v>
      </c>
      <c r="E56" s="30">
        <v>0</v>
      </c>
      <c r="F56" s="30">
        <v>0</v>
      </c>
      <c r="G56" s="31">
        <f>SUM(WI_FINANCIAL)</f>
        <v>-201020.48196128983</v>
      </c>
      <c r="H56" s="30"/>
      <c r="I56" s="30"/>
      <c r="J56" s="30"/>
      <c r="K56" s="30"/>
      <c r="L56" s="29"/>
      <c r="M56" s="30"/>
      <c r="N56" s="30"/>
      <c r="O56" s="30"/>
      <c r="P56" s="30"/>
      <c r="Q56" s="30"/>
      <c r="R56" s="30"/>
      <c r="S56" s="30"/>
      <c r="T56" s="30"/>
      <c r="U56" s="30"/>
      <c r="V56" s="31"/>
    </row>
    <row r="57" spans="1:22">
      <c r="A57" s="1" t="s">
        <v>78</v>
      </c>
      <c r="B57" s="29">
        <v>0</v>
      </c>
      <c r="C57" s="30">
        <v>0</v>
      </c>
      <c r="D57" s="30">
        <v>-19780.770372225728</v>
      </c>
      <c r="E57" s="30">
        <v>0</v>
      </c>
      <c r="F57" s="30">
        <v>0</v>
      </c>
      <c r="G57" s="31">
        <f>SUM(WY_FINANCIAL)</f>
        <v>-19780.770372225728</v>
      </c>
      <c r="H57" s="30"/>
      <c r="I57" s="30"/>
      <c r="J57" s="30"/>
      <c r="K57" s="30"/>
      <c r="L57" s="29">
        <v>0</v>
      </c>
      <c r="M57" s="30">
        <v>0</v>
      </c>
      <c r="N57" s="30"/>
      <c r="O57" s="30">
        <v>0</v>
      </c>
      <c r="P57" s="30">
        <v>0</v>
      </c>
      <c r="Q57" s="30"/>
      <c r="R57" s="30">
        <v>30000</v>
      </c>
      <c r="S57" s="30">
        <v>34679</v>
      </c>
      <c r="T57" s="30"/>
      <c r="U57" s="30">
        <v>0</v>
      </c>
      <c r="V57" s="31">
        <v>0</v>
      </c>
    </row>
    <row r="58" spans="1:22">
      <c r="A58" s="1" t="s">
        <v>79</v>
      </c>
      <c r="B58" s="29">
        <v>1</v>
      </c>
      <c r="C58" s="30">
        <v>0</v>
      </c>
      <c r="D58" s="30">
        <v>13346.366858816447</v>
      </c>
      <c r="E58" s="30">
        <v>0</v>
      </c>
      <c r="F58" s="30">
        <v>0</v>
      </c>
      <c r="G58" s="31">
        <f>SUM(OT_FINANCIAL)</f>
        <v>13347.366858816447</v>
      </c>
      <c r="H58" s="30"/>
      <c r="I58" s="30"/>
      <c r="J58" s="30"/>
      <c r="K58" s="30"/>
      <c r="L58" s="29"/>
      <c r="M58" s="30"/>
      <c r="N58" s="30"/>
      <c r="O58" s="30"/>
      <c r="P58" s="30"/>
      <c r="Q58" s="30"/>
      <c r="R58" s="30"/>
      <c r="S58" s="30"/>
      <c r="T58" s="30"/>
      <c r="U58" s="30"/>
      <c r="V58" s="31"/>
    </row>
    <row r="59" spans="1:22">
      <c r="B59" s="29"/>
      <c r="C59" s="30"/>
      <c r="D59" s="30"/>
      <c r="E59" s="30"/>
      <c r="F59" s="30"/>
      <c r="G59" s="31"/>
      <c r="H59" s="30"/>
      <c r="I59" s="30"/>
      <c r="J59" s="30"/>
      <c r="K59" s="30"/>
      <c r="L59" s="29"/>
      <c r="M59" s="30"/>
      <c r="N59" s="30"/>
      <c r="O59" s="30"/>
      <c r="P59" s="30"/>
      <c r="Q59" s="30"/>
      <c r="R59" s="30"/>
      <c r="S59" s="30"/>
      <c r="T59" s="30"/>
      <c r="U59" s="30"/>
      <c r="V59" s="31"/>
    </row>
    <row r="60" spans="1:22">
      <c r="A60" s="1" t="s">
        <v>8</v>
      </c>
      <c r="B60" s="29">
        <f>SUM(LIFE)</f>
        <v>15763</v>
      </c>
      <c r="C60" s="30">
        <f>SUM(ALLOCATED)</f>
        <v>0</v>
      </c>
      <c r="D60" s="30">
        <f>SUM(HEALTH)</f>
        <v>-196404.04872965094</v>
      </c>
      <c r="E60" s="30">
        <f>SUM(UNALLOCATED)</f>
        <v>0</v>
      </c>
      <c r="F60" s="30">
        <f>SUM(LTC)</f>
        <v>0</v>
      </c>
      <c r="G60" s="31">
        <f>SUM(ALL_BLOCKS)</f>
        <v>-180641.04872965094</v>
      </c>
      <c r="H60" s="30"/>
      <c r="I60" s="30"/>
      <c r="J60" s="30"/>
      <c r="K60" s="30"/>
      <c r="L60" s="29">
        <f>SUM(LIFE_CALLED)</f>
        <v>793564</v>
      </c>
      <c r="M60" s="30">
        <f>SUM(LIFE_REFUNDED)</f>
        <v>687271</v>
      </c>
      <c r="N60" s="30"/>
      <c r="O60" s="30">
        <f>SUM(ALLOC_CALLED)</f>
        <v>100000</v>
      </c>
      <c r="P60" s="30">
        <f>SUM(ALLOC_REFUNDED)</f>
        <v>50000</v>
      </c>
      <c r="Q60" s="30"/>
      <c r="R60" s="30">
        <f>SUM(HEALTH_CALLED)</f>
        <v>19664517</v>
      </c>
      <c r="S60" s="30">
        <f>SUM(HEALTH_REFUNDED)</f>
        <v>13362131</v>
      </c>
      <c r="T60" s="30"/>
      <c r="U60" s="30">
        <f>SUM(UNALLOC_CALLED)</f>
        <v>0</v>
      </c>
      <c r="V60" s="31">
        <f>SUM(UNALLOC_REFUNDED)</f>
        <v>0</v>
      </c>
    </row>
    <row r="61" spans="1:22" ht="5.0999999999999996" customHeight="1">
      <c r="B61" s="8"/>
      <c r="G61" s="11"/>
      <c r="L61" s="8"/>
      <c r="V61" s="11"/>
    </row>
    <row r="62" spans="1:22">
      <c r="B62" s="8"/>
      <c r="G62" s="11"/>
      <c r="L62" s="122" t="s">
        <v>80</v>
      </c>
      <c r="M62" s="123"/>
      <c r="N62" s="123"/>
      <c r="O62" s="123"/>
      <c r="P62" s="123"/>
      <c r="Q62" s="123"/>
      <c r="R62" s="123"/>
      <c r="S62" s="123"/>
      <c r="T62" s="123"/>
      <c r="U62" s="123"/>
      <c r="V62" s="124"/>
    </row>
    <row r="63" spans="1:22">
      <c r="B63" s="8"/>
      <c r="G63" s="11"/>
      <c r="L63" s="125"/>
      <c r="M63" s="123"/>
      <c r="N63" s="123"/>
      <c r="O63" s="123"/>
      <c r="P63" s="123"/>
      <c r="Q63" s="123"/>
      <c r="R63" s="123"/>
      <c r="S63" s="123"/>
      <c r="T63" s="123"/>
      <c r="U63" s="123"/>
      <c r="V63" s="124"/>
    </row>
    <row r="64" spans="1:22">
      <c r="B64" s="10"/>
      <c r="C64" s="7"/>
      <c r="D64" s="7"/>
      <c r="E64" s="7"/>
      <c r="F64" s="7"/>
      <c r="G64" s="13"/>
      <c r="L64" s="126"/>
      <c r="M64" s="127"/>
      <c r="N64" s="127"/>
      <c r="O64" s="127"/>
      <c r="P64" s="127"/>
      <c r="Q64" s="127"/>
      <c r="R64" s="127"/>
      <c r="S64" s="127"/>
      <c r="T64" s="127"/>
      <c r="U64" s="127"/>
      <c r="V64" s="128"/>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V64"/>
  <sheetViews>
    <sheetView zoomScale="75" workbookViewId="0">
      <selection sqref="A1:XFD1048576"/>
    </sheetView>
  </sheetViews>
  <sheetFormatPr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129" t="s">
        <v>95</v>
      </c>
      <c r="B1" s="123"/>
      <c r="C1" s="123"/>
      <c r="D1" s="123"/>
      <c r="E1" s="123"/>
      <c r="F1" s="123"/>
      <c r="G1" s="123"/>
    </row>
    <row r="3" spans="1:22">
      <c r="B3" s="130" t="s">
        <v>1</v>
      </c>
      <c r="C3" s="131"/>
      <c r="D3" s="131"/>
      <c r="E3" s="131"/>
      <c r="F3" s="131"/>
      <c r="G3" s="132"/>
      <c r="L3" s="133" t="s">
        <v>2</v>
      </c>
      <c r="M3" s="134"/>
      <c r="N3" s="134"/>
      <c r="O3" s="134"/>
      <c r="P3" s="134"/>
      <c r="Q3" s="134"/>
      <c r="R3" s="134"/>
      <c r="S3" s="134"/>
      <c r="T3" s="134"/>
      <c r="U3" s="134"/>
      <c r="V3" s="135"/>
    </row>
    <row r="4" spans="1:22">
      <c r="B4" s="8"/>
      <c r="G4" s="11"/>
      <c r="L4" s="136" t="s">
        <v>3</v>
      </c>
      <c r="M4" s="137"/>
      <c r="N4" s="4"/>
      <c r="O4" s="138" t="s">
        <v>4</v>
      </c>
      <c r="P4" s="137"/>
      <c r="Q4" s="4"/>
      <c r="R4" s="138" t="s">
        <v>5</v>
      </c>
      <c r="S4" s="137"/>
      <c r="T4" s="4"/>
      <c r="U4" s="138" t="s">
        <v>6</v>
      </c>
      <c r="V4" s="139"/>
    </row>
    <row r="5" spans="1:22" ht="60" customHeight="1">
      <c r="B5" s="9" t="s">
        <v>3</v>
      </c>
      <c r="C5" s="5" t="s">
        <v>4</v>
      </c>
      <c r="D5" s="5" t="s">
        <v>5</v>
      </c>
      <c r="E5" s="5" t="s">
        <v>6</v>
      </c>
      <c r="F5" s="5" t="s">
        <v>7</v>
      </c>
      <c r="G5" s="12" t="s">
        <v>8</v>
      </c>
      <c r="L5" s="15" t="s">
        <v>9</v>
      </c>
      <c r="M5" s="14" t="s">
        <v>10</v>
      </c>
      <c r="N5" s="14"/>
      <c r="O5" s="14" t="s">
        <v>9</v>
      </c>
      <c r="P5" s="14" t="s">
        <v>10</v>
      </c>
      <c r="Q5" s="14"/>
      <c r="R5" s="14" t="s">
        <v>9</v>
      </c>
      <c r="S5" s="14" t="s">
        <v>10</v>
      </c>
      <c r="T5" s="14"/>
      <c r="U5" s="14" t="s">
        <v>9</v>
      </c>
      <c r="V5" s="16" t="s">
        <v>10</v>
      </c>
    </row>
    <row r="6" spans="1:22">
      <c r="A6" s="1" t="s">
        <v>11</v>
      </c>
      <c r="B6" s="29">
        <v>755.85902940957112</v>
      </c>
      <c r="C6" s="30">
        <v>348372.2610126998</v>
      </c>
      <c r="D6" s="30">
        <v>0</v>
      </c>
      <c r="E6" s="30">
        <v>0</v>
      </c>
      <c r="F6" s="30">
        <v>0</v>
      </c>
      <c r="G6" s="31">
        <f>SUM(AL_FINANCIAL)</f>
        <v>349128.1200421094</v>
      </c>
      <c r="H6" s="30"/>
      <c r="I6" s="30"/>
      <c r="J6" s="30"/>
      <c r="K6" s="30"/>
      <c r="L6" s="29"/>
      <c r="M6" s="30"/>
      <c r="N6" s="30"/>
      <c r="O6" s="30"/>
      <c r="P6" s="30"/>
      <c r="Q6" s="30"/>
      <c r="R6" s="30"/>
      <c r="S6" s="30"/>
      <c r="T6" s="30"/>
      <c r="U6" s="30"/>
      <c r="V6" s="31"/>
    </row>
    <row r="7" spans="1:22">
      <c r="A7" s="1" t="s">
        <v>12</v>
      </c>
      <c r="B7" s="29">
        <v>0</v>
      </c>
      <c r="C7" s="30">
        <v>0</v>
      </c>
      <c r="D7" s="30">
        <v>0</v>
      </c>
      <c r="E7" s="30">
        <v>0</v>
      </c>
      <c r="F7" s="30">
        <v>0</v>
      </c>
      <c r="G7" s="31">
        <f>SUM(AK_FINANCIAL)</f>
        <v>0</v>
      </c>
      <c r="H7" s="30"/>
      <c r="I7" s="32"/>
      <c r="J7" s="33"/>
      <c r="K7" s="30"/>
      <c r="L7" s="29"/>
      <c r="M7" s="30"/>
      <c r="N7" s="30"/>
      <c r="O7" s="30"/>
      <c r="P7" s="30"/>
      <c r="Q7" s="30"/>
      <c r="R7" s="30"/>
      <c r="S7" s="30"/>
      <c r="T7" s="30"/>
      <c r="U7" s="30"/>
      <c r="V7" s="31"/>
    </row>
    <row r="8" spans="1:22">
      <c r="A8" s="1" t="s">
        <v>13</v>
      </c>
      <c r="B8" s="29">
        <v>0</v>
      </c>
      <c r="C8" s="30">
        <v>329065.34963694878</v>
      </c>
      <c r="D8" s="30">
        <v>0</v>
      </c>
      <c r="E8" s="30">
        <v>0</v>
      </c>
      <c r="F8" s="30">
        <v>0</v>
      </c>
      <c r="G8" s="31">
        <f>SUM(AZ_FINANCIAL)</f>
        <v>329065.34963694878</v>
      </c>
      <c r="H8" s="30"/>
      <c r="I8" s="34" t="s">
        <v>14</v>
      </c>
      <c r="J8" s="35"/>
      <c r="K8" s="30"/>
      <c r="L8" s="29">
        <v>0</v>
      </c>
      <c r="M8" s="30">
        <v>0</v>
      </c>
      <c r="N8" s="30"/>
      <c r="O8" s="30">
        <v>146693</v>
      </c>
      <c r="P8" s="30">
        <v>0</v>
      </c>
      <c r="Q8" s="30"/>
      <c r="R8" s="30">
        <v>0</v>
      </c>
      <c r="S8" s="30">
        <v>0</v>
      </c>
      <c r="T8" s="30"/>
      <c r="U8" s="30">
        <v>0</v>
      </c>
      <c r="V8" s="31">
        <v>0</v>
      </c>
    </row>
    <row r="9" spans="1:22">
      <c r="A9" s="1" t="s">
        <v>15</v>
      </c>
      <c r="B9" s="29">
        <v>0</v>
      </c>
      <c r="C9" s="30">
        <v>18635.954677155893</v>
      </c>
      <c r="D9" s="30">
        <v>0</v>
      </c>
      <c r="E9" s="30">
        <v>0</v>
      </c>
      <c r="F9" s="30">
        <v>0</v>
      </c>
      <c r="G9" s="31">
        <f>SUM(AR_FINANCIAL)</f>
        <v>18635.954677155893</v>
      </c>
      <c r="H9" s="30"/>
      <c r="I9" s="34"/>
      <c r="J9" s="35"/>
      <c r="K9" s="30"/>
      <c r="L9" s="29">
        <v>30189</v>
      </c>
      <c r="M9" s="30">
        <v>0</v>
      </c>
      <c r="N9" s="30"/>
      <c r="O9" s="30">
        <v>0</v>
      </c>
      <c r="P9" s="30">
        <v>0</v>
      </c>
      <c r="Q9" s="30"/>
      <c r="R9" s="30">
        <v>0</v>
      </c>
      <c r="S9" s="30">
        <v>0</v>
      </c>
      <c r="T9" s="30"/>
      <c r="U9" s="30">
        <v>0</v>
      </c>
      <c r="V9" s="31">
        <v>0</v>
      </c>
    </row>
    <row r="10" spans="1:22">
      <c r="A10" s="1" t="s">
        <v>16</v>
      </c>
      <c r="B10" s="29">
        <v>0</v>
      </c>
      <c r="C10" s="30">
        <v>0</v>
      </c>
      <c r="D10" s="30">
        <v>0</v>
      </c>
      <c r="E10" s="30">
        <v>0</v>
      </c>
      <c r="F10" s="30">
        <v>0</v>
      </c>
      <c r="G10" s="31">
        <f>SUM(CA_FINANCIAL)</f>
        <v>0</v>
      </c>
      <c r="H10" s="30"/>
      <c r="I10" s="34" t="s">
        <v>17</v>
      </c>
      <c r="J10" s="35">
        <v>72284955.26000002</v>
      </c>
      <c r="K10" s="30"/>
      <c r="L10" s="29"/>
      <c r="M10" s="30"/>
      <c r="N10" s="30"/>
      <c r="O10" s="30"/>
      <c r="P10" s="30"/>
      <c r="Q10" s="30"/>
      <c r="R10" s="30"/>
      <c r="S10" s="30"/>
      <c r="T10" s="30"/>
      <c r="U10" s="30"/>
      <c r="V10" s="31"/>
    </row>
    <row r="11" spans="1:22">
      <c r="A11" s="1" t="s">
        <v>18</v>
      </c>
      <c r="B11" s="29">
        <v>0</v>
      </c>
      <c r="C11" s="30">
        <v>160869.0091768913</v>
      </c>
      <c r="D11" s="30">
        <v>0</v>
      </c>
      <c r="E11" s="30">
        <v>0</v>
      </c>
      <c r="F11" s="30">
        <v>0</v>
      </c>
      <c r="G11" s="31">
        <f>SUM(CO_FINANCIAL)</f>
        <v>160869.0091768913</v>
      </c>
      <c r="H11" s="30"/>
      <c r="I11" s="34"/>
      <c r="J11" s="35"/>
      <c r="K11" s="30"/>
      <c r="L11" s="29"/>
      <c r="M11" s="30"/>
      <c r="N11" s="30"/>
      <c r="O11" s="30"/>
      <c r="P11" s="30"/>
      <c r="Q11" s="30"/>
      <c r="R11" s="30"/>
      <c r="S11" s="30"/>
      <c r="T11" s="30"/>
      <c r="U11" s="30"/>
      <c r="V11" s="31"/>
    </row>
    <row r="12" spans="1:22">
      <c r="A12" s="1" t="s">
        <v>19</v>
      </c>
      <c r="B12" s="29">
        <v>0</v>
      </c>
      <c r="C12" s="30">
        <v>0</v>
      </c>
      <c r="D12" s="30">
        <v>0</v>
      </c>
      <c r="E12" s="30">
        <v>0</v>
      </c>
      <c r="F12" s="30">
        <v>0</v>
      </c>
      <c r="G12" s="31">
        <f>SUM(CT_FINANCIAL)</f>
        <v>0</v>
      </c>
      <c r="H12" s="30"/>
      <c r="I12" s="34" t="s">
        <v>20</v>
      </c>
      <c r="J12" s="35"/>
      <c r="K12" s="30"/>
      <c r="L12" s="29"/>
      <c r="M12" s="30"/>
      <c r="N12" s="30"/>
      <c r="O12" s="30"/>
      <c r="P12" s="30"/>
      <c r="Q12" s="30"/>
      <c r="R12" s="30"/>
      <c r="S12" s="30"/>
      <c r="T12" s="30"/>
      <c r="U12" s="30"/>
      <c r="V12" s="31"/>
    </row>
    <row r="13" spans="1:22">
      <c r="A13" s="1" t="s">
        <v>21</v>
      </c>
      <c r="B13" s="29">
        <v>0</v>
      </c>
      <c r="C13" s="30">
        <v>44358.215981348243</v>
      </c>
      <c r="D13" s="30">
        <v>0</v>
      </c>
      <c r="E13" s="30">
        <v>0</v>
      </c>
      <c r="F13" s="30">
        <v>0</v>
      </c>
      <c r="G13" s="31">
        <f>SUM(DE_FINANCIAL)</f>
        <v>44358.215981348243</v>
      </c>
      <c r="H13" s="30"/>
      <c r="I13" s="34" t="s">
        <v>22</v>
      </c>
      <c r="J13" s="35">
        <v>0</v>
      </c>
      <c r="K13" s="30"/>
      <c r="L13" s="29">
        <v>0</v>
      </c>
      <c r="M13" s="30">
        <v>0</v>
      </c>
      <c r="N13" s="30"/>
      <c r="O13" s="30">
        <v>90000</v>
      </c>
      <c r="P13" s="30">
        <v>0</v>
      </c>
      <c r="Q13" s="30"/>
      <c r="R13" s="30">
        <v>0</v>
      </c>
      <c r="S13" s="30">
        <v>0</v>
      </c>
      <c r="T13" s="30"/>
      <c r="U13" s="30">
        <v>0</v>
      </c>
      <c r="V13" s="31">
        <v>0</v>
      </c>
    </row>
    <row r="14" spans="1:22">
      <c r="A14" s="1" t="s">
        <v>23</v>
      </c>
      <c r="B14" s="29">
        <v>0</v>
      </c>
      <c r="C14" s="30">
        <v>0</v>
      </c>
      <c r="D14" s="30">
        <v>0</v>
      </c>
      <c r="E14" s="30">
        <v>0</v>
      </c>
      <c r="F14" s="30">
        <v>0</v>
      </c>
      <c r="G14" s="31">
        <f>SUM(DC_FINANCIAL)</f>
        <v>0</v>
      </c>
      <c r="H14" s="30"/>
      <c r="I14" s="34" t="s">
        <v>24</v>
      </c>
      <c r="J14" s="35">
        <v>713474.99999999988</v>
      </c>
      <c r="K14" s="30"/>
      <c r="L14" s="29"/>
      <c r="M14" s="30"/>
      <c r="N14" s="30"/>
      <c r="O14" s="30"/>
      <c r="P14" s="30"/>
      <c r="Q14" s="30"/>
      <c r="R14" s="30"/>
      <c r="S14" s="30"/>
      <c r="T14" s="30"/>
      <c r="U14" s="30"/>
      <c r="V14" s="31"/>
    </row>
    <row r="15" spans="1:22">
      <c r="A15" s="1" t="s">
        <v>25</v>
      </c>
      <c r="B15" s="29">
        <v>41977.330263891592</v>
      </c>
      <c r="C15" s="30">
        <v>6294088.6484518275</v>
      </c>
      <c r="D15" s="30">
        <v>0</v>
      </c>
      <c r="E15" s="30">
        <v>0</v>
      </c>
      <c r="F15" s="30">
        <v>0</v>
      </c>
      <c r="G15" s="31">
        <f>SUM(FL_FINANCIAL)</f>
        <v>6336065.9787157187</v>
      </c>
      <c r="H15" s="30"/>
      <c r="I15" s="34" t="s">
        <v>26</v>
      </c>
      <c r="J15" s="35">
        <v>711510.88000000012</v>
      </c>
      <c r="K15" s="30"/>
      <c r="L15" s="29">
        <v>0</v>
      </c>
      <c r="M15" s="30">
        <v>0</v>
      </c>
      <c r="N15" s="30"/>
      <c r="O15" s="30">
        <v>7300000</v>
      </c>
      <c r="P15" s="30">
        <v>0</v>
      </c>
      <c r="Q15" s="30"/>
      <c r="R15" s="30">
        <v>0</v>
      </c>
      <c r="S15" s="30">
        <v>0</v>
      </c>
      <c r="T15" s="30"/>
      <c r="U15" s="30">
        <v>0</v>
      </c>
      <c r="V15" s="31">
        <v>0</v>
      </c>
    </row>
    <row r="16" spans="1:22">
      <c r="A16" s="1" t="s">
        <v>27</v>
      </c>
      <c r="B16" s="29">
        <v>129.59414199467932</v>
      </c>
      <c r="C16" s="30">
        <v>633116.43986575794</v>
      </c>
      <c r="D16" s="30">
        <v>0</v>
      </c>
      <c r="E16" s="30">
        <v>0</v>
      </c>
      <c r="F16" s="30">
        <v>0</v>
      </c>
      <c r="G16" s="31">
        <f>SUM(GA_FINANCIAL)</f>
        <v>633246.03400775266</v>
      </c>
      <c r="H16" s="30"/>
      <c r="I16" s="34" t="s">
        <v>28</v>
      </c>
      <c r="J16" s="35">
        <v>0</v>
      </c>
      <c r="K16" s="30"/>
      <c r="L16" s="29">
        <v>2974</v>
      </c>
      <c r="M16" s="30">
        <v>0</v>
      </c>
      <c r="N16" s="30"/>
      <c r="O16" s="30">
        <v>757110</v>
      </c>
      <c r="P16" s="30">
        <v>5197.47</v>
      </c>
      <c r="Q16" s="30"/>
      <c r="R16" s="30">
        <v>0</v>
      </c>
      <c r="S16" s="30">
        <v>0</v>
      </c>
      <c r="T16" s="30"/>
      <c r="U16" s="30">
        <v>0</v>
      </c>
      <c r="V16" s="31">
        <v>0</v>
      </c>
    </row>
    <row r="17" spans="1:22">
      <c r="A17" s="1" t="s">
        <v>29</v>
      </c>
      <c r="B17" s="29">
        <v>0</v>
      </c>
      <c r="C17" s="30">
        <v>0</v>
      </c>
      <c r="D17" s="30">
        <v>0</v>
      </c>
      <c r="E17" s="30">
        <v>0</v>
      </c>
      <c r="F17" s="30">
        <v>0</v>
      </c>
      <c r="G17" s="31">
        <f>SUM(HI_FINANCIAL)</f>
        <v>0</v>
      </c>
      <c r="H17" s="30"/>
      <c r="I17" s="34"/>
      <c r="J17" s="35"/>
      <c r="K17" s="30"/>
      <c r="L17" s="29"/>
      <c r="M17" s="30"/>
      <c r="N17" s="30"/>
      <c r="O17" s="30"/>
      <c r="P17" s="30"/>
      <c r="Q17" s="30"/>
      <c r="R17" s="30"/>
      <c r="S17" s="30"/>
      <c r="T17" s="30"/>
      <c r="U17" s="30"/>
      <c r="V17" s="31"/>
    </row>
    <row r="18" spans="1:22">
      <c r="A18" s="1" t="s">
        <v>30</v>
      </c>
      <c r="B18" s="29">
        <v>0</v>
      </c>
      <c r="C18" s="30">
        <v>4674.2761615150266</v>
      </c>
      <c r="D18" s="30">
        <v>0</v>
      </c>
      <c r="E18" s="30">
        <v>0</v>
      </c>
      <c r="F18" s="30">
        <v>0</v>
      </c>
      <c r="G18" s="31">
        <f>SUM(ID_FINANCIAL)</f>
        <v>4674.2761615150266</v>
      </c>
      <c r="H18" s="30"/>
      <c r="I18" s="34" t="s">
        <v>31</v>
      </c>
      <c r="J18" s="35"/>
      <c r="K18" s="30"/>
      <c r="L18" s="29">
        <v>0</v>
      </c>
      <c r="M18" s="30">
        <v>0</v>
      </c>
      <c r="N18" s="30"/>
      <c r="O18" s="30">
        <v>8000</v>
      </c>
      <c r="P18" s="30">
        <v>0</v>
      </c>
      <c r="Q18" s="30"/>
      <c r="R18" s="30">
        <v>0</v>
      </c>
      <c r="S18" s="30">
        <v>0</v>
      </c>
      <c r="T18" s="30"/>
      <c r="U18" s="30">
        <v>0</v>
      </c>
      <c r="V18" s="31">
        <v>0</v>
      </c>
    </row>
    <row r="19" spans="1:22">
      <c r="A19" s="1" t="s">
        <v>32</v>
      </c>
      <c r="B19" s="29">
        <v>0</v>
      </c>
      <c r="C19" s="30">
        <v>0</v>
      </c>
      <c r="D19" s="30">
        <v>0</v>
      </c>
      <c r="E19" s="30">
        <v>0</v>
      </c>
      <c r="F19" s="30">
        <v>0</v>
      </c>
      <c r="G19" s="31">
        <f>SUM(IL_FINANCIAL)</f>
        <v>0</v>
      </c>
      <c r="H19" s="30"/>
      <c r="I19" s="34" t="s">
        <v>33</v>
      </c>
      <c r="J19" s="35">
        <v>43973889.679381259</v>
      </c>
      <c r="K19" s="30"/>
      <c r="L19" s="29"/>
      <c r="M19" s="30"/>
      <c r="N19" s="30"/>
      <c r="O19" s="30"/>
      <c r="P19" s="30"/>
      <c r="Q19" s="30"/>
      <c r="R19" s="30"/>
      <c r="S19" s="30"/>
      <c r="T19" s="30"/>
      <c r="U19" s="30"/>
      <c r="V19" s="31"/>
    </row>
    <row r="20" spans="1:22">
      <c r="A20" s="1" t="s">
        <v>34</v>
      </c>
      <c r="B20" s="29">
        <v>0</v>
      </c>
      <c r="C20" s="30">
        <v>315025.02542989142</v>
      </c>
      <c r="D20" s="30">
        <v>0</v>
      </c>
      <c r="E20" s="30">
        <v>0</v>
      </c>
      <c r="F20" s="30">
        <v>0</v>
      </c>
      <c r="G20" s="31">
        <f>SUM(IN_FINANCIAL)</f>
        <v>315025.02542989142</v>
      </c>
      <c r="H20" s="30"/>
      <c r="I20" s="34" t="s">
        <v>35</v>
      </c>
      <c r="J20" s="35">
        <v>3744837.3099767314</v>
      </c>
      <c r="K20" s="30"/>
      <c r="L20" s="29"/>
      <c r="M20" s="30"/>
      <c r="N20" s="30"/>
      <c r="O20" s="30"/>
      <c r="P20" s="30"/>
      <c r="Q20" s="30"/>
      <c r="R20" s="30"/>
      <c r="S20" s="30"/>
      <c r="T20" s="30"/>
      <c r="U20" s="30"/>
      <c r="V20" s="31"/>
    </row>
    <row r="21" spans="1:22">
      <c r="A21" s="1" t="s">
        <v>36</v>
      </c>
      <c r="B21" s="29">
        <v>0</v>
      </c>
      <c r="C21" s="30">
        <v>0</v>
      </c>
      <c r="D21" s="30">
        <v>0</v>
      </c>
      <c r="E21" s="30">
        <v>0</v>
      </c>
      <c r="F21" s="30">
        <v>0</v>
      </c>
      <c r="G21" s="31">
        <f>SUM(IA_FINANCIAL)</f>
        <v>0</v>
      </c>
      <c r="H21" s="30"/>
      <c r="I21" s="34" t="s">
        <v>37</v>
      </c>
      <c r="J21" s="35"/>
      <c r="K21" s="30"/>
      <c r="L21" s="29"/>
      <c r="M21" s="30"/>
      <c r="N21" s="30"/>
      <c r="O21" s="30"/>
      <c r="P21" s="30"/>
      <c r="Q21" s="30"/>
      <c r="R21" s="30"/>
      <c r="S21" s="30"/>
      <c r="T21" s="30"/>
      <c r="U21" s="30"/>
      <c r="V21" s="31"/>
    </row>
    <row r="22" spans="1:22">
      <c r="A22" s="1" t="s">
        <v>38</v>
      </c>
      <c r="B22" s="29">
        <v>0</v>
      </c>
      <c r="C22" s="30">
        <v>0</v>
      </c>
      <c r="D22" s="30">
        <v>0</v>
      </c>
      <c r="E22" s="30">
        <v>0</v>
      </c>
      <c r="F22" s="30">
        <v>0</v>
      </c>
      <c r="G22" s="31">
        <f>SUM(KS_FINANCIAL)</f>
        <v>0</v>
      </c>
      <c r="H22" s="30"/>
      <c r="I22" s="34" t="s">
        <v>39</v>
      </c>
      <c r="J22" s="35">
        <v>5169108.2706420003</v>
      </c>
      <c r="K22" s="30"/>
      <c r="L22" s="29"/>
      <c r="M22" s="30"/>
      <c r="N22" s="30"/>
      <c r="O22" s="30"/>
      <c r="P22" s="30"/>
      <c r="Q22" s="30"/>
      <c r="R22" s="30"/>
      <c r="S22" s="30"/>
      <c r="T22" s="30"/>
      <c r="U22" s="30"/>
      <c r="V22" s="31"/>
    </row>
    <row r="23" spans="1:22">
      <c r="A23" s="1" t="s">
        <v>40</v>
      </c>
      <c r="B23" s="29">
        <v>232.2158259633776</v>
      </c>
      <c r="C23" s="30">
        <v>273730.87188487727</v>
      </c>
      <c r="D23" s="30">
        <v>0</v>
      </c>
      <c r="E23" s="30">
        <v>0</v>
      </c>
      <c r="F23" s="30">
        <v>0</v>
      </c>
      <c r="G23" s="31">
        <f>SUM(KY_FINANCIAL)</f>
        <v>273963.08771084063</v>
      </c>
      <c r="H23" s="30"/>
      <c r="I23" s="34" t="s">
        <v>41</v>
      </c>
      <c r="J23" s="35"/>
      <c r="K23" s="30"/>
      <c r="L23" s="29">
        <v>0</v>
      </c>
      <c r="M23" s="30">
        <v>0</v>
      </c>
      <c r="N23" s="30"/>
      <c r="O23" s="30">
        <v>350000</v>
      </c>
      <c r="P23" s="30">
        <v>0</v>
      </c>
      <c r="Q23" s="30"/>
      <c r="R23" s="30">
        <v>0</v>
      </c>
      <c r="S23" s="30">
        <v>0</v>
      </c>
      <c r="T23" s="30"/>
      <c r="U23" s="30">
        <v>0</v>
      </c>
      <c r="V23" s="31">
        <v>0</v>
      </c>
    </row>
    <row r="24" spans="1:22">
      <c r="A24" s="1" t="s">
        <v>42</v>
      </c>
      <c r="B24" s="29">
        <v>0</v>
      </c>
      <c r="C24" s="30">
        <v>149758.74701574814</v>
      </c>
      <c r="D24" s="30">
        <v>0</v>
      </c>
      <c r="E24" s="30">
        <v>0</v>
      </c>
      <c r="F24" s="30">
        <v>0</v>
      </c>
      <c r="G24" s="31">
        <f>SUM(LA_FINANCIAL)</f>
        <v>149758.74701574814</v>
      </c>
      <c r="H24" s="30"/>
      <c r="I24" s="34" t="s">
        <v>43</v>
      </c>
      <c r="J24" s="35">
        <v>4496991.9999999991</v>
      </c>
      <c r="K24" s="30"/>
      <c r="L24" s="29">
        <v>0</v>
      </c>
      <c r="M24" s="30">
        <v>0</v>
      </c>
      <c r="N24" s="30"/>
      <c r="O24" s="30">
        <v>245000</v>
      </c>
      <c r="P24" s="30">
        <v>0</v>
      </c>
      <c r="Q24" s="30"/>
      <c r="R24" s="30">
        <v>0</v>
      </c>
      <c r="S24" s="30">
        <v>0</v>
      </c>
      <c r="T24" s="30"/>
      <c r="U24" s="30">
        <v>0</v>
      </c>
      <c r="V24" s="31">
        <v>0</v>
      </c>
    </row>
    <row r="25" spans="1:22">
      <c r="A25" s="1" t="s">
        <v>44</v>
      </c>
      <c r="B25" s="29">
        <v>0</v>
      </c>
      <c r="C25" s="30">
        <v>0</v>
      </c>
      <c r="D25" s="30">
        <v>0</v>
      </c>
      <c r="E25" s="30">
        <v>0</v>
      </c>
      <c r="F25" s="30">
        <v>0</v>
      </c>
      <c r="G25" s="31">
        <f>SUM(ME_FINANCIAL)</f>
        <v>0</v>
      </c>
      <c r="H25" s="30"/>
      <c r="I25" s="34"/>
      <c r="J25" s="35"/>
      <c r="K25" s="30"/>
      <c r="L25" s="29"/>
      <c r="M25" s="30"/>
      <c r="N25" s="30"/>
      <c r="O25" s="30"/>
      <c r="P25" s="30"/>
      <c r="Q25" s="30"/>
      <c r="R25" s="30"/>
      <c r="S25" s="30"/>
      <c r="T25" s="30"/>
      <c r="U25" s="30"/>
      <c r="V25" s="31"/>
    </row>
    <row r="26" spans="1:22">
      <c r="A26" s="1" t="s">
        <v>45</v>
      </c>
      <c r="B26" s="29">
        <v>0</v>
      </c>
      <c r="C26" s="30">
        <v>240785.38541890634</v>
      </c>
      <c r="D26" s="30">
        <v>0</v>
      </c>
      <c r="E26" s="30">
        <v>0</v>
      </c>
      <c r="F26" s="30">
        <v>0</v>
      </c>
      <c r="G26" s="31">
        <f>SUM(MD_FINANCIAL)</f>
        <v>240785.38541890634</v>
      </c>
      <c r="H26" s="30"/>
      <c r="I26" s="34" t="s">
        <v>46</v>
      </c>
      <c r="J26" s="35">
        <f>SUM(ADD_FINANCIAL)-SUM(LESS_FINANCIAL)</f>
        <v>16325113.880000025</v>
      </c>
      <c r="K26" s="30"/>
      <c r="L26" s="29">
        <v>0</v>
      </c>
      <c r="M26" s="30">
        <v>0</v>
      </c>
      <c r="N26" s="30"/>
      <c r="O26" s="30">
        <v>375000</v>
      </c>
      <c r="P26" s="30">
        <v>0</v>
      </c>
      <c r="Q26" s="30"/>
      <c r="R26" s="30">
        <v>0</v>
      </c>
      <c r="S26" s="30">
        <v>0</v>
      </c>
      <c r="T26" s="30"/>
      <c r="U26" s="30">
        <v>0</v>
      </c>
      <c r="V26" s="31">
        <v>0</v>
      </c>
    </row>
    <row r="27" spans="1:22">
      <c r="A27" s="1" t="s">
        <v>47</v>
      </c>
      <c r="B27" s="29">
        <v>0</v>
      </c>
      <c r="C27" s="30">
        <v>0</v>
      </c>
      <c r="D27" s="30">
        <v>0</v>
      </c>
      <c r="E27" s="30">
        <v>0</v>
      </c>
      <c r="F27" s="30">
        <v>0</v>
      </c>
      <c r="G27" s="31">
        <f>SUM(MA_FINANCIAL)</f>
        <v>0</v>
      </c>
      <c r="H27" s="30"/>
      <c r="I27" s="34" t="s">
        <v>48</v>
      </c>
      <c r="J27" s="35">
        <f>SUM(ALL_BLOCKS)</f>
        <v>16325113.880000001</v>
      </c>
      <c r="K27" s="30"/>
      <c r="L27" s="29"/>
      <c r="M27" s="30"/>
      <c r="N27" s="30"/>
      <c r="O27" s="30"/>
      <c r="P27" s="30"/>
      <c r="Q27" s="30"/>
      <c r="R27" s="30"/>
      <c r="S27" s="30"/>
      <c r="T27" s="30"/>
      <c r="U27" s="30"/>
      <c r="V27" s="31"/>
    </row>
    <row r="28" spans="1:22">
      <c r="A28" s="1" t="s">
        <v>49</v>
      </c>
      <c r="B28" s="29">
        <v>0</v>
      </c>
      <c r="C28" s="30">
        <v>0</v>
      </c>
      <c r="D28" s="30">
        <v>0</v>
      </c>
      <c r="E28" s="30">
        <v>0</v>
      </c>
      <c r="F28" s="30">
        <v>0</v>
      </c>
      <c r="G28" s="31">
        <f>SUM(MI_FINANCIAL)</f>
        <v>0</v>
      </c>
      <c r="H28" s="30"/>
      <c r="I28" s="36"/>
      <c r="J28" s="37"/>
      <c r="K28" s="30"/>
      <c r="L28" s="29"/>
      <c r="M28" s="30"/>
      <c r="N28" s="30"/>
      <c r="O28" s="30"/>
      <c r="P28" s="30"/>
      <c r="Q28" s="30"/>
      <c r="R28" s="30"/>
      <c r="S28" s="30"/>
      <c r="T28" s="30"/>
      <c r="U28" s="30"/>
      <c r="V28" s="31"/>
    </row>
    <row r="29" spans="1:22">
      <c r="A29" s="1" t="s">
        <v>50</v>
      </c>
      <c r="B29" s="29">
        <v>0</v>
      </c>
      <c r="C29" s="30">
        <v>0</v>
      </c>
      <c r="D29" s="30">
        <v>0</v>
      </c>
      <c r="E29" s="30">
        <v>0</v>
      </c>
      <c r="F29" s="30">
        <v>0</v>
      </c>
      <c r="G29" s="31">
        <f>SUM(MN_FINANCIAL)</f>
        <v>0</v>
      </c>
      <c r="H29" s="30"/>
      <c r="I29" s="30"/>
      <c r="J29" s="30"/>
      <c r="K29" s="30"/>
      <c r="L29" s="29"/>
      <c r="M29" s="30"/>
      <c r="N29" s="30"/>
      <c r="O29" s="30"/>
      <c r="P29" s="30"/>
      <c r="Q29" s="30"/>
      <c r="R29" s="30"/>
      <c r="S29" s="30"/>
      <c r="T29" s="30"/>
      <c r="U29" s="30"/>
      <c r="V29" s="31"/>
    </row>
    <row r="30" spans="1:22">
      <c r="A30" s="1" t="s">
        <v>51</v>
      </c>
      <c r="B30" s="29">
        <v>0</v>
      </c>
      <c r="C30" s="30">
        <v>80131.980319196722</v>
      </c>
      <c r="D30" s="30">
        <v>0</v>
      </c>
      <c r="E30" s="30">
        <v>0</v>
      </c>
      <c r="F30" s="30">
        <v>0</v>
      </c>
      <c r="G30" s="31">
        <f>SUM(MS_FINANCIAL)</f>
        <v>80131.980319196722</v>
      </c>
      <c r="H30" s="30"/>
      <c r="I30" s="30"/>
      <c r="J30" s="30"/>
      <c r="K30" s="30"/>
      <c r="L30" s="29"/>
      <c r="M30" s="30"/>
      <c r="N30" s="30"/>
      <c r="O30" s="30"/>
      <c r="P30" s="30"/>
      <c r="Q30" s="30"/>
      <c r="R30" s="30"/>
      <c r="S30" s="30"/>
      <c r="T30" s="30"/>
      <c r="U30" s="30"/>
      <c r="V30" s="31"/>
    </row>
    <row r="31" spans="1:22">
      <c r="A31" s="1" t="s">
        <v>52</v>
      </c>
      <c r="B31" s="29">
        <v>0</v>
      </c>
      <c r="C31" s="30">
        <v>0</v>
      </c>
      <c r="D31" s="30">
        <v>0</v>
      </c>
      <c r="E31" s="30">
        <v>0</v>
      </c>
      <c r="F31" s="30">
        <v>0</v>
      </c>
      <c r="G31" s="31">
        <f>SUM(MO_FINANCIAL)</f>
        <v>0</v>
      </c>
      <c r="H31" s="30"/>
      <c r="I31" s="30"/>
      <c r="J31" s="30"/>
      <c r="K31" s="30"/>
      <c r="L31" s="29"/>
      <c r="M31" s="30"/>
      <c r="N31" s="30"/>
      <c r="O31" s="30"/>
      <c r="P31" s="30"/>
      <c r="Q31" s="30"/>
      <c r="R31" s="30"/>
      <c r="S31" s="30"/>
      <c r="T31" s="30"/>
      <c r="U31" s="30"/>
      <c r="V31" s="31"/>
    </row>
    <row r="32" spans="1:22">
      <c r="A32" s="1" t="s">
        <v>53</v>
      </c>
      <c r="B32" s="29">
        <v>0</v>
      </c>
      <c r="C32" s="30">
        <v>0</v>
      </c>
      <c r="D32" s="30">
        <v>0</v>
      </c>
      <c r="E32" s="30">
        <v>0</v>
      </c>
      <c r="F32" s="30">
        <v>0</v>
      </c>
      <c r="G32" s="31">
        <f>SUM(MT_FINANCIAL)</f>
        <v>0</v>
      </c>
      <c r="H32" s="30"/>
      <c r="I32" s="30"/>
      <c r="J32" s="30"/>
      <c r="K32" s="30"/>
      <c r="L32" s="29"/>
      <c r="M32" s="30"/>
      <c r="N32" s="30"/>
      <c r="O32" s="30"/>
      <c r="P32" s="30"/>
      <c r="Q32" s="30"/>
      <c r="R32" s="30"/>
      <c r="S32" s="30"/>
      <c r="T32" s="30"/>
      <c r="U32" s="30"/>
      <c r="V32" s="31"/>
    </row>
    <row r="33" spans="1:22">
      <c r="A33" s="1" t="s">
        <v>54</v>
      </c>
      <c r="B33" s="29">
        <v>0</v>
      </c>
      <c r="C33" s="30">
        <v>0</v>
      </c>
      <c r="D33" s="30">
        <v>0</v>
      </c>
      <c r="E33" s="30">
        <v>0</v>
      </c>
      <c r="F33" s="30">
        <v>0</v>
      </c>
      <c r="G33" s="31">
        <f>SUM(NE_FINANCIAL)</f>
        <v>0</v>
      </c>
      <c r="H33" s="30"/>
      <c r="I33" s="30"/>
      <c r="J33" s="30"/>
      <c r="K33" s="30"/>
      <c r="L33" s="29"/>
      <c r="M33" s="30"/>
      <c r="N33" s="30"/>
      <c r="O33" s="30"/>
      <c r="P33" s="30"/>
      <c r="Q33" s="30"/>
      <c r="R33" s="30"/>
      <c r="S33" s="30"/>
      <c r="T33" s="30"/>
      <c r="U33" s="30"/>
      <c r="V33" s="31"/>
    </row>
    <row r="34" spans="1:22">
      <c r="A34" s="1" t="s">
        <v>55</v>
      </c>
      <c r="B34" s="29">
        <v>0</v>
      </c>
      <c r="C34" s="30">
        <v>20601.513067498177</v>
      </c>
      <c r="D34" s="30">
        <v>0</v>
      </c>
      <c r="E34" s="30">
        <v>0</v>
      </c>
      <c r="F34" s="30">
        <v>0</v>
      </c>
      <c r="G34" s="31">
        <f>SUM(NV_FINANCIAL)</f>
        <v>20601.513067498177</v>
      </c>
      <c r="H34" s="30"/>
      <c r="I34" s="30"/>
      <c r="J34" s="30"/>
      <c r="K34" s="30"/>
      <c r="L34" s="29"/>
      <c r="M34" s="30"/>
      <c r="N34" s="30"/>
      <c r="O34" s="30"/>
      <c r="P34" s="30"/>
      <c r="Q34" s="30"/>
      <c r="R34" s="30"/>
      <c r="S34" s="30"/>
      <c r="T34" s="30"/>
      <c r="U34" s="30"/>
      <c r="V34" s="31"/>
    </row>
    <row r="35" spans="1:22">
      <c r="A35" s="1" t="s">
        <v>56</v>
      </c>
      <c r="B35" s="29">
        <v>0</v>
      </c>
      <c r="C35" s="30">
        <v>0</v>
      </c>
      <c r="D35" s="30">
        <v>0</v>
      </c>
      <c r="E35" s="30">
        <v>0</v>
      </c>
      <c r="F35" s="30">
        <v>0</v>
      </c>
      <c r="G35" s="31">
        <f>SUM(NH_FINANCIAL)</f>
        <v>0</v>
      </c>
      <c r="H35" s="30"/>
      <c r="I35" s="30"/>
      <c r="J35" s="30"/>
      <c r="K35" s="30"/>
      <c r="L35" s="29"/>
      <c r="M35" s="30"/>
      <c r="N35" s="30"/>
      <c r="O35" s="30"/>
      <c r="P35" s="30"/>
      <c r="Q35" s="30"/>
      <c r="R35" s="30"/>
      <c r="S35" s="30"/>
      <c r="T35" s="30"/>
      <c r="U35" s="30"/>
      <c r="V35" s="31"/>
    </row>
    <row r="36" spans="1:22">
      <c r="A36" s="1" t="s">
        <v>57</v>
      </c>
      <c r="B36" s="29">
        <v>0</v>
      </c>
      <c r="C36" s="30">
        <v>0</v>
      </c>
      <c r="D36" s="30">
        <v>0</v>
      </c>
      <c r="E36" s="30">
        <v>0</v>
      </c>
      <c r="F36" s="30">
        <v>0</v>
      </c>
      <c r="G36" s="31">
        <f>SUM(NJ_FINANCIAL)</f>
        <v>0</v>
      </c>
      <c r="H36" s="30"/>
      <c r="I36" s="30"/>
      <c r="J36" s="30"/>
      <c r="K36" s="30"/>
      <c r="L36" s="29"/>
      <c r="M36" s="30"/>
      <c r="N36" s="30"/>
      <c r="O36" s="30"/>
      <c r="P36" s="30"/>
      <c r="Q36" s="30"/>
      <c r="R36" s="30"/>
      <c r="S36" s="30"/>
      <c r="T36" s="30"/>
      <c r="U36" s="30"/>
      <c r="V36" s="31"/>
    </row>
    <row r="37" spans="1:22">
      <c r="A37" s="1" t="s">
        <v>58</v>
      </c>
      <c r="B37" s="29">
        <v>0</v>
      </c>
      <c r="C37" s="30">
        <v>38525.144288472831</v>
      </c>
      <c r="D37" s="30">
        <v>0</v>
      </c>
      <c r="E37" s="30">
        <v>0</v>
      </c>
      <c r="F37" s="30">
        <v>0</v>
      </c>
      <c r="G37" s="31">
        <f>SUM(NM_FINANCIAL)</f>
        <v>38525.144288472831</v>
      </c>
      <c r="H37" s="30"/>
      <c r="I37" s="30"/>
      <c r="J37" s="30"/>
      <c r="K37" s="30"/>
      <c r="L37" s="29">
        <v>0</v>
      </c>
      <c r="M37" s="30">
        <v>0</v>
      </c>
      <c r="N37" s="30"/>
      <c r="O37" s="30">
        <v>69889</v>
      </c>
      <c r="P37" s="30">
        <v>0</v>
      </c>
      <c r="Q37" s="30"/>
      <c r="R37" s="30">
        <v>0</v>
      </c>
      <c r="S37" s="30">
        <v>0</v>
      </c>
      <c r="T37" s="30"/>
      <c r="U37" s="30">
        <v>0</v>
      </c>
      <c r="V37" s="31">
        <v>0</v>
      </c>
    </row>
    <row r="38" spans="1:22">
      <c r="A38" s="1" t="s">
        <v>59</v>
      </c>
      <c r="B38" s="29">
        <v>0</v>
      </c>
      <c r="C38" s="30">
        <v>0</v>
      </c>
      <c r="D38" s="30">
        <v>0</v>
      </c>
      <c r="E38" s="30">
        <v>0</v>
      </c>
      <c r="F38" s="30">
        <v>0</v>
      </c>
      <c r="G38" s="31">
        <f>SUM(NY_FINANCIAL)</f>
        <v>0</v>
      </c>
      <c r="H38" s="30"/>
      <c r="I38" s="30"/>
      <c r="J38" s="30"/>
      <c r="K38" s="30"/>
      <c r="L38" s="29"/>
      <c r="M38" s="30"/>
      <c r="N38" s="30"/>
      <c r="O38" s="30"/>
      <c r="P38" s="30"/>
      <c r="Q38" s="30"/>
      <c r="R38" s="30"/>
      <c r="S38" s="30"/>
      <c r="T38" s="30"/>
      <c r="U38" s="30"/>
      <c r="V38" s="31"/>
    </row>
    <row r="39" spans="1:22">
      <c r="A39" s="1" t="s">
        <v>60</v>
      </c>
      <c r="B39" s="29">
        <v>449.16766928768322</v>
      </c>
      <c r="C39" s="30">
        <v>1014267.8946200148</v>
      </c>
      <c r="D39" s="30">
        <v>0</v>
      </c>
      <c r="E39" s="30">
        <v>0</v>
      </c>
      <c r="F39" s="30">
        <v>0</v>
      </c>
      <c r="G39" s="31">
        <f>SUM(NC_FINANCIAL)</f>
        <v>1014717.0622893025</v>
      </c>
      <c r="H39" s="30"/>
      <c r="I39" s="30"/>
      <c r="J39" s="30"/>
      <c r="K39" s="30"/>
      <c r="L39" s="29">
        <v>0</v>
      </c>
      <c r="M39" s="30">
        <v>0</v>
      </c>
      <c r="N39" s="30"/>
      <c r="O39" s="30">
        <v>1300000</v>
      </c>
      <c r="P39" s="30">
        <v>350000</v>
      </c>
      <c r="Q39" s="30"/>
      <c r="R39" s="30">
        <v>0</v>
      </c>
      <c r="S39" s="30">
        <v>0</v>
      </c>
      <c r="T39" s="30"/>
      <c r="U39" s="30">
        <v>0</v>
      </c>
      <c r="V39" s="31">
        <v>0</v>
      </c>
    </row>
    <row r="40" spans="1:22">
      <c r="A40" s="1" t="s">
        <v>61</v>
      </c>
      <c r="B40" s="29">
        <v>0</v>
      </c>
      <c r="C40" s="30">
        <v>0</v>
      </c>
      <c r="D40" s="30">
        <v>0</v>
      </c>
      <c r="E40" s="30">
        <v>0</v>
      </c>
      <c r="F40" s="30">
        <v>0</v>
      </c>
      <c r="G40" s="31">
        <f>SUM(ND_FINANCIAL)</f>
        <v>0</v>
      </c>
      <c r="H40" s="30"/>
      <c r="I40" s="30"/>
      <c r="J40" s="30"/>
      <c r="K40" s="30"/>
      <c r="L40" s="29"/>
      <c r="M40" s="30"/>
      <c r="N40" s="30"/>
      <c r="O40" s="30"/>
      <c r="P40" s="30"/>
      <c r="Q40" s="30"/>
      <c r="R40" s="30"/>
      <c r="S40" s="30"/>
      <c r="T40" s="30"/>
      <c r="U40" s="30"/>
      <c r="V40" s="31"/>
    </row>
    <row r="41" spans="1:22">
      <c r="A41" s="1" t="s">
        <v>62</v>
      </c>
      <c r="B41" s="29">
        <v>2049.0499319271426</v>
      </c>
      <c r="C41" s="30">
        <v>2669552.9420914156</v>
      </c>
      <c r="D41" s="30">
        <v>0</v>
      </c>
      <c r="E41" s="30">
        <v>0</v>
      </c>
      <c r="F41" s="30">
        <v>0</v>
      </c>
      <c r="G41" s="31">
        <f>SUM(OH_FINANCIAL)</f>
        <v>2671601.9920233428</v>
      </c>
      <c r="H41" s="30"/>
      <c r="I41" s="30"/>
      <c r="J41" s="30"/>
      <c r="K41" s="30"/>
      <c r="L41" s="29">
        <v>0</v>
      </c>
      <c r="M41" s="30">
        <v>0</v>
      </c>
      <c r="N41" s="30"/>
      <c r="O41" s="30">
        <v>3200000</v>
      </c>
      <c r="P41" s="30">
        <v>0</v>
      </c>
      <c r="Q41" s="30"/>
      <c r="R41" s="30">
        <v>0</v>
      </c>
      <c r="S41" s="30">
        <v>0</v>
      </c>
      <c r="T41" s="30"/>
      <c r="U41" s="30">
        <v>0</v>
      </c>
      <c r="V41" s="31">
        <v>0</v>
      </c>
    </row>
    <row r="42" spans="1:22">
      <c r="A42" s="1" t="s">
        <v>63</v>
      </c>
      <c r="B42" s="29">
        <v>0</v>
      </c>
      <c r="C42" s="30">
        <v>257636.85080485744</v>
      </c>
      <c r="D42" s="30">
        <v>0</v>
      </c>
      <c r="E42" s="30">
        <v>0</v>
      </c>
      <c r="F42" s="30">
        <v>0</v>
      </c>
      <c r="G42" s="31">
        <f>SUM(OK_FINANCIAL)</f>
        <v>257636.85080485744</v>
      </c>
      <c r="H42" s="30"/>
      <c r="I42" s="30"/>
      <c r="J42" s="30"/>
      <c r="K42" s="30"/>
      <c r="L42" s="29">
        <v>0</v>
      </c>
      <c r="M42" s="30">
        <v>0</v>
      </c>
      <c r="N42" s="30"/>
      <c r="O42" s="30">
        <v>6200</v>
      </c>
      <c r="P42" s="30">
        <v>60000</v>
      </c>
      <c r="Q42" s="30"/>
      <c r="R42" s="30">
        <v>0</v>
      </c>
      <c r="S42" s="30">
        <v>0</v>
      </c>
      <c r="T42" s="30"/>
      <c r="U42" s="30">
        <v>0</v>
      </c>
      <c r="V42" s="31">
        <v>0</v>
      </c>
    </row>
    <row r="43" spans="1:22">
      <c r="A43" s="1" t="s">
        <v>64</v>
      </c>
      <c r="B43" s="29">
        <v>0</v>
      </c>
      <c r="C43" s="30">
        <v>5620.2147375166278</v>
      </c>
      <c r="D43" s="30">
        <v>0</v>
      </c>
      <c r="E43" s="30">
        <v>0</v>
      </c>
      <c r="F43" s="30">
        <v>0</v>
      </c>
      <c r="G43" s="31">
        <f>SUM(OR_FINANCIAL)</f>
        <v>5620.2147375166278</v>
      </c>
      <c r="H43" s="30"/>
      <c r="I43" s="30"/>
      <c r="J43" s="30"/>
      <c r="K43" s="30"/>
      <c r="L43" s="29"/>
      <c r="M43" s="30"/>
      <c r="N43" s="30"/>
      <c r="O43" s="30"/>
      <c r="P43" s="30"/>
      <c r="Q43" s="30"/>
      <c r="R43" s="30"/>
      <c r="S43" s="30"/>
      <c r="T43" s="30"/>
      <c r="U43" s="30"/>
      <c r="V43" s="31"/>
    </row>
    <row r="44" spans="1:22">
      <c r="A44" s="1" t="s">
        <v>65</v>
      </c>
      <c r="B44" s="29">
        <v>0</v>
      </c>
      <c r="C44" s="30">
        <v>0</v>
      </c>
      <c r="D44" s="30">
        <v>0</v>
      </c>
      <c r="E44" s="30">
        <v>0</v>
      </c>
      <c r="F44" s="30">
        <v>0</v>
      </c>
      <c r="G44" s="31">
        <f>SUM(PA_FINANCIAL)</f>
        <v>0</v>
      </c>
      <c r="H44" s="30"/>
      <c r="I44" s="30"/>
      <c r="J44" s="30"/>
      <c r="K44" s="30"/>
      <c r="L44" s="29"/>
      <c r="M44" s="30"/>
      <c r="N44" s="30"/>
      <c r="O44" s="30"/>
      <c r="P44" s="30"/>
      <c r="Q44" s="30"/>
      <c r="R44" s="30"/>
      <c r="S44" s="30"/>
      <c r="T44" s="30"/>
      <c r="U44" s="30"/>
      <c r="V44" s="31"/>
    </row>
    <row r="45" spans="1:22">
      <c r="A45" s="1" t="s">
        <v>66</v>
      </c>
      <c r="B45" s="29">
        <v>0</v>
      </c>
      <c r="C45" s="30">
        <v>0</v>
      </c>
      <c r="D45" s="30">
        <v>0</v>
      </c>
      <c r="E45" s="30">
        <v>0</v>
      </c>
      <c r="F45" s="30">
        <v>0</v>
      </c>
      <c r="G45" s="31">
        <f>SUM(PR_FINANCIAL)</f>
        <v>0</v>
      </c>
      <c r="H45" s="30"/>
      <c r="I45" s="30"/>
      <c r="J45" s="30"/>
      <c r="K45" s="30"/>
      <c r="L45" s="29"/>
      <c r="M45" s="30"/>
      <c r="N45" s="30"/>
      <c r="O45" s="30"/>
      <c r="P45" s="30"/>
      <c r="Q45" s="30"/>
      <c r="R45" s="30"/>
      <c r="S45" s="30"/>
      <c r="T45" s="30"/>
      <c r="U45" s="30"/>
      <c r="V45" s="31"/>
    </row>
    <row r="46" spans="1:22">
      <c r="A46" s="1" t="s">
        <v>67</v>
      </c>
      <c r="B46" s="29">
        <v>0</v>
      </c>
      <c r="C46" s="30">
        <v>0</v>
      </c>
      <c r="D46" s="30">
        <v>0</v>
      </c>
      <c r="E46" s="30">
        <v>0</v>
      </c>
      <c r="F46" s="30">
        <v>0</v>
      </c>
      <c r="G46" s="31">
        <f>SUM(RI_FINANCIAL)</f>
        <v>0</v>
      </c>
      <c r="H46" s="30"/>
      <c r="I46" s="30"/>
      <c r="J46" s="30"/>
      <c r="K46" s="30"/>
      <c r="L46" s="29"/>
      <c r="M46" s="30"/>
      <c r="N46" s="30"/>
      <c r="O46" s="30"/>
      <c r="P46" s="30"/>
      <c r="Q46" s="30"/>
      <c r="R46" s="30"/>
      <c r="S46" s="30"/>
      <c r="T46" s="30"/>
      <c r="U46" s="30"/>
      <c r="V46" s="31"/>
    </row>
    <row r="47" spans="1:22">
      <c r="A47" s="1" t="s">
        <v>68</v>
      </c>
      <c r="B47" s="29">
        <v>2238.2533323820116</v>
      </c>
      <c r="C47" s="30">
        <v>61279.011316424338</v>
      </c>
      <c r="D47" s="30">
        <v>0</v>
      </c>
      <c r="E47" s="30">
        <v>0</v>
      </c>
      <c r="F47" s="30">
        <v>0</v>
      </c>
      <c r="G47" s="31">
        <f>SUM(SC_FINANCIAL)</f>
        <v>63517.264648806347</v>
      </c>
      <c r="H47" s="30"/>
      <c r="I47" s="30"/>
      <c r="J47" s="30"/>
      <c r="K47" s="30"/>
      <c r="L47" s="29"/>
      <c r="M47" s="30"/>
      <c r="N47" s="30"/>
      <c r="O47" s="30"/>
      <c r="P47" s="30"/>
      <c r="Q47" s="30"/>
      <c r="R47" s="30"/>
      <c r="S47" s="30"/>
      <c r="T47" s="30"/>
      <c r="U47" s="30"/>
      <c r="V47" s="31"/>
    </row>
    <row r="48" spans="1:22">
      <c r="A48" s="1" t="s">
        <v>69</v>
      </c>
      <c r="B48" s="29">
        <v>0</v>
      </c>
      <c r="C48" s="30">
        <v>0</v>
      </c>
      <c r="D48" s="30">
        <v>0</v>
      </c>
      <c r="E48" s="30">
        <v>0</v>
      </c>
      <c r="F48" s="30">
        <v>0</v>
      </c>
      <c r="G48" s="31">
        <f>SUM(SD_FINANCIAL)</f>
        <v>0</v>
      </c>
      <c r="H48" s="30"/>
      <c r="I48" s="30"/>
      <c r="J48" s="30"/>
      <c r="K48" s="30"/>
      <c r="L48" s="29"/>
      <c r="M48" s="30"/>
      <c r="N48" s="30"/>
      <c r="O48" s="30"/>
      <c r="P48" s="30"/>
      <c r="Q48" s="30"/>
      <c r="R48" s="30"/>
      <c r="S48" s="30"/>
      <c r="T48" s="30"/>
      <c r="U48" s="30"/>
      <c r="V48" s="31"/>
    </row>
    <row r="49" spans="1:22">
      <c r="A49" s="1" t="s">
        <v>70</v>
      </c>
      <c r="B49" s="29">
        <v>0</v>
      </c>
      <c r="C49" s="30">
        <v>122278.53772362793</v>
      </c>
      <c r="D49" s="30">
        <v>0</v>
      </c>
      <c r="E49" s="30">
        <v>0</v>
      </c>
      <c r="F49" s="30">
        <v>0</v>
      </c>
      <c r="G49" s="31">
        <f>SUM(TN_FINANCIAL)</f>
        <v>122278.53772362793</v>
      </c>
      <c r="H49" s="30"/>
      <c r="I49" s="30"/>
      <c r="J49" s="30"/>
      <c r="K49" s="30"/>
      <c r="L49" s="29"/>
      <c r="M49" s="30"/>
      <c r="N49" s="30"/>
      <c r="O49" s="30"/>
      <c r="P49" s="30"/>
      <c r="Q49" s="30"/>
      <c r="R49" s="30"/>
      <c r="S49" s="30"/>
      <c r="T49" s="30"/>
      <c r="U49" s="30"/>
      <c r="V49" s="31"/>
    </row>
    <row r="50" spans="1:22">
      <c r="A50" s="1" t="s">
        <v>71</v>
      </c>
      <c r="B50" s="29">
        <v>0</v>
      </c>
      <c r="C50" s="30">
        <v>2700639.5278583383</v>
      </c>
      <c r="D50" s="30">
        <v>0</v>
      </c>
      <c r="E50" s="30">
        <v>0</v>
      </c>
      <c r="F50" s="30">
        <v>0</v>
      </c>
      <c r="G50" s="31">
        <f>SUM(TX_FINANCIAL)</f>
        <v>2700639.5278583383</v>
      </c>
      <c r="H50" s="30"/>
      <c r="I50" s="30"/>
      <c r="J50" s="30"/>
      <c r="K50" s="30"/>
      <c r="L50" s="29">
        <v>306204</v>
      </c>
      <c r="M50" s="30">
        <v>49490.362081562751</v>
      </c>
      <c r="N50" s="30"/>
      <c r="O50" s="30">
        <v>2944373</v>
      </c>
      <c r="P50" s="30">
        <v>475885.63791843725</v>
      </c>
      <c r="Q50" s="30"/>
      <c r="R50" s="30">
        <v>0</v>
      </c>
      <c r="S50" s="30">
        <v>0</v>
      </c>
      <c r="T50" s="30"/>
      <c r="U50" s="30">
        <v>0</v>
      </c>
      <c r="V50" s="31">
        <v>0</v>
      </c>
    </row>
    <row r="51" spans="1:22">
      <c r="A51" s="1" t="s">
        <v>72</v>
      </c>
      <c r="B51" s="29">
        <v>0</v>
      </c>
      <c r="C51" s="30">
        <v>0</v>
      </c>
      <c r="D51" s="30">
        <v>0</v>
      </c>
      <c r="E51" s="30">
        <v>0</v>
      </c>
      <c r="F51" s="30">
        <v>0</v>
      </c>
      <c r="G51" s="31">
        <f>SUM(UT_FINANCIAL)</f>
        <v>0</v>
      </c>
      <c r="H51" s="30"/>
      <c r="I51" s="30"/>
      <c r="J51" s="30"/>
      <c r="K51" s="30"/>
      <c r="L51" s="29"/>
      <c r="M51" s="30"/>
      <c r="N51" s="30"/>
      <c r="O51" s="30"/>
      <c r="P51" s="30"/>
      <c r="Q51" s="30"/>
      <c r="R51" s="30"/>
      <c r="S51" s="30"/>
      <c r="T51" s="30"/>
      <c r="U51" s="30"/>
      <c r="V51" s="31"/>
    </row>
    <row r="52" spans="1:22">
      <c r="A52" s="1" t="s">
        <v>73</v>
      </c>
      <c r="B52" s="29">
        <v>0</v>
      </c>
      <c r="C52" s="30">
        <v>0</v>
      </c>
      <c r="D52" s="30">
        <v>0</v>
      </c>
      <c r="E52" s="30">
        <v>0</v>
      </c>
      <c r="F52" s="30">
        <v>0</v>
      </c>
      <c r="G52" s="31">
        <f>SUM(VT_FINANCIAL)</f>
        <v>0</v>
      </c>
      <c r="H52" s="30"/>
      <c r="I52" s="30"/>
      <c r="J52" s="30"/>
      <c r="K52" s="30"/>
      <c r="L52" s="29"/>
      <c r="M52" s="30"/>
      <c r="N52" s="30"/>
      <c r="O52" s="30"/>
      <c r="P52" s="30"/>
      <c r="Q52" s="30"/>
      <c r="R52" s="30"/>
      <c r="S52" s="30"/>
      <c r="T52" s="30"/>
      <c r="U52" s="30"/>
      <c r="V52" s="31"/>
    </row>
    <row r="53" spans="1:22">
      <c r="A53" s="1" t="s">
        <v>74</v>
      </c>
      <c r="B53" s="29">
        <v>707.87667526424627</v>
      </c>
      <c r="C53" s="30">
        <v>381978.62940766744</v>
      </c>
      <c r="D53" s="30">
        <v>0</v>
      </c>
      <c r="E53" s="30">
        <v>0</v>
      </c>
      <c r="F53" s="30">
        <v>0</v>
      </c>
      <c r="G53" s="31">
        <f>SUM(VA_FINANCIAL)</f>
        <v>382686.50608293171</v>
      </c>
      <c r="H53" s="30"/>
      <c r="I53" s="30"/>
      <c r="J53" s="30"/>
      <c r="K53" s="30"/>
      <c r="L53" s="29">
        <v>1300</v>
      </c>
      <c r="M53" s="30">
        <v>0</v>
      </c>
      <c r="N53" s="30"/>
      <c r="O53" s="30">
        <v>456000</v>
      </c>
      <c r="P53" s="30">
        <v>0</v>
      </c>
      <c r="Q53" s="30"/>
      <c r="R53" s="30">
        <v>0</v>
      </c>
      <c r="S53" s="30">
        <v>0</v>
      </c>
      <c r="T53" s="30"/>
      <c r="U53" s="30">
        <v>0</v>
      </c>
      <c r="V53" s="31">
        <v>0</v>
      </c>
    </row>
    <row r="54" spans="1:22">
      <c r="A54" s="1" t="s">
        <v>75</v>
      </c>
      <c r="B54" s="29">
        <v>0</v>
      </c>
      <c r="C54" s="30">
        <v>4233.0127565402727</v>
      </c>
      <c r="D54" s="30">
        <v>0</v>
      </c>
      <c r="E54" s="30">
        <v>0</v>
      </c>
      <c r="F54" s="30">
        <v>0</v>
      </c>
      <c r="G54" s="31">
        <f>SUM(WA_FINANCIAL)</f>
        <v>4233.0127565402727</v>
      </c>
      <c r="H54" s="30"/>
      <c r="I54" s="30"/>
      <c r="J54" s="30"/>
      <c r="K54" s="30"/>
      <c r="L54" s="29"/>
      <c r="M54" s="30"/>
      <c r="N54" s="30"/>
      <c r="O54" s="30"/>
      <c r="P54" s="30"/>
      <c r="Q54" s="30"/>
      <c r="R54" s="30"/>
      <c r="S54" s="30"/>
      <c r="T54" s="30"/>
      <c r="U54" s="30"/>
      <c r="V54" s="31"/>
    </row>
    <row r="55" spans="1:22">
      <c r="A55" s="1" t="s">
        <v>76</v>
      </c>
      <c r="B55" s="29">
        <v>91.565198556084653</v>
      </c>
      <c r="C55" s="30">
        <v>107257.52422618613</v>
      </c>
      <c r="D55" s="30">
        <v>0</v>
      </c>
      <c r="E55" s="30">
        <v>0</v>
      </c>
      <c r="F55" s="30">
        <v>0</v>
      </c>
      <c r="G55" s="31">
        <f>SUM(WV_FINANCIAL)</f>
        <v>107349.08942474221</v>
      </c>
      <c r="H55" s="30"/>
      <c r="I55" s="30"/>
      <c r="J55" s="30"/>
      <c r="K55" s="30"/>
      <c r="L55" s="29">
        <v>0</v>
      </c>
      <c r="M55" s="30">
        <v>0</v>
      </c>
      <c r="N55" s="30"/>
      <c r="O55" s="30">
        <v>0</v>
      </c>
      <c r="P55" s="30">
        <v>147404</v>
      </c>
      <c r="Q55" s="30"/>
      <c r="R55" s="30">
        <v>0</v>
      </c>
      <c r="S55" s="30">
        <v>0</v>
      </c>
      <c r="T55" s="30"/>
      <c r="U55" s="30">
        <v>0</v>
      </c>
      <c r="V55" s="31">
        <v>0</v>
      </c>
    </row>
    <row r="56" spans="1:22">
      <c r="A56" s="1" t="s">
        <v>77</v>
      </c>
      <c r="B56" s="29">
        <v>0</v>
      </c>
      <c r="C56" s="30">
        <v>0</v>
      </c>
      <c r="D56" s="30">
        <v>0</v>
      </c>
      <c r="E56" s="30">
        <v>0</v>
      </c>
      <c r="F56" s="30">
        <v>0</v>
      </c>
      <c r="G56" s="31">
        <f>SUM(WI_FINANCIAL)</f>
        <v>0</v>
      </c>
      <c r="H56" s="30"/>
      <c r="I56" s="30"/>
      <c r="J56" s="30"/>
      <c r="K56" s="30"/>
      <c r="L56" s="29"/>
      <c r="M56" s="30"/>
      <c r="N56" s="30"/>
      <c r="O56" s="30"/>
      <c r="P56" s="30"/>
      <c r="Q56" s="30"/>
      <c r="R56" s="30"/>
      <c r="S56" s="30"/>
      <c r="T56" s="30"/>
      <c r="U56" s="30"/>
      <c r="V56" s="31"/>
    </row>
    <row r="57" spans="1:22">
      <c r="A57" s="1" t="s">
        <v>78</v>
      </c>
      <c r="B57" s="29">
        <v>0</v>
      </c>
      <c r="C57" s="30">
        <v>0</v>
      </c>
      <c r="D57" s="30">
        <v>0</v>
      </c>
      <c r="E57" s="30">
        <v>0</v>
      </c>
      <c r="F57" s="30">
        <v>0</v>
      </c>
      <c r="G57" s="31">
        <f>SUM(WY_FINANCIAL)</f>
        <v>0</v>
      </c>
      <c r="H57" s="30"/>
      <c r="I57" s="30"/>
      <c r="J57" s="30"/>
      <c r="K57" s="30"/>
      <c r="L57" s="29"/>
      <c r="M57" s="30"/>
      <c r="N57" s="30"/>
      <c r="O57" s="30"/>
      <c r="P57" s="30"/>
      <c r="Q57" s="30"/>
      <c r="R57" s="30"/>
      <c r="S57" s="30"/>
      <c r="T57" s="30"/>
      <c r="U57" s="30"/>
      <c r="V57" s="31"/>
    </row>
    <row r="58" spans="1:22">
      <c r="A58" s="1" t="s">
        <v>79</v>
      </c>
      <c r="B58" s="29">
        <v>0</v>
      </c>
      <c r="C58" s="30">
        <v>0</v>
      </c>
      <c r="D58" s="30">
        <v>0</v>
      </c>
      <c r="E58" s="30">
        <v>0</v>
      </c>
      <c r="F58" s="30">
        <v>0</v>
      </c>
      <c r="G58" s="31">
        <f>SUM(OT_FINANCIAL)</f>
        <v>0</v>
      </c>
      <c r="H58" s="30"/>
      <c r="I58" s="30"/>
      <c r="J58" s="30"/>
      <c r="K58" s="30"/>
      <c r="L58" s="29"/>
      <c r="M58" s="30"/>
      <c r="N58" s="30"/>
      <c r="O58" s="30"/>
      <c r="P58" s="30"/>
      <c r="Q58" s="30"/>
      <c r="R58" s="30"/>
      <c r="S58" s="30"/>
      <c r="T58" s="30"/>
      <c r="U58" s="30"/>
      <c r="V58" s="31"/>
    </row>
    <row r="59" spans="1:22">
      <c r="B59" s="29"/>
      <c r="C59" s="30"/>
      <c r="D59" s="30"/>
      <c r="E59" s="30"/>
      <c r="F59" s="30"/>
      <c r="G59" s="31"/>
      <c r="H59" s="30"/>
      <c r="I59" s="30"/>
      <c r="J59" s="30"/>
      <c r="K59" s="30"/>
      <c r="L59" s="29"/>
      <c r="M59" s="30"/>
      <c r="N59" s="30"/>
      <c r="O59" s="30"/>
      <c r="P59" s="30"/>
      <c r="Q59" s="30"/>
      <c r="R59" s="30"/>
      <c r="S59" s="30"/>
      <c r="T59" s="30"/>
      <c r="U59" s="30"/>
      <c r="V59" s="31"/>
    </row>
    <row r="60" spans="1:22">
      <c r="A60" s="1" t="s">
        <v>8</v>
      </c>
      <c r="B60" s="29">
        <f>SUM(LIFE)</f>
        <v>48630.912068676385</v>
      </c>
      <c r="C60" s="30">
        <f>SUM(ALLOCATED)</f>
        <v>16276482.967931326</v>
      </c>
      <c r="D60" s="30">
        <f>SUM(HEALTH)</f>
        <v>0</v>
      </c>
      <c r="E60" s="30">
        <f>SUM(UNALLOCATED)</f>
        <v>0</v>
      </c>
      <c r="F60" s="30">
        <f>SUM(LTC)</f>
        <v>0</v>
      </c>
      <c r="G60" s="31">
        <f>SUM(ALL_BLOCKS)</f>
        <v>16325113.880000001</v>
      </c>
      <c r="H60" s="30"/>
      <c r="I60" s="30"/>
      <c r="J60" s="30"/>
      <c r="K60" s="30"/>
      <c r="L60" s="29">
        <f>SUM(LIFE_CALLED)</f>
        <v>340667</v>
      </c>
      <c r="M60" s="30">
        <f>SUM(LIFE_REFUNDED)</f>
        <v>49490.362081562751</v>
      </c>
      <c r="N60" s="30"/>
      <c r="O60" s="30">
        <f>SUM(ALLOC_CALLED)</f>
        <v>17248265</v>
      </c>
      <c r="P60" s="30">
        <f>SUM(ALLOC_REFUNDED)</f>
        <v>1038487.1079184372</v>
      </c>
      <c r="Q60" s="30"/>
      <c r="R60" s="30">
        <f>SUM(HEALTH_CALLED)</f>
        <v>0</v>
      </c>
      <c r="S60" s="30">
        <f>SUM(HEALTH_REFUNDED)</f>
        <v>0</v>
      </c>
      <c r="T60" s="30"/>
      <c r="U60" s="30">
        <f>SUM(UNALLOC_CALLED)</f>
        <v>0</v>
      </c>
      <c r="V60" s="31">
        <f>SUM(UNALLOC_REFUNDED)</f>
        <v>0</v>
      </c>
    </row>
    <row r="61" spans="1:22" ht="5.0999999999999996" customHeight="1">
      <c r="B61" s="8"/>
      <c r="G61" s="11"/>
      <c r="L61" s="8"/>
      <c r="V61" s="11"/>
    </row>
    <row r="62" spans="1:22">
      <c r="B62" s="8"/>
      <c r="G62" s="11"/>
      <c r="L62" s="122" t="s">
        <v>80</v>
      </c>
      <c r="M62" s="123"/>
      <c r="N62" s="123"/>
      <c r="O62" s="123"/>
      <c r="P62" s="123"/>
      <c r="Q62" s="123"/>
      <c r="R62" s="123"/>
      <c r="S62" s="123"/>
      <c r="T62" s="123"/>
      <c r="U62" s="123"/>
      <c r="V62" s="124"/>
    </row>
    <row r="63" spans="1:22">
      <c r="B63" s="8"/>
      <c r="G63" s="11"/>
      <c r="L63" s="125"/>
      <c r="M63" s="123"/>
      <c r="N63" s="123"/>
      <c r="O63" s="123"/>
      <c r="P63" s="123"/>
      <c r="Q63" s="123"/>
      <c r="R63" s="123"/>
      <c r="S63" s="123"/>
      <c r="T63" s="123"/>
      <c r="U63" s="123"/>
      <c r="V63" s="124"/>
    </row>
    <row r="64" spans="1:22">
      <c r="B64" s="10"/>
      <c r="C64" s="7"/>
      <c r="D64" s="7"/>
      <c r="E64" s="7"/>
      <c r="F64" s="7"/>
      <c r="G64" s="13"/>
      <c r="L64" s="126"/>
      <c r="M64" s="127"/>
      <c r="N64" s="127"/>
      <c r="O64" s="127"/>
      <c r="P64" s="127"/>
      <c r="Q64" s="127"/>
      <c r="R64" s="127"/>
      <c r="S64" s="127"/>
      <c r="T64" s="127"/>
      <c r="U64" s="127"/>
      <c r="V64" s="128"/>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V64"/>
  <sheetViews>
    <sheetView zoomScale="75" workbookViewId="0">
      <selection sqref="A1:XFD1048576"/>
    </sheetView>
  </sheetViews>
  <sheetFormatPr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129" t="s">
        <v>96</v>
      </c>
      <c r="B1" s="123"/>
      <c r="C1" s="123"/>
      <c r="D1" s="123"/>
      <c r="E1" s="123"/>
      <c r="F1" s="123"/>
      <c r="G1" s="123"/>
    </row>
    <row r="3" spans="1:22">
      <c r="B3" s="130" t="s">
        <v>1</v>
      </c>
      <c r="C3" s="131"/>
      <c r="D3" s="131"/>
      <c r="E3" s="131"/>
      <c r="F3" s="131"/>
      <c r="G3" s="132"/>
      <c r="L3" s="133" t="s">
        <v>2</v>
      </c>
      <c r="M3" s="134"/>
      <c r="N3" s="134"/>
      <c r="O3" s="134"/>
      <c r="P3" s="134"/>
      <c r="Q3" s="134"/>
      <c r="R3" s="134"/>
      <c r="S3" s="134"/>
      <c r="T3" s="134"/>
      <c r="U3" s="134"/>
      <c r="V3" s="135"/>
    </row>
    <row r="4" spans="1:22">
      <c r="B4" s="8"/>
      <c r="G4" s="11"/>
      <c r="L4" s="136" t="s">
        <v>3</v>
      </c>
      <c r="M4" s="137"/>
      <c r="N4" s="4"/>
      <c r="O4" s="138" t="s">
        <v>4</v>
      </c>
      <c r="P4" s="137"/>
      <c r="Q4" s="4"/>
      <c r="R4" s="138" t="s">
        <v>5</v>
      </c>
      <c r="S4" s="137"/>
      <c r="T4" s="4"/>
      <c r="U4" s="138" t="s">
        <v>6</v>
      </c>
      <c r="V4" s="139"/>
    </row>
    <row r="5" spans="1:22" ht="60" customHeight="1">
      <c r="B5" s="9" t="s">
        <v>3</v>
      </c>
      <c r="C5" s="5" t="s">
        <v>4</v>
      </c>
      <c r="D5" s="5" t="s">
        <v>5</v>
      </c>
      <c r="E5" s="5" t="s">
        <v>6</v>
      </c>
      <c r="F5" s="5" t="s">
        <v>7</v>
      </c>
      <c r="G5" s="12" t="s">
        <v>8</v>
      </c>
      <c r="L5" s="15" t="s">
        <v>9</v>
      </c>
      <c r="M5" s="14" t="s">
        <v>10</v>
      </c>
      <c r="N5" s="14"/>
      <c r="O5" s="14" t="s">
        <v>9</v>
      </c>
      <c r="P5" s="14" t="s">
        <v>10</v>
      </c>
      <c r="Q5" s="14"/>
      <c r="R5" s="14" t="s">
        <v>9</v>
      </c>
      <c r="S5" s="14" t="s">
        <v>10</v>
      </c>
      <c r="T5" s="14"/>
      <c r="U5" s="14" t="s">
        <v>9</v>
      </c>
      <c r="V5" s="16" t="s">
        <v>10</v>
      </c>
    </row>
    <row r="6" spans="1:22">
      <c r="A6" s="1" t="s">
        <v>11</v>
      </c>
      <c r="B6" s="29">
        <v>0</v>
      </c>
      <c r="C6" s="30">
        <v>0</v>
      </c>
      <c r="D6" s="30">
        <v>0</v>
      </c>
      <c r="E6" s="30">
        <v>0</v>
      </c>
      <c r="F6" s="30">
        <v>0</v>
      </c>
      <c r="G6" s="31">
        <f>SUM(AL_FINANCIAL)</f>
        <v>0</v>
      </c>
      <c r="H6" s="30"/>
      <c r="I6" s="30"/>
      <c r="J6" s="30"/>
      <c r="K6" s="30"/>
      <c r="L6" s="29"/>
      <c r="M6" s="30"/>
      <c r="N6" s="30"/>
      <c r="O6" s="30"/>
      <c r="P6" s="30"/>
      <c r="Q6" s="30"/>
      <c r="R6" s="30"/>
      <c r="S6" s="30"/>
      <c r="T6" s="30"/>
      <c r="U6" s="30"/>
      <c r="V6" s="31"/>
    </row>
    <row r="7" spans="1:22">
      <c r="A7" s="1" t="s">
        <v>12</v>
      </c>
      <c r="B7" s="29">
        <v>0</v>
      </c>
      <c r="C7" s="30">
        <v>0</v>
      </c>
      <c r="D7" s="30">
        <v>0</v>
      </c>
      <c r="E7" s="30">
        <v>0</v>
      </c>
      <c r="F7" s="30">
        <v>0</v>
      </c>
      <c r="G7" s="31">
        <f>SUM(AK_FINANCIAL)</f>
        <v>0</v>
      </c>
      <c r="H7" s="30"/>
      <c r="I7" s="32"/>
      <c r="J7" s="33"/>
      <c r="K7" s="30"/>
      <c r="L7" s="29"/>
      <c r="M7" s="30"/>
      <c r="N7" s="30"/>
      <c r="O7" s="30"/>
      <c r="P7" s="30"/>
      <c r="Q7" s="30"/>
      <c r="R7" s="30"/>
      <c r="S7" s="30"/>
      <c r="T7" s="30"/>
      <c r="U7" s="30"/>
      <c r="V7" s="31"/>
    </row>
    <row r="8" spans="1:22">
      <c r="A8" s="1" t="s">
        <v>13</v>
      </c>
      <c r="B8" s="29">
        <v>0</v>
      </c>
      <c r="C8" s="30">
        <v>0</v>
      </c>
      <c r="D8" s="30">
        <v>0</v>
      </c>
      <c r="E8" s="30">
        <v>0</v>
      </c>
      <c r="F8" s="30">
        <v>0</v>
      </c>
      <c r="G8" s="31">
        <f>SUM(AZ_FINANCIAL)</f>
        <v>0</v>
      </c>
      <c r="H8" s="30"/>
      <c r="I8" s="34" t="s">
        <v>14</v>
      </c>
      <c r="J8" s="35"/>
      <c r="K8" s="30"/>
      <c r="L8" s="29"/>
      <c r="M8" s="30"/>
      <c r="N8" s="30"/>
      <c r="O8" s="30"/>
      <c r="P8" s="30"/>
      <c r="Q8" s="30"/>
      <c r="R8" s="30"/>
      <c r="S8" s="30"/>
      <c r="T8" s="30"/>
      <c r="U8" s="30"/>
      <c r="V8" s="31"/>
    </row>
    <row r="9" spans="1:22">
      <c r="A9" s="1" t="s">
        <v>15</v>
      </c>
      <c r="B9" s="29">
        <v>0</v>
      </c>
      <c r="C9" s="30">
        <v>0</v>
      </c>
      <c r="D9" s="30">
        <v>0</v>
      </c>
      <c r="E9" s="30">
        <v>0</v>
      </c>
      <c r="F9" s="30">
        <v>0</v>
      </c>
      <c r="G9" s="31">
        <f>SUM(AR_FINANCIAL)</f>
        <v>0</v>
      </c>
      <c r="H9" s="30"/>
      <c r="I9" s="34"/>
      <c r="J9" s="35"/>
      <c r="K9" s="30"/>
      <c r="L9" s="29"/>
      <c r="M9" s="30"/>
      <c r="N9" s="30"/>
      <c r="O9" s="30"/>
      <c r="P9" s="30"/>
      <c r="Q9" s="30"/>
      <c r="R9" s="30"/>
      <c r="S9" s="30"/>
      <c r="T9" s="30"/>
      <c r="U9" s="30"/>
      <c r="V9" s="31"/>
    </row>
    <row r="10" spans="1:22">
      <c r="A10" s="1" t="s">
        <v>16</v>
      </c>
      <c r="B10" s="29">
        <v>0</v>
      </c>
      <c r="C10" s="30">
        <v>0</v>
      </c>
      <c r="D10" s="30">
        <v>0</v>
      </c>
      <c r="E10" s="30">
        <v>0</v>
      </c>
      <c r="F10" s="30">
        <v>0</v>
      </c>
      <c r="G10" s="31">
        <f>SUM(CA_FINANCIAL)</f>
        <v>0</v>
      </c>
      <c r="H10" s="30"/>
      <c r="I10" s="34" t="s">
        <v>17</v>
      </c>
      <c r="J10" s="35">
        <v>100723070</v>
      </c>
      <c r="K10" s="30"/>
      <c r="L10" s="29"/>
      <c r="M10" s="30"/>
      <c r="N10" s="30"/>
      <c r="O10" s="30"/>
      <c r="P10" s="30"/>
      <c r="Q10" s="30"/>
      <c r="R10" s="30"/>
      <c r="S10" s="30"/>
      <c r="T10" s="30"/>
      <c r="U10" s="30"/>
      <c r="V10" s="31"/>
    </row>
    <row r="11" spans="1:22">
      <c r="A11" s="1" t="s">
        <v>18</v>
      </c>
      <c r="B11" s="29">
        <v>0</v>
      </c>
      <c r="C11" s="30">
        <v>0</v>
      </c>
      <c r="D11" s="30">
        <v>83658295</v>
      </c>
      <c r="E11" s="30">
        <v>0</v>
      </c>
      <c r="F11" s="30">
        <v>0</v>
      </c>
      <c r="G11" s="31">
        <f>SUM(CO_FINANCIAL)</f>
        <v>83658295</v>
      </c>
      <c r="H11" s="30"/>
      <c r="I11" s="34"/>
      <c r="J11" s="35"/>
      <c r="K11" s="30"/>
      <c r="L11" s="29">
        <v>0</v>
      </c>
      <c r="M11" s="30">
        <v>0</v>
      </c>
      <c r="N11" s="30"/>
      <c r="O11" s="30">
        <v>0</v>
      </c>
      <c r="P11" s="30">
        <v>0</v>
      </c>
      <c r="Q11" s="30"/>
      <c r="R11" s="30">
        <v>104405820</v>
      </c>
      <c r="S11" s="30">
        <v>25450000</v>
      </c>
      <c r="T11" s="30"/>
      <c r="U11" s="30">
        <v>0</v>
      </c>
      <c r="V11" s="31">
        <v>0</v>
      </c>
    </row>
    <row r="12" spans="1:22">
      <c r="A12" s="1" t="s">
        <v>19</v>
      </c>
      <c r="B12" s="29">
        <v>0</v>
      </c>
      <c r="C12" s="30">
        <v>0</v>
      </c>
      <c r="D12" s="30">
        <v>0</v>
      </c>
      <c r="E12" s="30">
        <v>0</v>
      </c>
      <c r="F12" s="30">
        <v>0</v>
      </c>
      <c r="G12" s="31">
        <f>SUM(CT_FINANCIAL)</f>
        <v>0</v>
      </c>
      <c r="H12" s="30"/>
      <c r="I12" s="34" t="s">
        <v>20</v>
      </c>
      <c r="J12" s="35"/>
      <c r="K12" s="30"/>
      <c r="L12" s="29"/>
      <c r="M12" s="30"/>
      <c r="N12" s="30"/>
      <c r="O12" s="30"/>
      <c r="P12" s="30"/>
      <c r="Q12" s="30"/>
      <c r="R12" s="30"/>
      <c r="S12" s="30"/>
      <c r="T12" s="30"/>
      <c r="U12" s="30"/>
      <c r="V12" s="31"/>
    </row>
    <row r="13" spans="1:22">
      <c r="A13" s="1" t="s">
        <v>21</v>
      </c>
      <c r="B13" s="29">
        <v>0</v>
      </c>
      <c r="C13" s="30">
        <v>0</v>
      </c>
      <c r="D13" s="30">
        <v>0</v>
      </c>
      <c r="E13" s="30">
        <v>0</v>
      </c>
      <c r="F13" s="30">
        <v>0</v>
      </c>
      <c r="G13" s="31">
        <f>SUM(DE_FINANCIAL)</f>
        <v>0</v>
      </c>
      <c r="H13" s="30"/>
      <c r="I13" s="34" t="s">
        <v>22</v>
      </c>
      <c r="J13" s="35">
        <v>100723070</v>
      </c>
      <c r="K13" s="30"/>
      <c r="L13" s="29"/>
      <c r="M13" s="30"/>
      <c r="N13" s="30"/>
      <c r="O13" s="30"/>
      <c r="P13" s="30"/>
      <c r="Q13" s="30"/>
      <c r="R13" s="30"/>
      <c r="S13" s="30"/>
      <c r="T13" s="30"/>
      <c r="U13" s="30"/>
      <c r="V13" s="31"/>
    </row>
    <row r="14" spans="1:22">
      <c r="A14" s="1" t="s">
        <v>23</v>
      </c>
      <c r="B14" s="29">
        <v>0</v>
      </c>
      <c r="C14" s="30">
        <v>0</v>
      </c>
      <c r="D14" s="30">
        <v>0</v>
      </c>
      <c r="E14" s="30">
        <v>0</v>
      </c>
      <c r="F14" s="30">
        <v>0</v>
      </c>
      <c r="G14" s="31">
        <f>SUM(DC_FINANCIAL)</f>
        <v>0</v>
      </c>
      <c r="H14" s="30"/>
      <c r="I14" s="34" t="s">
        <v>24</v>
      </c>
      <c r="J14" s="35">
        <v>4016225</v>
      </c>
      <c r="K14" s="30"/>
      <c r="L14" s="29"/>
      <c r="M14" s="30"/>
      <c r="N14" s="30"/>
      <c r="O14" s="30"/>
      <c r="P14" s="30"/>
      <c r="Q14" s="30"/>
      <c r="R14" s="30"/>
      <c r="S14" s="30"/>
      <c r="T14" s="30"/>
      <c r="U14" s="30"/>
      <c r="V14" s="31"/>
    </row>
    <row r="15" spans="1:22">
      <c r="A15" s="1" t="s">
        <v>25</v>
      </c>
      <c r="B15" s="29">
        <v>0</v>
      </c>
      <c r="C15" s="30">
        <v>0</v>
      </c>
      <c r="D15" s="30">
        <v>0</v>
      </c>
      <c r="E15" s="30">
        <v>0</v>
      </c>
      <c r="F15" s="30">
        <v>0</v>
      </c>
      <c r="G15" s="31">
        <f>SUM(FL_FINANCIAL)</f>
        <v>0</v>
      </c>
      <c r="H15" s="30"/>
      <c r="I15" s="34" t="s">
        <v>26</v>
      </c>
      <c r="J15" s="35">
        <v>0</v>
      </c>
      <c r="K15" s="30"/>
      <c r="L15" s="29"/>
      <c r="M15" s="30"/>
      <c r="N15" s="30"/>
      <c r="O15" s="30"/>
      <c r="P15" s="30"/>
      <c r="Q15" s="30"/>
      <c r="R15" s="30"/>
      <c r="S15" s="30"/>
      <c r="T15" s="30"/>
      <c r="U15" s="30"/>
      <c r="V15" s="31"/>
    </row>
    <row r="16" spans="1:22">
      <c r="A16" s="1" t="s">
        <v>27</v>
      </c>
      <c r="B16" s="29">
        <v>0</v>
      </c>
      <c r="C16" s="30">
        <v>0</v>
      </c>
      <c r="D16" s="30">
        <v>0</v>
      </c>
      <c r="E16" s="30">
        <v>0</v>
      </c>
      <c r="F16" s="30">
        <v>0</v>
      </c>
      <c r="G16" s="31">
        <f>SUM(GA_FINANCIAL)</f>
        <v>0</v>
      </c>
      <c r="H16" s="30"/>
      <c r="I16" s="34" t="s">
        <v>28</v>
      </c>
      <c r="J16" s="35">
        <v>0</v>
      </c>
      <c r="K16" s="30"/>
      <c r="L16" s="29"/>
      <c r="M16" s="30"/>
      <c r="N16" s="30"/>
      <c r="O16" s="30"/>
      <c r="P16" s="30"/>
      <c r="Q16" s="30"/>
      <c r="R16" s="30"/>
      <c r="S16" s="30"/>
      <c r="T16" s="30"/>
      <c r="U16" s="30"/>
      <c r="V16" s="31"/>
    </row>
    <row r="17" spans="1:22">
      <c r="A17" s="1" t="s">
        <v>29</v>
      </c>
      <c r="B17" s="29">
        <v>0</v>
      </c>
      <c r="C17" s="30">
        <v>0</v>
      </c>
      <c r="D17" s="30">
        <v>0</v>
      </c>
      <c r="E17" s="30">
        <v>0</v>
      </c>
      <c r="F17" s="30">
        <v>0</v>
      </c>
      <c r="G17" s="31">
        <f>SUM(HI_FINANCIAL)</f>
        <v>0</v>
      </c>
      <c r="H17" s="30"/>
      <c r="I17" s="34"/>
      <c r="J17" s="35"/>
      <c r="K17" s="30"/>
      <c r="L17" s="29"/>
      <c r="M17" s="30"/>
      <c r="N17" s="30"/>
      <c r="O17" s="30"/>
      <c r="P17" s="30"/>
      <c r="Q17" s="30"/>
      <c r="R17" s="30"/>
      <c r="S17" s="30"/>
      <c r="T17" s="30"/>
      <c r="U17" s="30"/>
      <c r="V17" s="31"/>
    </row>
    <row r="18" spans="1:22">
      <c r="A18" s="1" t="s">
        <v>30</v>
      </c>
      <c r="B18" s="29">
        <v>0</v>
      </c>
      <c r="C18" s="30">
        <v>0</v>
      </c>
      <c r="D18" s="30">
        <v>0</v>
      </c>
      <c r="E18" s="30">
        <v>0</v>
      </c>
      <c r="F18" s="30">
        <v>0</v>
      </c>
      <c r="G18" s="31">
        <f>SUM(ID_FINANCIAL)</f>
        <v>0</v>
      </c>
      <c r="H18" s="30"/>
      <c r="I18" s="34" t="s">
        <v>31</v>
      </c>
      <c r="J18" s="35"/>
      <c r="K18" s="30"/>
      <c r="L18" s="29"/>
      <c r="M18" s="30"/>
      <c r="N18" s="30"/>
      <c r="O18" s="30"/>
      <c r="P18" s="30"/>
      <c r="Q18" s="30"/>
      <c r="R18" s="30"/>
      <c r="S18" s="30"/>
      <c r="T18" s="30"/>
      <c r="U18" s="30"/>
      <c r="V18" s="31"/>
    </row>
    <row r="19" spans="1:22">
      <c r="A19" s="1" t="s">
        <v>32</v>
      </c>
      <c r="B19" s="29">
        <v>0</v>
      </c>
      <c r="C19" s="30">
        <v>0</v>
      </c>
      <c r="D19" s="30">
        <v>0</v>
      </c>
      <c r="E19" s="30">
        <v>0</v>
      </c>
      <c r="F19" s="30">
        <v>0</v>
      </c>
      <c r="G19" s="31">
        <f>SUM(IL_FINANCIAL)</f>
        <v>0</v>
      </c>
      <c r="H19" s="30"/>
      <c r="I19" s="34" t="s">
        <v>33</v>
      </c>
      <c r="J19" s="35">
        <v>0</v>
      </c>
      <c r="K19" s="30"/>
      <c r="L19" s="29"/>
      <c r="M19" s="30"/>
      <c r="N19" s="30"/>
      <c r="O19" s="30"/>
      <c r="P19" s="30"/>
      <c r="Q19" s="30"/>
      <c r="R19" s="30"/>
      <c r="S19" s="30"/>
      <c r="T19" s="30"/>
      <c r="U19" s="30"/>
      <c r="V19" s="31"/>
    </row>
    <row r="20" spans="1:22">
      <c r="A20" s="1" t="s">
        <v>34</v>
      </c>
      <c r="B20" s="29">
        <v>0</v>
      </c>
      <c r="C20" s="30">
        <v>0</v>
      </c>
      <c r="D20" s="30">
        <v>0</v>
      </c>
      <c r="E20" s="30">
        <v>0</v>
      </c>
      <c r="F20" s="30">
        <v>0</v>
      </c>
      <c r="G20" s="31">
        <f>SUM(IN_FINANCIAL)</f>
        <v>0</v>
      </c>
      <c r="H20" s="30"/>
      <c r="I20" s="34" t="s">
        <v>35</v>
      </c>
      <c r="J20" s="35">
        <v>100723070</v>
      </c>
      <c r="K20" s="30"/>
      <c r="L20" s="29"/>
      <c r="M20" s="30"/>
      <c r="N20" s="30"/>
      <c r="O20" s="30"/>
      <c r="P20" s="30"/>
      <c r="Q20" s="30"/>
      <c r="R20" s="30"/>
      <c r="S20" s="30"/>
      <c r="T20" s="30"/>
      <c r="U20" s="30"/>
      <c r="V20" s="31"/>
    </row>
    <row r="21" spans="1:22">
      <c r="A21" s="1" t="s">
        <v>36</v>
      </c>
      <c r="B21" s="29">
        <v>0</v>
      </c>
      <c r="C21" s="30">
        <v>0</v>
      </c>
      <c r="D21" s="30">
        <v>0</v>
      </c>
      <c r="E21" s="30">
        <v>0</v>
      </c>
      <c r="F21" s="30">
        <v>0</v>
      </c>
      <c r="G21" s="31">
        <f>SUM(IA_FINANCIAL)</f>
        <v>0</v>
      </c>
      <c r="H21" s="30"/>
      <c r="I21" s="34" t="s">
        <v>37</v>
      </c>
      <c r="J21" s="35"/>
      <c r="K21" s="30"/>
      <c r="L21" s="29"/>
      <c r="M21" s="30"/>
      <c r="N21" s="30"/>
      <c r="O21" s="30"/>
      <c r="P21" s="30"/>
      <c r="Q21" s="30"/>
      <c r="R21" s="30"/>
      <c r="S21" s="30"/>
      <c r="T21" s="30"/>
      <c r="U21" s="30"/>
      <c r="V21" s="31"/>
    </row>
    <row r="22" spans="1:22">
      <c r="A22" s="1" t="s">
        <v>38</v>
      </c>
      <c r="B22" s="29">
        <v>0</v>
      </c>
      <c r="C22" s="30">
        <v>0</v>
      </c>
      <c r="D22" s="30">
        <v>0</v>
      </c>
      <c r="E22" s="30">
        <v>0</v>
      </c>
      <c r="F22" s="30">
        <v>0</v>
      </c>
      <c r="G22" s="31">
        <f>SUM(KS_FINANCIAL)</f>
        <v>0</v>
      </c>
      <c r="H22" s="30"/>
      <c r="I22" s="34" t="s">
        <v>39</v>
      </c>
      <c r="J22" s="35">
        <v>0</v>
      </c>
      <c r="K22" s="30"/>
      <c r="L22" s="29"/>
      <c r="M22" s="30"/>
      <c r="N22" s="30"/>
      <c r="O22" s="30"/>
      <c r="P22" s="30"/>
      <c r="Q22" s="30"/>
      <c r="R22" s="30"/>
      <c r="S22" s="30"/>
      <c r="T22" s="30"/>
      <c r="U22" s="30"/>
      <c r="V22" s="31"/>
    </row>
    <row r="23" spans="1:22">
      <c r="A23" s="1" t="s">
        <v>40</v>
      </c>
      <c r="B23" s="29">
        <v>0</v>
      </c>
      <c r="C23" s="30">
        <v>0</v>
      </c>
      <c r="D23" s="30">
        <v>0</v>
      </c>
      <c r="E23" s="30">
        <v>0</v>
      </c>
      <c r="F23" s="30">
        <v>0</v>
      </c>
      <c r="G23" s="31">
        <f>SUM(KY_FINANCIAL)</f>
        <v>0</v>
      </c>
      <c r="H23" s="30"/>
      <c r="I23" s="34" t="s">
        <v>41</v>
      </c>
      <c r="J23" s="35"/>
      <c r="K23" s="30"/>
      <c r="L23" s="29"/>
      <c r="M23" s="30"/>
      <c r="N23" s="30"/>
      <c r="O23" s="30"/>
      <c r="P23" s="30"/>
      <c r="Q23" s="30"/>
      <c r="R23" s="30"/>
      <c r="S23" s="30"/>
      <c r="T23" s="30"/>
      <c r="U23" s="30"/>
      <c r="V23" s="31"/>
    </row>
    <row r="24" spans="1:22">
      <c r="A24" s="1" t="s">
        <v>42</v>
      </c>
      <c r="B24" s="29">
        <v>0</v>
      </c>
      <c r="C24" s="30">
        <v>0</v>
      </c>
      <c r="D24" s="30">
        <v>0</v>
      </c>
      <c r="E24" s="30">
        <v>0</v>
      </c>
      <c r="F24" s="30">
        <v>0</v>
      </c>
      <c r="G24" s="31">
        <f>SUM(LA_FINANCIAL)</f>
        <v>0</v>
      </c>
      <c r="H24" s="30"/>
      <c r="I24" s="34" t="s">
        <v>43</v>
      </c>
      <c r="J24" s="35">
        <v>21081000</v>
      </c>
      <c r="K24" s="30"/>
      <c r="L24" s="29"/>
      <c r="M24" s="30"/>
      <c r="N24" s="30"/>
      <c r="O24" s="30"/>
      <c r="P24" s="30"/>
      <c r="Q24" s="30"/>
      <c r="R24" s="30"/>
      <c r="S24" s="30"/>
      <c r="T24" s="30"/>
      <c r="U24" s="30"/>
      <c r="V24" s="31"/>
    </row>
    <row r="25" spans="1:22">
      <c r="A25" s="1" t="s">
        <v>44</v>
      </c>
      <c r="B25" s="29">
        <v>0</v>
      </c>
      <c r="C25" s="30">
        <v>0</v>
      </c>
      <c r="D25" s="30">
        <v>0</v>
      </c>
      <c r="E25" s="30">
        <v>0</v>
      </c>
      <c r="F25" s="30">
        <v>0</v>
      </c>
      <c r="G25" s="31">
        <f>SUM(ME_FINANCIAL)</f>
        <v>0</v>
      </c>
      <c r="H25" s="30"/>
      <c r="I25" s="34"/>
      <c r="J25" s="35"/>
      <c r="K25" s="30"/>
      <c r="L25" s="29"/>
      <c r="M25" s="30"/>
      <c r="N25" s="30"/>
      <c r="O25" s="30"/>
      <c r="P25" s="30"/>
      <c r="Q25" s="30"/>
      <c r="R25" s="30"/>
      <c r="S25" s="30"/>
      <c r="T25" s="30"/>
      <c r="U25" s="30"/>
      <c r="V25" s="31"/>
    </row>
    <row r="26" spans="1:22">
      <c r="A26" s="1" t="s">
        <v>45</v>
      </c>
      <c r="B26" s="29">
        <v>0</v>
      </c>
      <c r="C26" s="30">
        <v>0</v>
      </c>
      <c r="D26" s="30">
        <v>0</v>
      </c>
      <c r="E26" s="30">
        <v>0</v>
      </c>
      <c r="F26" s="30">
        <v>0</v>
      </c>
      <c r="G26" s="31">
        <f>SUM(MD_FINANCIAL)</f>
        <v>0</v>
      </c>
      <c r="H26" s="30"/>
      <c r="I26" s="34" t="s">
        <v>46</v>
      </c>
      <c r="J26" s="35">
        <f>SUM(ADD_FINANCIAL)-SUM(LESS_FINANCIAL)</f>
        <v>83658295</v>
      </c>
      <c r="K26" s="30"/>
      <c r="L26" s="29"/>
      <c r="M26" s="30"/>
      <c r="N26" s="30"/>
      <c r="O26" s="30"/>
      <c r="P26" s="30"/>
      <c r="Q26" s="30"/>
      <c r="R26" s="30"/>
      <c r="S26" s="30"/>
      <c r="T26" s="30"/>
      <c r="U26" s="30"/>
      <c r="V26" s="31"/>
    </row>
    <row r="27" spans="1:22">
      <c r="A27" s="1" t="s">
        <v>47</v>
      </c>
      <c r="B27" s="29">
        <v>0</v>
      </c>
      <c r="C27" s="30">
        <v>0</v>
      </c>
      <c r="D27" s="30">
        <v>0</v>
      </c>
      <c r="E27" s="30">
        <v>0</v>
      </c>
      <c r="F27" s="30">
        <v>0</v>
      </c>
      <c r="G27" s="31">
        <f>SUM(MA_FINANCIAL)</f>
        <v>0</v>
      </c>
      <c r="H27" s="30"/>
      <c r="I27" s="34" t="s">
        <v>48</v>
      </c>
      <c r="J27" s="35">
        <f>SUM(ALL_BLOCKS)</f>
        <v>83658295</v>
      </c>
      <c r="K27" s="30"/>
      <c r="L27" s="29"/>
      <c r="M27" s="30"/>
      <c r="N27" s="30"/>
      <c r="O27" s="30"/>
      <c r="P27" s="30"/>
      <c r="Q27" s="30"/>
      <c r="R27" s="30"/>
      <c r="S27" s="30"/>
      <c r="T27" s="30"/>
      <c r="U27" s="30"/>
      <c r="V27" s="31"/>
    </row>
    <row r="28" spans="1:22">
      <c r="A28" s="1" t="s">
        <v>49</v>
      </c>
      <c r="B28" s="29">
        <v>0</v>
      </c>
      <c r="C28" s="30">
        <v>0</v>
      </c>
      <c r="D28" s="30">
        <v>0</v>
      </c>
      <c r="E28" s="30">
        <v>0</v>
      </c>
      <c r="F28" s="30">
        <v>0</v>
      </c>
      <c r="G28" s="31">
        <f>SUM(MI_FINANCIAL)</f>
        <v>0</v>
      </c>
      <c r="H28" s="30"/>
      <c r="I28" s="36"/>
      <c r="J28" s="37"/>
      <c r="K28" s="30"/>
      <c r="L28" s="29"/>
      <c r="M28" s="30"/>
      <c r="N28" s="30"/>
      <c r="O28" s="30"/>
      <c r="P28" s="30"/>
      <c r="Q28" s="30"/>
      <c r="R28" s="30"/>
      <c r="S28" s="30"/>
      <c r="T28" s="30"/>
      <c r="U28" s="30"/>
      <c r="V28" s="31"/>
    </row>
    <row r="29" spans="1:22">
      <c r="A29" s="1" t="s">
        <v>50</v>
      </c>
      <c r="B29" s="29">
        <v>0</v>
      </c>
      <c r="C29" s="30">
        <v>0</v>
      </c>
      <c r="D29" s="30">
        <v>0</v>
      </c>
      <c r="E29" s="30">
        <v>0</v>
      </c>
      <c r="F29" s="30">
        <v>0</v>
      </c>
      <c r="G29" s="31">
        <f>SUM(MN_FINANCIAL)</f>
        <v>0</v>
      </c>
      <c r="H29" s="30"/>
      <c r="I29" s="30"/>
      <c r="J29" s="30"/>
      <c r="K29" s="30"/>
      <c r="L29" s="29"/>
      <c r="M29" s="30"/>
      <c r="N29" s="30"/>
      <c r="O29" s="30"/>
      <c r="P29" s="30"/>
      <c r="Q29" s="30"/>
      <c r="R29" s="30"/>
      <c r="S29" s="30"/>
      <c r="T29" s="30"/>
      <c r="U29" s="30"/>
      <c r="V29" s="31"/>
    </row>
    <row r="30" spans="1:22">
      <c r="A30" s="1" t="s">
        <v>51</v>
      </c>
      <c r="B30" s="29">
        <v>0</v>
      </c>
      <c r="C30" s="30">
        <v>0</v>
      </c>
      <c r="D30" s="30">
        <v>0</v>
      </c>
      <c r="E30" s="30">
        <v>0</v>
      </c>
      <c r="F30" s="30">
        <v>0</v>
      </c>
      <c r="G30" s="31">
        <f>SUM(MS_FINANCIAL)</f>
        <v>0</v>
      </c>
      <c r="H30" s="30"/>
      <c r="I30" s="30"/>
      <c r="J30" s="30"/>
      <c r="K30" s="30"/>
      <c r="L30" s="29"/>
      <c r="M30" s="30"/>
      <c r="N30" s="30"/>
      <c r="O30" s="30"/>
      <c r="P30" s="30"/>
      <c r="Q30" s="30"/>
      <c r="R30" s="30"/>
      <c r="S30" s="30"/>
      <c r="T30" s="30"/>
      <c r="U30" s="30"/>
      <c r="V30" s="31"/>
    </row>
    <row r="31" spans="1:22">
      <c r="A31" s="1" t="s">
        <v>52</v>
      </c>
      <c r="B31" s="29">
        <v>0</v>
      </c>
      <c r="C31" s="30">
        <v>0</v>
      </c>
      <c r="D31" s="30">
        <v>0</v>
      </c>
      <c r="E31" s="30">
        <v>0</v>
      </c>
      <c r="F31" s="30">
        <v>0</v>
      </c>
      <c r="G31" s="31">
        <f>SUM(MO_FINANCIAL)</f>
        <v>0</v>
      </c>
      <c r="H31" s="30"/>
      <c r="I31" s="30"/>
      <c r="J31" s="30"/>
      <c r="K31" s="30"/>
      <c r="L31" s="29"/>
      <c r="M31" s="30"/>
      <c r="N31" s="30"/>
      <c r="O31" s="30"/>
      <c r="P31" s="30"/>
      <c r="Q31" s="30"/>
      <c r="R31" s="30"/>
      <c r="S31" s="30"/>
      <c r="T31" s="30"/>
      <c r="U31" s="30"/>
      <c r="V31" s="31"/>
    </row>
    <row r="32" spans="1:22">
      <c r="A32" s="1" t="s">
        <v>53</v>
      </c>
      <c r="B32" s="29">
        <v>0</v>
      </c>
      <c r="C32" s="30">
        <v>0</v>
      </c>
      <c r="D32" s="30">
        <v>0</v>
      </c>
      <c r="E32" s="30">
        <v>0</v>
      </c>
      <c r="F32" s="30">
        <v>0</v>
      </c>
      <c r="G32" s="31">
        <f>SUM(MT_FINANCIAL)</f>
        <v>0</v>
      </c>
      <c r="H32" s="30"/>
      <c r="I32" s="30"/>
      <c r="J32" s="30"/>
      <c r="K32" s="30"/>
      <c r="L32" s="29"/>
      <c r="M32" s="30"/>
      <c r="N32" s="30"/>
      <c r="O32" s="30"/>
      <c r="P32" s="30"/>
      <c r="Q32" s="30"/>
      <c r="R32" s="30"/>
      <c r="S32" s="30"/>
      <c r="T32" s="30"/>
      <c r="U32" s="30"/>
      <c r="V32" s="31"/>
    </row>
    <row r="33" spans="1:22">
      <c r="A33" s="1" t="s">
        <v>54</v>
      </c>
      <c r="B33" s="29">
        <v>0</v>
      </c>
      <c r="C33" s="30">
        <v>0</v>
      </c>
      <c r="D33" s="30">
        <v>0</v>
      </c>
      <c r="E33" s="30">
        <v>0</v>
      </c>
      <c r="F33" s="30">
        <v>0</v>
      </c>
      <c r="G33" s="31">
        <f>SUM(NE_FINANCIAL)</f>
        <v>0</v>
      </c>
      <c r="H33" s="30"/>
      <c r="I33" s="30"/>
      <c r="J33" s="30"/>
      <c r="K33" s="30"/>
      <c r="L33" s="29"/>
      <c r="M33" s="30"/>
      <c r="N33" s="30"/>
      <c r="O33" s="30"/>
      <c r="P33" s="30"/>
      <c r="Q33" s="30"/>
      <c r="R33" s="30"/>
      <c r="S33" s="30"/>
      <c r="T33" s="30"/>
      <c r="U33" s="30"/>
      <c r="V33" s="31"/>
    </row>
    <row r="34" spans="1:22">
      <c r="A34" s="1" t="s">
        <v>55</v>
      </c>
      <c r="B34" s="29">
        <v>0</v>
      </c>
      <c r="C34" s="30">
        <v>0</v>
      </c>
      <c r="D34" s="30">
        <v>0</v>
      </c>
      <c r="E34" s="30">
        <v>0</v>
      </c>
      <c r="F34" s="30">
        <v>0</v>
      </c>
      <c r="G34" s="31">
        <f>SUM(NV_FINANCIAL)</f>
        <v>0</v>
      </c>
      <c r="H34" s="30"/>
      <c r="I34" s="30"/>
      <c r="J34" s="30"/>
      <c r="K34" s="30"/>
      <c r="L34" s="29"/>
      <c r="M34" s="30"/>
      <c r="N34" s="30"/>
      <c r="O34" s="30"/>
      <c r="P34" s="30"/>
      <c r="Q34" s="30"/>
      <c r="R34" s="30"/>
      <c r="S34" s="30"/>
      <c r="T34" s="30"/>
      <c r="U34" s="30"/>
      <c r="V34" s="31"/>
    </row>
    <row r="35" spans="1:22">
      <c r="A35" s="1" t="s">
        <v>56</v>
      </c>
      <c r="B35" s="29">
        <v>0</v>
      </c>
      <c r="C35" s="30">
        <v>0</v>
      </c>
      <c r="D35" s="30">
        <v>0</v>
      </c>
      <c r="E35" s="30">
        <v>0</v>
      </c>
      <c r="F35" s="30">
        <v>0</v>
      </c>
      <c r="G35" s="31">
        <f>SUM(NH_FINANCIAL)</f>
        <v>0</v>
      </c>
      <c r="H35" s="30"/>
      <c r="I35" s="30"/>
      <c r="J35" s="30"/>
      <c r="K35" s="30"/>
      <c r="L35" s="29"/>
      <c r="M35" s="30"/>
      <c r="N35" s="30"/>
      <c r="O35" s="30"/>
      <c r="P35" s="30"/>
      <c r="Q35" s="30"/>
      <c r="R35" s="30"/>
      <c r="S35" s="30"/>
      <c r="T35" s="30"/>
      <c r="U35" s="30"/>
      <c r="V35" s="31"/>
    </row>
    <row r="36" spans="1:22">
      <c r="A36" s="1" t="s">
        <v>57</v>
      </c>
      <c r="B36" s="29">
        <v>0</v>
      </c>
      <c r="C36" s="30">
        <v>0</v>
      </c>
      <c r="D36" s="30">
        <v>0</v>
      </c>
      <c r="E36" s="30">
        <v>0</v>
      </c>
      <c r="F36" s="30">
        <v>0</v>
      </c>
      <c r="G36" s="31">
        <f>SUM(NJ_FINANCIAL)</f>
        <v>0</v>
      </c>
      <c r="H36" s="30"/>
      <c r="I36" s="30"/>
      <c r="J36" s="30"/>
      <c r="K36" s="30"/>
      <c r="L36" s="29"/>
      <c r="M36" s="30"/>
      <c r="N36" s="30"/>
      <c r="O36" s="30"/>
      <c r="P36" s="30"/>
      <c r="Q36" s="30"/>
      <c r="R36" s="30"/>
      <c r="S36" s="30"/>
      <c r="T36" s="30"/>
      <c r="U36" s="30"/>
      <c r="V36" s="31"/>
    </row>
    <row r="37" spans="1:22">
      <c r="A37" s="1" t="s">
        <v>58</v>
      </c>
      <c r="B37" s="29">
        <v>0</v>
      </c>
      <c r="C37" s="30">
        <v>0</v>
      </c>
      <c r="D37" s="30">
        <v>0</v>
      </c>
      <c r="E37" s="30">
        <v>0</v>
      </c>
      <c r="F37" s="30">
        <v>0</v>
      </c>
      <c r="G37" s="31">
        <f>SUM(NM_FINANCIAL)</f>
        <v>0</v>
      </c>
      <c r="H37" s="30"/>
      <c r="I37" s="30"/>
      <c r="J37" s="30"/>
      <c r="K37" s="30"/>
      <c r="L37" s="29"/>
      <c r="M37" s="30"/>
      <c r="N37" s="30"/>
      <c r="O37" s="30"/>
      <c r="P37" s="30"/>
      <c r="Q37" s="30"/>
      <c r="R37" s="30"/>
      <c r="S37" s="30"/>
      <c r="T37" s="30"/>
      <c r="U37" s="30"/>
      <c r="V37" s="31"/>
    </row>
    <row r="38" spans="1:22">
      <c r="A38" s="1" t="s">
        <v>59</v>
      </c>
      <c r="B38" s="29">
        <v>0</v>
      </c>
      <c r="C38" s="30">
        <v>0</v>
      </c>
      <c r="D38" s="30">
        <v>0</v>
      </c>
      <c r="E38" s="30">
        <v>0</v>
      </c>
      <c r="F38" s="30">
        <v>0</v>
      </c>
      <c r="G38" s="31">
        <f>SUM(NY_FINANCIAL)</f>
        <v>0</v>
      </c>
      <c r="H38" s="30"/>
      <c r="I38" s="30"/>
      <c r="J38" s="30"/>
      <c r="K38" s="30"/>
      <c r="L38" s="29"/>
      <c r="M38" s="30"/>
      <c r="N38" s="30"/>
      <c r="O38" s="30"/>
      <c r="P38" s="30"/>
      <c r="Q38" s="30"/>
      <c r="R38" s="30"/>
      <c r="S38" s="30"/>
      <c r="T38" s="30"/>
      <c r="U38" s="30"/>
      <c r="V38" s="31"/>
    </row>
    <row r="39" spans="1:22">
      <c r="A39" s="1" t="s">
        <v>60</v>
      </c>
      <c r="B39" s="29">
        <v>0</v>
      </c>
      <c r="C39" s="30">
        <v>0</v>
      </c>
      <c r="D39" s="30">
        <v>0</v>
      </c>
      <c r="E39" s="30">
        <v>0</v>
      </c>
      <c r="F39" s="30">
        <v>0</v>
      </c>
      <c r="G39" s="31">
        <f>SUM(NC_FINANCIAL)</f>
        <v>0</v>
      </c>
      <c r="H39" s="30"/>
      <c r="I39" s="30"/>
      <c r="J39" s="30"/>
      <c r="K39" s="30"/>
      <c r="L39" s="29"/>
      <c r="M39" s="30"/>
      <c r="N39" s="30"/>
      <c r="O39" s="30"/>
      <c r="P39" s="30"/>
      <c r="Q39" s="30"/>
      <c r="R39" s="30"/>
      <c r="S39" s="30"/>
      <c r="T39" s="30"/>
      <c r="U39" s="30"/>
      <c r="V39" s="31"/>
    </row>
    <row r="40" spans="1:22">
      <c r="A40" s="1" t="s">
        <v>61</v>
      </c>
      <c r="B40" s="29">
        <v>0</v>
      </c>
      <c r="C40" s="30">
        <v>0</v>
      </c>
      <c r="D40" s="30">
        <v>0</v>
      </c>
      <c r="E40" s="30">
        <v>0</v>
      </c>
      <c r="F40" s="30">
        <v>0</v>
      </c>
      <c r="G40" s="31">
        <f>SUM(ND_FINANCIAL)</f>
        <v>0</v>
      </c>
      <c r="H40" s="30"/>
      <c r="I40" s="30"/>
      <c r="J40" s="30"/>
      <c r="K40" s="30"/>
      <c r="L40" s="29"/>
      <c r="M40" s="30"/>
      <c r="N40" s="30"/>
      <c r="O40" s="30"/>
      <c r="P40" s="30"/>
      <c r="Q40" s="30"/>
      <c r="R40" s="30"/>
      <c r="S40" s="30"/>
      <c r="T40" s="30"/>
      <c r="U40" s="30"/>
      <c r="V40" s="31"/>
    </row>
    <row r="41" spans="1:22">
      <c r="A41" s="1" t="s">
        <v>62</v>
      </c>
      <c r="B41" s="29">
        <v>0</v>
      </c>
      <c r="C41" s="30">
        <v>0</v>
      </c>
      <c r="D41" s="30">
        <v>0</v>
      </c>
      <c r="E41" s="30">
        <v>0</v>
      </c>
      <c r="F41" s="30">
        <v>0</v>
      </c>
      <c r="G41" s="31">
        <f>SUM(OH_FINANCIAL)</f>
        <v>0</v>
      </c>
      <c r="H41" s="30"/>
      <c r="I41" s="30"/>
      <c r="J41" s="30"/>
      <c r="K41" s="30"/>
      <c r="L41" s="29"/>
      <c r="M41" s="30"/>
      <c r="N41" s="30"/>
      <c r="O41" s="30"/>
      <c r="P41" s="30"/>
      <c r="Q41" s="30"/>
      <c r="R41" s="30"/>
      <c r="S41" s="30"/>
      <c r="T41" s="30"/>
      <c r="U41" s="30"/>
      <c r="V41" s="31"/>
    </row>
    <row r="42" spans="1:22">
      <c r="A42" s="1" t="s">
        <v>63</v>
      </c>
      <c r="B42" s="29">
        <v>0</v>
      </c>
      <c r="C42" s="30">
        <v>0</v>
      </c>
      <c r="D42" s="30">
        <v>0</v>
      </c>
      <c r="E42" s="30">
        <v>0</v>
      </c>
      <c r="F42" s="30">
        <v>0</v>
      </c>
      <c r="G42" s="31">
        <f>SUM(OK_FINANCIAL)</f>
        <v>0</v>
      </c>
      <c r="H42" s="30"/>
      <c r="I42" s="30"/>
      <c r="J42" s="30"/>
      <c r="K42" s="30"/>
      <c r="L42" s="29"/>
      <c r="M42" s="30"/>
      <c r="N42" s="30"/>
      <c r="O42" s="30"/>
      <c r="P42" s="30"/>
      <c r="Q42" s="30"/>
      <c r="R42" s="30"/>
      <c r="S42" s="30"/>
      <c r="T42" s="30"/>
      <c r="U42" s="30"/>
      <c r="V42" s="31"/>
    </row>
    <row r="43" spans="1:22">
      <c r="A43" s="1" t="s">
        <v>64</v>
      </c>
      <c r="B43" s="29">
        <v>0</v>
      </c>
      <c r="C43" s="30">
        <v>0</v>
      </c>
      <c r="D43" s="30">
        <v>0</v>
      </c>
      <c r="E43" s="30">
        <v>0</v>
      </c>
      <c r="F43" s="30">
        <v>0</v>
      </c>
      <c r="G43" s="31">
        <f>SUM(OR_FINANCIAL)</f>
        <v>0</v>
      </c>
      <c r="H43" s="30"/>
      <c r="I43" s="30"/>
      <c r="J43" s="30"/>
      <c r="K43" s="30"/>
      <c r="L43" s="29"/>
      <c r="M43" s="30"/>
      <c r="N43" s="30"/>
      <c r="O43" s="30"/>
      <c r="P43" s="30"/>
      <c r="Q43" s="30"/>
      <c r="R43" s="30"/>
      <c r="S43" s="30"/>
      <c r="T43" s="30"/>
      <c r="U43" s="30"/>
      <c r="V43" s="31"/>
    </row>
    <row r="44" spans="1:22">
      <c r="A44" s="1" t="s">
        <v>65</v>
      </c>
      <c r="B44" s="29">
        <v>0</v>
      </c>
      <c r="C44" s="30">
        <v>0</v>
      </c>
      <c r="D44" s="30">
        <v>0</v>
      </c>
      <c r="E44" s="30">
        <v>0</v>
      </c>
      <c r="F44" s="30">
        <v>0</v>
      </c>
      <c r="G44" s="31">
        <f>SUM(PA_FINANCIAL)</f>
        <v>0</v>
      </c>
      <c r="H44" s="30"/>
      <c r="I44" s="30"/>
      <c r="J44" s="30"/>
      <c r="K44" s="30"/>
      <c r="L44" s="29"/>
      <c r="M44" s="30"/>
      <c r="N44" s="30"/>
      <c r="O44" s="30"/>
      <c r="P44" s="30"/>
      <c r="Q44" s="30"/>
      <c r="R44" s="30"/>
      <c r="S44" s="30"/>
      <c r="T44" s="30"/>
      <c r="U44" s="30"/>
      <c r="V44" s="31"/>
    </row>
    <row r="45" spans="1:22">
      <c r="A45" s="1" t="s">
        <v>66</v>
      </c>
      <c r="B45" s="29">
        <v>0</v>
      </c>
      <c r="C45" s="30">
        <v>0</v>
      </c>
      <c r="D45" s="30">
        <v>0</v>
      </c>
      <c r="E45" s="30">
        <v>0</v>
      </c>
      <c r="F45" s="30">
        <v>0</v>
      </c>
      <c r="G45" s="31">
        <f>SUM(PR_FINANCIAL)</f>
        <v>0</v>
      </c>
      <c r="H45" s="30"/>
      <c r="I45" s="30"/>
      <c r="J45" s="30"/>
      <c r="K45" s="30"/>
      <c r="L45" s="29"/>
      <c r="M45" s="30"/>
      <c r="N45" s="30"/>
      <c r="O45" s="30"/>
      <c r="P45" s="30"/>
      <c r="Q45" s="30"/>
      <c r="R45" s="30"/>
      <c r="S45" s="30"/>
      <c r="T45" s="30"/>
      <c r="U45" s="30"/>
      <c r="V45" s="31"/>
    </row>
    <row r="46" spans="1:22">
      <c r="A46" s="1" t="s">
        <v>67</v>
      </c>
      <c r="B46" s="29">
        <v>0</v>
      </c>
      <c r="C46" s="30">
        <v>0</v>
      </c>
      <c r="D46" s="30">
        <v>0</v>
      </c>
      <c r="E46" s="30">
        <v>0</v>
      </c>
      <c r="F46" s="30">
        <v>0</v>
      </c>
      <c r="G46" s="31">
        <f>SUM(RI_FINANCIAL)</f>
        <v>0</v>
      </c>
      <c r="H46" s="30"/>
      <c r="I46" s="30"/>
      <c r="J46" s="30"/>
      <c r="K46" s="30"/>
      <c r="L46" s="29"/>
      <c r="M46" s="30"/>
      <c r="N46" s="30"/>
      <c r="O46" s="30"/>
      <c r="P46" s="30"/>
      <c r="Q46" s="30"/>
      <c r="R46" s="30"/>
      <c r="S46" s="30"/>
      <c r="T46" s="30"/>
      <c r="U46" s="30"/>
      <c r="V46" s="31"/>
    </row>
    <row r="47" spans="1:22">
      <c r="A47" s="1" t="s">
        <v>68</v>
      </c>
      <c r="B47" s="29">
        <v>0</v>
      </c>
      <c r="C47" s="30">
        <v>0</v>
      </c>
      <c r="D47" s="30">
        <v>0</v>
      </c>
      <c r="E47" s="30">
        <v>0</v>
      </c>
      <c r="F47" s="30">
        <v>0</v>
      </c>
      <c r="G47" s="31">
        <f>SUM(SC_FINANCIAL)</f>
        <v>0</v>
      </c>
      <c r="H47" s="30"/>
      <c r="I47" s="30"/>
      <c r="J47" s="30"/>
      <c r="K47" s="30"/>
      <c r="L47" s="29"/>
      <c r="M47" s="30"/>
      <c r="N47" s="30"/>
      <c r="O47" s="30"/>
      <c r="P47" s="30"/>
      <c r="Q47" s="30"/>
      <c r="R47" s="30"/>
      <c r="S47" s="30"/>
      <c r="T47" s="30"/>
      <c r="U47" s="30"/>
      <c r="V47" s="31"/>
    </row>
    <row r="48" spans="1:22">
      <c r="A48" s="1" t="s">
        <v>69</v>
      </c>
      <c r="B48" s="29">
        <v>0</v>
      </c>
      <c r="C48" s="30">
        <v>0</v>
      </c>
      <c r="D48" s="30">
        <v>0</v>
      </c>
      <c r="E48" s="30">
        <v>0</v>
      </c>
      <c r="F48" s="30">
        <v>0</v>
      </c>
      <c r="G48" s="31">
        <f>SUM(SD_FINANCIAL)</f>
        <v>0</v>
      </c>
      <c r="H48" s="30"/>
      <c r="I48" s="30"/>
      <c r="J48" s="30"/>
      <c r="K48" s="30"/>
      <c r="L48" s="29"/>
      <c r="M48" s="30"/>
      <c r="N48" s="30"/>
      <c r="O48" s="30"/>
      <c r="P48" s="30"/>
      <c r="Q48" s="30"/>
      <c r="R48" s="30"/>
      <c r="S48" s="30"/>
      <c r="T48" s="30"/>
      <c r="U48" s="30"/>
      <c r="V48" s="31"/>
    </row>
    <row r="49" spans="1:22">
      <c r="A49" s="1" t="s">
        <v>70</v>
      </c>
      <c r="B49" s="29">
        <v>0</v>
      </c>
      <c r="C49" s="30">
        <v>0</v>
      </c>
      <c r="D49" s="30">
        <v>0</v>
      </c>
      <c r="E49" s="30">
        <v>0</v>
      </c>
      <c r="F49" s="30">
        <v>0</v>
      </c>
      <c r="G49" s="31">
        <f>SUM(TN_FINANCIAL)</f>
        <v>0</v>
      </c>
      <c r="H49" s="30"/>
      <c r="I49" s="30"/>
      <c r="J49" s="30"/>
      <c r="K49" s="30"/>
      <c r="L49" s="29"/>
      <c r="M49" s="30"/>
      <c r="N49" s="30"/>
      <c r="O49" s="30"/>
      <c r="P49" s="30"/>
      <c r="Q49" s="30"/>
      <c r="R49" s="30"/>
      <c r="S49" s="30"/>
      <c r="T49" s="30"/>
      <c r="U49" s="30"/>
      <c r="V49" s="31"/>
    </row>
    <row r="50" spans="1:22">
      <c r="A50" s="1" t="s">
        <v>71</v>
      </c>
      <c r="B50" s="29">
        <v>0</v>
      </c>
      <c r="C50" s="30">
        <v>0</v>
      </c>
      <c r="D50" s="30">
        <v>0</v>
      </c>
      <c r="E50" s="30">
        <v>0</v>
      </c>
      <c r="F50" s="30">
        <v>0</v>
      </c>
      <c r="G50" s="31">
        <f>SUM(TX_FINANCIAL)</f>
        <v>0</v>
      </c>
      <c r="H50" s="30"/>
      <c r="I50" s="30"/>
      <c r="J50" s="30"/>
      <c r="K50" s="30"/>
      <c r="L50" s="29"/>
      <c r="M50" s="30"/>
      <c r="N50" s="30"/>
      <c r="O50" s="30"/>
      <c r="P50" s="30"/>
      <c r="Q50" s="30"/>
      <c r="R50" s="30"/>
      <c r="S50" s="30"/>
      <c r="T50" s="30"/>
      <c r="U50" s="30"/>
      <c r="V50" s="31"/>
    </row>
    <row r="51" spans="1:22">
      <c r="A51" s="1" t="s">
        <v>72</v>
      </c>
      <c r="B51" s="29">
        <v>0</v>
      </c>
      <c r="C51" s="30">
        <v>0</v>
      </c>
      <c r="D51" s="30">
        <v>0</v>
      </c>
      <c r="E51" s="30">
        <v>0</v>
      </c>
      <c r="F51" s="30">
        <v>0</v>
      </c>
      <c r="G51" s="31">
        <f>SUM(UT_FINANCIAL)</f>
        <v>0</v>
      </c>
      <c r="H51" s="30"/>
      <c r="I51" s="30"/>
      <c r="J51" s="30"/>
      <c r="K51" s="30"/>
      <c r="L51" s="29"/>
      <c r="M51" s="30"/>
      <c r="N51" s="30"/>
      <c r="O51" s="30"/>
      <c r="P51" s="30"/>
      <c r="Q51" s="30"/>
      <c r="R51" s="30"/>
      <c r="S51" s="30"/>
      <c r="T51" s="30"/>
      <c r="U51" s="30"/>
      <c r="V51" s="31"/>
    </row>
    <row r="52" spans="1:22">
      <c r="A52" s="1" t="s">
        <v>73</v>
      </c>
      <c r="B52" s="29">
        <v>0</v>
      </c>
      <c r="C52" s="30">
        <v>0</v>
      </c>
      <c r="D52" s="30">
        <v>0</v>
      </c>
      <c r="E52" s="30">
        <v>0</v>
      </c>
      <c r="F52" s="30">
        <v>0</v>
      </c>
      <c r="G52" s="31">
        <f>SUM(VT_FINANCIAL)</f>
        <v>0</v>
      </c>
      <c r="H52" s="30"/>
      <c r="I52" s="30"/>
      <c r="J52" s="30"/>
      <c r="K52" s="30"/>
      <c r="L52" s="29"/>
      <c r="M52" s="30"/>
      <c r="N52" s="30"/>
      <c r="O52" s="30"/>
      <c r="P52" s="30"/>
      <c r="Q52" s="30"/>
      <c r="R52" s="30"/>
      <c r="S52" s="30"/>
      <c r="T52" s="30"/>
      <c r="U52" s="30"/>
      <c r="V52" s="31"/>
    </row>
    <row r="53" spans="1:22">
      <c r="A53" s="1" t="s">
        <v>74</v>
      </c>
      <c r="B53" s="29">
        <v>0</v>
      </c>
      <c r="C53" s="30">
        <v>0</v>
      </c>
      <c r="D53" s="30">
        <v>0</v>
      </c>
      <c r="E53" s="30">
        <v>0</v>
      </c>
      <c r="F53" s="30">
        <v>0</v>
      </c>
      <c r="G53" s="31">
        <f>SUM(VA_FINANCIAL)</f>
        <v>0</v>
      </c>
      <c r="H53" s="30"/>
      <c r="I53" s="30"/>
      <c r="J53" s="30"/>
      <c r="K53" s="30"/>
      <c r="L53" s="29"/>
      <c r="M53" s="30"/>
      <c r="N53" s="30"/>
      <c r="O53" s="30"/>
      <c r="P53" s="30"/>
      <c r="Q53" s="30"/>
      <c r="R53" s="30"/>
      <c r="S53" s="30"/>
      <c r="T53" s="30"/>
      <c r="U53" s="30"/>
      <c r="V53" s="31"/>
    </row>
    <row r="54" spans="1:22">
      <c r="A54" s="1" t="s">
        <v>75</v>
      </c>
      <c r="B54" s="29">
        <v>0</v>
      </c>
      <c r="C54" s="30">
        <v>0</v>
      </c>
      <c r="D54" s="30">
        <v>0</v>
      </c>
      <c r="E54" s="30">
        <v>0</v>
      </c>
      <c r="F54" s="30">
        <v>0</v>
      </c>
      <c r="G54" s="31">
        <f>SUM(WA_FINANCIAL)</f>
        <v>0</v>
      </c>
      <c r="H54" s="30"/>
      <c r="I54" s="30"/>
      <c r="J54" s="30"/>
      <c r="K54" s="30"/>
      <c r="L54" s="29"/>
      <c r="M54" s="30"/>
      <c r="N54" s="30"/>
      <c r="O54" s="30"/>
      <c r="P54" s="30"/>
      <c r="Q54" s="30"/>
      <c r="R54" s="30"/>
      <c r="S54" s="30"/>
      <c r="T54" s="30"/>
      <c r="U54" s="30"/>
      <c r="V54" s="31"/>
    </row>
    <row r="55" spans="1:22">
      <c r="A55" s="1" t="s">
        <v>76</v>
      </c>
      <c r="B55" s="29">
        <v>0</v>
      </c>
      <c r="C55" s="30">
        <v>0</v>
      </c>
      <c r="D55" s="30">
        <v>0</v>
      </c>
      <c r="E55" s="30">
        <v>0</v>
      </c>
      <c r="F55" s="30">
        <v>0</v>
      </c>
      <c r="G55" s="31">
        <f>SUM(WV_FINANCIAL)</f>
        <v>0</v>
      </c>
      <c r="H55" s="30"/>
      <c r="I55" s="30"/>
      <c r="J55" s="30"/>
      <c r="K55" s="30"/>
      <c r="L55" s="29"/>
      <c r="M55" s="30"/>
      <c r="N55" s="30"/>
      <c r="O55" s="30"/>
      <c r="P55" s="30"/>
      <c r="Q55" s="30"/>
      <c r="R55" s="30"/>
      <c r="S55" s="30"/>
      <c r="T55" s="30"/>
      <c r="U55" s="30"/>
      <c r="V55" s="31"/>
    </row>
    <row r="56" spans="1:22">
      <c r="A56" s="1" t="s">
        <v>77</v>
      </c>
      <c r="B56" s="29">
        <v>0</v>
      </c>
      <c r="C56" s="30">
        <v>0</v>
      </c>
      <c r="D56" s="30">
        <v>0</v>
      </c>
      <c r="E56" s="30">
        <v>0</v>
      </c>
      <c r="F56" s="30">
        <v>0</v>
      </c>
      <c r="G56" s="31">
        <f>SUM(WI_FINANCIAL)</f>
        <v>0</v>
      </c>
      <c r="H56" s="30"/>
      <c r="I56" s="30"/>
      <c r="J56" s="30"/>
      <c r="K56" s="30"/>
      <c r="L56" s="29"/>
      <c r="M56" s="30"/>
      <c r="N56" s="30"/>
      <c r="O56" s="30"/>
      <c r="P56" s="30"/>
      <c r="Q56" s="30"/>
      <c r="R56" s="30"/>
      <c r="S56" s="30"/>
      <c r="T56" s="30"/>
      <c r="U56" s="30"/>
      <c r="V56" s="31"/>
    </row>
    <row r="57" spans="1:22">
      <c r="A57" s="1" t="s">
        <v>78</v>
      </c>
      <c r="B57" s="29">
        <v>0</v>
      </c>
      <c r="C57" s="30">
        <v>0</v>
      </c>
      <c r="D57" s="30">
        <v>0</v>
      </c>
      <c r="E57" s="30">
        <v>0</v>
      </c>
      <c r="F57" s="30">
        <v>0</v>
      </c>
      <c r="G57" s="31">
        <f>SUM(WY_FINANCIAL)</f>
        <v>0</v>
      </c>
      <c r="H57" s="30"/>
      <c r="I57" s="30"/>
      <c r="J57" s="30"/>
      <c r="K57" s="30"/>
      <c r="L57" s="29"/>
      <c r="M57" s="30"/>
      <c r="N57" s="30"/>
      <c r="O57" s="30"/>
      <c r="P57" s="30"/>
      <c r="Q57" s="30"/>
      <c r="R57" s="30"/>
      <c r="S57" s="30"/>
      <c r="T57" s="30"/>
      <c r="U57" s="30"/>
      <c r="V57" s="31"/>
    </row>
    <row r="58" spans="1:22">
      <c r="A58" s="1" t="s">
        <v>79</v>
      </c>
      <c r="B58" s="29">
        <v>0</v>
      </c>
      <c r="C58" s="30">
        <v>0</v>
      </c>
      <c r="D58" s="30">
        <v>0</v>
      </c>
      <c r="E58" s="30">
        <v>0</v>
      </c>
      <c r="F58" s="30">
        <v>0</v>
      </c>
      <c r="G58" s="31">
        <f>SUM(OT_FINANCIAL)</f>
        <v>0</v>
      </c>
      <c r="H58" s="30"/>
      <c r="I58" s="30"/>
      <c r="J58" s="30"/>
      <c r="K58" s="30"/>
      <c r="L58" s="29"/>
      <c r="M58" s="30"/>
      <c r="N58" s="30"/>
      <c r="O58" s="30"/>
      <c r="P58" s="30"/>
      <c r="Q58" s="30"/>
      <c r="R58" s="30"/>
      <c r="S58" s="30"/>
      <c r="T58" s="30"/>
      <c r="U58" s="30"/>
      <c r="V58" s="31"/>
    </row>
    <row r="59" spans="1:22">
      <c r="B59" s="29"/>
      <c r="C59" s="30"/>
      <c r="D59" s="30"/>
      <c r="E59" s="30"/>
      <c r="F59" s="30"/>
      <c r="G59" s="31"/>
      <c r="H59" s="30"/>
      <c r="I59" s="30"/>
      <c r="J59" s="30"/>
      <c r="K59" s="30"/>
      <c r="L59" s="29"/>
      <c r="M59" s="30"/>
      <c r="N59" s="30"/>
      <c r="O59" s="30"/>
      <c r="P59" s="30"/>
      <c r="Q59" s="30"/>
      <c r="R59" s="30"/>
      <c r="S59" s="30"/>
      <c r="T59" s="30"/>
      <c r="U59" s="30"/>
      <c r="V59" s="31"/>
    </row>
    <row r="60" spans="1:22">
      <c r="A60" s="1" t="s">
        <v>8</v>
      </c>
      <c r="B60" s="29">
        <f>SUM(LIFE)</f>
        <v>0</v>
      </c>
      <c r="C60" s="30">
        <f>SUM(ALLOCATED)</f>
        <v>0</v>
      </c>
      <c r="D60" s="30">
        <f>SUM(HEALTH)</f>
        <v>83658295</v>
      </c>
      <c r="E60" s="30">
        <f>SUM(UNALLOCATED)</f>
        <v>0</v>
      </c>
      <c r="F60" s="30">
        <f>SUM(LTC)</f>
        <v>0</v>
      </c>
      <c r="G60" s="31">
        <f>SUM(ALL_BLOCKS)</f>
        <v>83658295</v>
      </c>
      <c r="H60" s="30"/>
      <c r="I60" s="30"/>
      <c r="J60" s="30"/>
      <c r="K60" s="30"/>
      <c r="L60" s="29">
        <f>SUM(LIFE_CALLED)</f>
        <v>0</v>
      </c>
      <c r="M60" s="30">
        <f>SUM(LIFE_REFUNDED)</f>
        <v>0</v>
      </c>
      <c r="N60" s="30"/>
      <c r="O60" s="30">
        <f>SUM(ALLOC_CALLED)</f>
        <v>0</v>
      </c>
      <c r="P60" s="30">
        <f>SUM(ALLOC_REFUNDED)</f>
        <v>0</v>
      </c>
      <c r="Q60" s="30"/>
      <c r="R60" s="30">
        <f>SUM(HEALTH_CALLED)</f>
        <v>104405820</v>
      </c>
      <c r="S60" s="30">
        <f>SUM(HEALTH_REFUNDED)</f>
        <v>25450000</v>
      </c>
      <c r="T60" s="30"/>
      <c r="U60" s="30">
        <f>SUM(UNALLOC_CALLED)</f>
        <v>0</v>
      </c>
      <c r="V60" s="31">
        <f>SUM(UNALLOC_REFUNDED)</f>
        <v>0</v>
      </c>
    </row>
    <row r="61" spans="1:22" ht="5.0999999999999996" customHeight="1">
      <c r="B61" s="8"/>
      <c r="G61" s="11"/>
      <c r="L61" s="8"/>
      <c r="V61" s="11"/>
    </row>
    <row r="62" spans="1:22">
      <c r="B62" s="8"/>
      <c r="G62" s="11"/>
      <c r="L62" s="122" t="s">
        <v>80</v>
      </c>
      <c r="M62" s="123"/>
      <c r="N62" s="123"/>
      <c r="O62" s="123"/>
      <c r="P62" s="123"/>
      <c r="Q62" s="123"/>
      <c r="R62" s="123"/>
      <c r="S62" s="123"/>
      <c r="T62" s="123"/>
      <c r="U62" s="123"/>
      <c r="V62" s="124"/>
    </row>
    <row r="63" spans="1:22">
      <c r="B63" s="8"/>
      <c r="G63" s="11"/>
      <c r="L63" s="125"/>
      <c r="M63" s="123"/>
      <c r="N63" s="123"/>
      <c r="O63" s="123"/>
      <c r="P63" s="123"/>
      <c r="Q63" s="123"/>
      <c r="R63" s="123"/>
      <c r="S63" s="123"/>
      <c r="T63" s="123"/>
      <c r="U63" s="123"/>
      <c r="V63" s="124"/>
    </row>
    <row r="64" spans="1:22">
      <c r="B64" s="10"/>
      <c r="C64" s="7"/>
      <c r="D64" s="7"/>
      <c r="E64" s="7"/>
      <c r="F64" s="7"/>
      <c r="G64" s="13"/>
      <c r="L64" s="126"/>
      <c r="M64" s="127"/>
      <c r="N64" s="127"/>
      <c r="O64" s="127"/>
      <c r="P64" s="127"/>
      <c r="Q64" s="127"/>
      <c r="R64" s="127"/>
      <c r="S64" s="127"/>
      <c r="T64" s="127"/>
      <c r="U64" s="127"/>
      <c r="V64" s="128"/>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V64"/>
  <sheetViews>
    <sheetView zoomScale="75" workbookViewId="0">
      <selection sqref="A1:XFD1048576"/>
    </sheetView>
  </sheetViews>
  <sheetFormatPr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129" t="s">
        <v>97</v>
      </c>
      <c r="B1" s="123"/>
      <c r="C1" s="123"/>
      <c r="D1" s="123"/>
      <c r="E1" s="123"/>
      <c r="F1" s="123"/>
      <c r="G1" s="123"/>
    </row>
    <row r="3" spans="1:22">
      <c r="B3" s="130" t="s">
        <v>1</v>
      </c>
      <c r="C3" s="131"/>
      <c r="D3" s="131"/>
      <c r="E3" s="131"/>
      <c r="F3" s="131"/>
      <c r="G3" s="132"/>
      <c r="L3" s="133" t="s">
        <v>2</v>
      </c>
      <c r="M3" s="134"/>
      <c r="N3" s="134"/>
      <c r="O3" s="134"/>
      <c r="P3" s="134"/>
      <c r="Q3" s="134"/>
      <c r="R3" s="134"/>
      <c r="S3" s="134"/>
      <c r="T3" s="134"/>
      <c r="U3" s="134"/>
      <c r="V3" s="135"/>
    </row>
    <row r="4" spans="1:22">
      <c r="B4" s="8"/>
      <c r="G4" s="11"/>
      <c r="L4" s="136" t="s">
        <v>3</v>
      </c>
      <c r="M4" s="137"/>
      <c r="N4" s="4"/>
      <c r="O4" s="138" t="s">
        <v>4</v>
      </c>
      <c r="P4" s="137"/>
      <c r="Q4" s="4"/>
      <c r="R4" s="138" t="s">
        <v>5</v>
      </c>
      <c r="S4" s="137"/>
      <c r="T4" s="4"/>
      <c r="U4" s="138" t="s">
        <v>6</v>
      </c>
      <c r="V4" s="139"/>
    </row>
    <row r="5" spans="1:22" ht="60" customHeight="1">
      <c r="B5" s="9" t="s">
        <v>3</v>
      </c>
      <c r="C5" s="5" t="s">
        <v>4</v>
      </c>
      <c r="D5" s="5" t="s">
        <v>5</v>
      </c>
      <c r="E5" s="5" t="s">
        <v>6</v>
      </c>
      <c r="F5" s="5" t="s">
        <v>7</v>
      </c>
      <c r="G5" s="12" t="s">
        <v>8</v>
      </c>
      <c r="L5" s="15" t="s">
        <v>9</v>
      </c>
      <c r="M5" s="14" t="s">
        <v>10</v>
      </c>
      <c r="N5" s="14"/>
      <c r="O5" s="14" t="s">
        <v>9</v>
      </c>
      <c r="P5" s="14" t="s">
        <v>10</v>
      </c>
      <c r="Q5" s="14"/>
      <c r="R5" s="14" t="s">
        <v>9</v>
      </c>
      <c r="S5" s="14" t="s">
        <v>10</v>
      </c>
      <c r="T5" s="14"/>
      <c r="U5" s="14" t="s">
        <v>9</v>
      </c>
      <c r="V5" s="16" t="s">
        <v>10</v>
      </c>
    </row>
    <row r="6" spans="1:22">
      <c r="A6" s="1" t="s">
        <v>11</v>
      </c>
      <c r="B6" s="29">
        <v>0</v>
      </c>
      <c r="C6" s="30">
        <v>0</v>
      </c>
      <c r="D6" s="30">
        <v>0</v>
      </c>
      <c r="E6" s="30">
        <v>0</v>
      </c>
      <c r="F6" s="30">
        <v>0</v>
      </c>
      <c r="G6" s="31">
        <f>SUM(AL_FINANCIAL)</f>
        <v>0</v>
      </c>
      <c r="H6" s="30"/>
      <c r="I6" s="30"/>
      <c r="J6" s="30"/>
      <c r="K6" s="30"/>
      <c r="L6" s="29"/>
      <c r="M6" s="30"/>
      <c r="N6" s="30"/>
      <c r="O6" s="30"/>
      <c r="P6" s="30"/>
      <c r="Q6" s="30"/>
      <c r="R6" s="30"/>
      <c r="S6" s="30"/>
      <c r="T6" s="30"/>
      <c r="U6" s="30"/>
      <c r="V6" s="31"/>
    </row>
    <row r="7" spans="1:22">
      <c r="A7" s="1" t="s">
        <v>12</v>
      </c>
      <c r="B7" s="29">
        <v>0</v>
      </c>
      <c r="C7" s="30">
        <v>0</v>
      </c>
      <c r="D7" s="30">
        <v>0</v>
      </c>
      <c r="E7" s="30">
        <v>0</v>
      </c>
      <c r="F7" s="30">
        <v>0</v>
      </c>
      <c r="G7" s="31">
        <f>SUM(AK_FINANCIAL)</f>
        <v>0</v>
      </c>
      <c r="H7" s="30"/>
      <c r="I7" s="32"/>
      <c r="J7" s="33"/>
      <c r="K7" s="30"/>
      <c r="L7" s="29"/>
      <c r="M7" s="30"/>
      <c r="N7" s="30"/>
      <c r="O7" s="30"/>
      <c r="P7" s="30"/>
      <c r="Q7" s="30"/>
      <c r="R7" s="30"/>
      <c r="S7" s="30"/>
      <c r="T7" s="30"/>
      <c r="U7" s="30"/>
      <c r="V7" s="31"/>
    </row>
    <row r="8" spans="1:22">
      <c r="A8" s="1" t="s">
        <v>13</v>
      </c>
      <c r="B8" s="29">
        <v>0</v>
      </c>
      <c r="C8" s="30">
        <v>0</v>
      </c>
      <c r="D8" s="30">
        <v>3347549</v>
      </c>
      <c r="E8" s="30">
        <v>0</v>
      </c>
      <c r="F8" s="30">
        <v>0</v>
      </c>
      <c r="G8" s="31">
        <f>SUM(AZ_FINANCIAL)</f>
        <v>3347549</v>
      </c>
      <c r="H8" s="30"/>
      <c r="I8" s="34" t="s">
        <v>14</v>
      </c>
      <c r="J8" s="35"/>
      <c r="K8" s="30"/>
      <c r="L8" s="29"/>
      <c r="M8" s="30"/>
      <c r="N8" s="30"/>
      <c r="O8" s="30"/>
      <c r="P8" s="30"/>
      <c r="Q8" s="30"/>
      <c r="R8" s="30"/>
      <c r="S8" s="30"/>
      <c r="T8" s="30"/>
      <c r="U8" s="30"/>
      <c r="V8" s="31"/>
    </row>
    <row r="9" spans="1:22">
      <c r="A9" s="1" t="s">
        <v>15</v>
      </c>
      <c r="B9" s="29">
        <v>0</v>
      </c>
      <c r="C9" s="30">
        <v>0</v>
      </c>
      <c r="D9" s="30">
        <v>0</v>
      </c>
      <c r="E9" s="30">
        <v>0</v>
      </c>
      <c r="F9" s="30">
        <v>0</v>
      </c>
      <c r="G9" s="31">
        <f>SUM(AR_FINANCIAL)</f>
        <v>0</v>
      </c>
      <c r="H9" s="30"/>
      <c r="I9" s="34"/>
      <c r="J9" s="35"/>
      <c r="K9" s="30"/>
      <c r="L9" s="29"/>
      <c r="M9" s="30"/>
      <c r="N9" s="30"/>
      <c r="O9" s="30"/>
      <c r="P9" s="30"/>
      <c r="Q9" s="30"/>
      <c r="R9" s="30"/>
      <c r="S9" s="30"/>
      <c r="T9" s="30"/>
      <c r="U9" s="30"/>
      <c r="V9" s="31"/>
    </row>
    <row r="10" spans="1:22">
      <c r="A10" s="1" t="s">
        <v>16</v>
      </c>
      <c r="B10" s="29">
        <v>0</v>
      </c>
      <c r="C10" s="30">
        <v>0</v>
      </c>
      <c r="D10" s="30">
        <v>0</v>
      </c>
      <c r="E10" s="30">
        <v>0</v>
      </c>
      <c r="F10" s="30">
        <v>0</v>
      </c>
      <c r="G10" s="31">
        <f>SUM(CA_FINANCIAL)</f>
        <v>0</v>
      </c>
      <c r="H10" s="30"/>
      <c r="I10" s="34" t="s">
        <v>17</v>
      </c>
      <c r="J10" s="35">
        <v>3111149</v>
      </c>
      <c r="K10" s="30"/>
      <c r="L10" s="29"/>
      <c r="M10" s="30"/>
      <c r="N10" s="30"/>
      <c r="O10" s="30"/>
      <c r="P10" s="30"/>
      <c r="Q10" s="30"/>
      <c r="R10" s="30"/>
      <c r="S10" s="30"/>
      <c r="T10" s="30"/>
      <c r="U10" s="30"/>
      <c r="V10" s="31"/>
    </row>
    <row r="11" spans="1:22">
      <c r="A11" s="1" t="s">
        <v>18</v>
      </c>
      <c r="B11" s="29">
        <v>0</v>
      </c>
      <c r="C11" s="30">
        <v>0</v>
      </c>
      <c r="D11" s="30">
        <v>0</v>
      </c>
      <c r="E11" s="30">
        <v>0</v>
      </c>
      <c r="F11" s="30">
        <v>0</v>
      </c>
      <c r="G11" s="31">
        <f>SUM(CO_FINANCIAL)</f>
        <v>0</v>
      </c>
      <c r="H11" s="30"/>
      <c r="I11" s="34"/>
      <c r="J11" s="35"/>
      <c r="K11" s="30"/>
      <c r="L11" s="29"/>
      <c r="M11" s="30"/>
      <c r="N11" s="30"/>
      <c r="O11" s="30"/>
      <c r="P11" s="30"/>
      <c r="Q11" s="30"/>
      <c r="R11" s="30"/>
      <c r="S11" s="30"/>
      <c r="T11" s="30"/>
      <c r="U11" s="30"/>
      <c r="V11" s="31"/>
    </row>
    <row r="12" spans="1:22">
      <c r="A12" s="1" t="s">
        <v>19</v>
      </c>
      <c r="B12" s="29">
        <v>0</v>
      </c>
      <c r="C12" s="30">
        <v>0</v>
      </c>
      <c r="D12" s="30">
        <v>0</v>
      </c>
      <c r="E12" s="30">
        <v>0</v>
      </c>
      <c r="F12" s="30">
        <v>0</v>
      </c>
      <c r="G12" s="31">
        <f>SUM(CT_FINANCIAL)</f>
        <v>0</v>
      </c>
      <c r="H12" s="30"/>
      <c r="I12" s="34" t="s">
        <v>20</v>
      </c>
      <c r="J12" s="35"/>
      <c r="K12" s="30"/>
      <c r="L12" s="29"/>
      <c r="M12" s="30"/>
      <c r="N12" s="30"/>
      <c r="O12" s="30"/>
      <c r="P12" s="30"/>
      <c r="Q12" s="30"/>
      <c r="R12" s="30"/>
      <c r="S12" s="30"/>
      <c r="T12" s="30"/>
      <c r="U12" s="30"/>
      <c r="V12" s="31"/>
    </row>
    <row r="13" spans="1:22">
      <c r="A13" s="1" t="s">
        <v>21</v>
      </c>
      <c r="B13" s="29">
        <v>0</v>
      </c>
      <c r="C13" s="30">
        <v>0</v>
      </c>
      <c r="D13" s="30">
        <v>0</v>
      </c>
      <c r="E13" s="30">
        <v>0</v>
      </c>
      <c r="F13" s="30">
        <v>0</v>
      </c>
      <c r="G13" s="31">
        <f>SUM(DE_FINANCIAL)</f>
        <v>0</v>
      </c>
      <c r="H13" s="30"/>
      <c r="I13" s="34" t="s">
        <v>22</v>
      </c>
      <c r="J13" s="35">
        <v>3111149</v>
      </c>
      <c r="K13" s="30"/>
      <c r="L13" s="29"/>
      <c r="M13" s="30"/>
      <c r="N13" s="30"/>
      <c r="O13" s="30"/>
      <c r="P13" s="30"/>
      <c r="Q13" s="30"/>
      <c r="R13" s="30"/>
      <c r="S13" s="30"/>
      <c r="T13" s="30"/>
      <c r="U13" s="30"/>
      <c r="V13" s="31"/>
    </row>
    <row r="14" spans="1:22">
      <c r="A14" s="1" t="s">
        <v>23</v>
      </c>
      <c r="B14" s="29">
        <v>0</v>
      </c>
      <c r="C14" s="30">
        <v>0</v>
      </c>
      <c r="D14" s="30">
        <v>0</v>
      </c>
      <c r="E14" s="30">
        <v>0</v>
      </c>
      <c r="F14" s="30">
        <v>0</v>
      </c>
      <c r="G14" s="31">
        <f>SUM(DC_FINANCIAL)</f>
        <v>0</v>
      </c>
      <c r="H14" s="30"/>
      <c r="I14" s="34" t="s">
        <v>24</v>
      </c>
      <c r="J14" s="35">
        <v>236400</v>
      </c>
      <c r="K14" s="30"/>
      <c r="L14" s="29"/>
      <c r="M14" s="30"/>
      <c r="N14" s="30"/>
      <c r="O14" s="30"/>
      <c r="P14" s="30"/>
      <c r="Q14" s="30"/>
      <c r="R14" s="30"/>
      <c r="S14" s="30"/>
      <c r="T14" s="30"/>
      <c r="U14" s="30"/>
      <c r="V14" s="31"/>
    </row>
    <row r="15" spans="1:22">
      <c r="A15" s="1" t="s">
        <v>25</v>
      </c>
      <c r="B15" s="29">
        <v>0</v>
      </c>
      <c r="C15" s="30">
        <v>0</v>
      </c>
      <c r="D15" s="30">
        <v>0</v>
      </c>
      <c r="E15" s="30">
        <v>0</v>
      </c>
      <c r="F15" s="30">
        <v>0</v>
      </c>
      <c r="G15" s="31">
        <f>SUM(FL_FINANCIAL)</f>
        <v>0</v>
      </c>
      <c r="H15" s="30"/>
      <c r="I15" s="34" t="s">
        <v>26</v>
      </c>
      <c r="J15" s="35">
        <v>0</v>
      </c>
      <c r="K15" s="30"/>
      <c r="L15" s="29"/>
      <c r="M15" s="30"/>
      <c r="N15" s="30"/>
      <c r="O15" s="30"/>
      <c r="P15" s="30"/>
      <c r="Q15" s="30"/>
      <c r="R15" s="30"/>
      <c r="S15" s="30"/>
      <c r="T15" s="30"/>
      <c r="U15" s="30"/>
      <c r="V15" s="31"/>
    </row>
    <row r="16" spans="1:22">
      <c r="A16" s="1" t="s">
        <v>27</v>
      </c>
      <c r="B16" s="29">
        <v>0</v>
      </c>
      <c r="C16" s="30">
        <v>0</v>
      </c>
      <c r="D16" s="30">
        <v>0</v>
      </c>
      <c r="E16" s="30">
        <v>0</v>
      </c>
      <c r="F16" s="30">
        <v>0</v>
      </c>
      <c r="G16" s="31">
        <f>SUM(GA_FINANCIAL)</f>
        <v>0</v>
      </c>
      <c r="H16" s="30"/>
      <c r="I16" s="34" t="s">
        <v>28</v>
      </c>
      <c r="J16" s="35">
        <v>0</v>
      </c>
      <c r="K16" s="30"/>
      <c r="L16" s="29"/>
      <c r="M16" s="30"/>
      <c r="N16" s="30"/>
      <c r="O16" s="30"/>
      <c r="P16" s="30"/>
      <c r="Q16" s="30"/>
      <c r="R16" s="30"/>
      <c r="S16" s="30"/>
      <c r="T16" s="30"/>
      <c r="U16" s="30"/>
      <c r="V16" s="31"/>
    </row>
    <row r="17" spans="1:22">
      <c r="A17" s="1" t="s">
        <v>29</v>
      </c>
      <c r="B17" s="29">
        <v>0</v>
      </c>
      <c r="C17" s="30">
        <v>0</v>
      </c>
      <c r="D17" s="30">
        <v>0</v>
      </c>
      <c r="E17" s="30">
        <v>0</v>
      </c>
      <c r="F17" s="30">
        <v>0</v>
      </c>
      <c r="G17" s="31">
        <f>SUM(HI_FINANCIAL)</f>
        <v>0</v>
      </c>
      <c r="H17" s="30"/>
      <c r="I17" s="34"/>
      <c r="J17" s="35"/>
      <c r="K17" s="30"/>
      <c r="L17" s="29"/>
      <c r="M17" s="30"/>
      <c r="N17" s="30"/>
      <c r="O17" s="30"/>
      <c r="P17" s="30"/>
      <c r="Q17" s="30"/>
      <c r="R17" s="30"/>
      <c r="S17" s="30"/>
      <c r="T17" s="30"/>
      <c r="U17" s="30"/>
      <c r="V17" s="31"/>
    </row>
    <row r="18" spans="1:22">
      <c r="A18" s="1" t="s">
        <v>30</v>
      </c>
      <c r="B18" s="29">
        <v>0</v>
      </c>
      <c r="C18" s="30">
        <v>0</v>
      </c>
      <c r="D18" s="30">
        <v>0</v>
      </c>
      <c r="E18" s="30">
        <v>0</v>
      </c>
      <c r="F18" s="30">
        <v>0</v>
      </c>
      <c r="G18" s="31">
        <f>SUM(ID_FINANCIAL)</f>
        <v>0</v>
      </c>
      <c r="H18" s="30"/>
      <c r="I18" s="34" t="s">
        <v>31</v>
      </c>
      <c r="J18" s="35"/>
      <c r="K18" s="30"/>
      <c r="L18" s="29"/>
      <c r="M18" s="30"/>
      <c r="N18" s="30"/>
      <c r="O18" s="30"/>
      <c r="P18" s="30"/>
      <c r="Q18" s="30"/>
      <c r="R18" s="30"/>
      <c r="S18" s="30"/>
      <c r="T18" s="30"/>
      <c r="U18" s="30"/>
      <c r="V18" s="31"/>
    </row>
    <row r="19" spans="1:22">
      <c r="A19" s="1" t="s">
        <v>32</v>
      </c>
      <c r="B19" s="29">
        <v>0</v>
      </c>
      <c r="C19" s="30">
        <v>0</v>
      </c>
      <c r="D19" s="30">
        <v>0</v>
      </c>
      <c r="E19" s="30">
        <v>0</v>
      </c>
      <c r="F19" s="30">
        <v>0</v>
      </c>
      <c r="G19" s="31">
        <f>SUM(IL_FINANCIAL)</f>
        <v>0</v>
      </c>
      <c r="H19" s="30"/>
      <c r="I19" s="34" t="s">
        <v>33</v>
      </c>
      <c r="J19" s="35">
        <v>0</v>
      </c>
      <c r="K19" s="30"/>
      <c r="L19" s="29"/>
      <c r="M19" s="30"/>
      <c r="N19" s="30"/>
      <c r="O19" s="30"/>
      <c r="P19" s="30"/>
      <c r="Q19" s="30"/>
      <c r="R19" s="30"/>
      <c r="S19" s="30"/>
      <c r="T19" s="30"/>
      <c r="U19" s="30"/>
      <c r="V19" s="31"/>
    </row>
    <row r="20" spans="1:22">
      <c r="A20" s="1" t="s">
        <v>34</v>
      </c>
      <c r="B20" s="29">
        <v>0</v>
      </c>
      <c r="C20" s="30">
        <v>0</v>
      </c>
      <c r="D20" s="30">
        <v>0</v>
      </c>
      <c r="E20" s="30">
        <v>0</v>
      </c>
      <c r="F20" s="30">
        <v>0</v>
      </c>
      <c r="G20" s="31">
        <f>SUM(IN_FINANCIAL)</f>
        <v>0</v>
      </c>
      <c r="H20" s="30"/>
      <c r="I20" s="34" t="s">
        <v>35</v>
      </c>
      <c r="J20" s="35">
        <v>3111149</v>
      </c>
      <c r="K20" s="30"/>
      <c r="L20" s="29"/>
      <c r="M20" s="30"/>
      <c r="N20" s="30"/>
      <c r="O20" s="30"/>
      <c r="P20" s="30"/>
      <c r="Q20" s="30"/>
      <c r="R20" s="30"/>
      <c r="S20" s="30"/>
      <c r="T20" s="30"/>
      <c r="U20" s="30"/>
      <c r="V20" s="31"/>
    </row>
    <row r="21" spans="1:22">
      <c r="A21" s="1" t="s">
        <v>36</v>
      </c>
      <c r="B21" s="29">
        <v>0</v>
      </c>
      <c r="C21" s="30">
        <v>0</v>
      </c>
      <c r="D21" s="30">
        <v>0</v>
      </c>
      <c r="E21" s="30">
        <v>0</v>
      </c>
      <c r="F21" s="30">
        <v>0</v>
      </c>
      <c r="G21" s="31">
        <f>SUM(IA_FINANCIAL)</f>
        <v>0</v>
      </c>
      <c r="H21" s="30"/>
      <c r="I21" s="34" t="s">
        <v>37</v>
      </c>
      <c r="J21" s="35"/>
      <c r="K21" s="30"/>
      <c r="L21" s="29"/>
      <c r="M21" s="30"/>
      <c r="N21" s="30"/>
      <c r="O21" s="30"/>
      <c r="P21" s="30"/>
      <c r="Q21" s="30"/>
      <c r="R21" s="30"/>
      <c r="S21" s="30"/>
      <c r="T21" s="30"/>
      <c r="U21" s="30"/>
      <c r="V21" s="31"/>
    </row>
    <row r="22" spans="1:22">
      <c r="A22" s="1" t="s">
        <v>38</v>
      </c>
      <c r="B22" s="29">
        <v>0</v>
      </c>
      <c r="C22" s="30">
        <v>0</v>
      </c>
      <c r="D22" s="30">
        <v>0</v>
      </c>
      <c r="E22" s="30">
        <v>0</v>
      </c>
      <c r="F22" s="30">
        <v>0</v>
      </c>
      <c r="G22" s="31">
        <f>SUM(KS_FINANCIAL)</f>
        <v>0</v>
      </c>
      <c r="H22" s="30"/>
      <c r="I22" s="34" t="s">
        <v>39</v>
      </c>
      <c r="J22" s="35">
        <v>0</v>
      </c>
      <c r="K22" s="30"/>
      <c r="L22" s="29"/>
      <c r="M22" s="30"/>
      <c r="N22" s="30"/>
      <c r="O22" s="30"/>
      <c r="P22" s="30"/>
      <c r="Q22" s="30"/>
      <c r="R22" s="30"/>
      <c r="S22" s="30"/>
      <c r="T22" s="30"/>
      <c r="U22" s="30"/>
      <c r="V22" s="31"/>
    </row>
    <row r="23" spans="1:22">
      <c r="A23" s="1" t="s">
        <v>40</v>
      </c>
      <c r="B23" s="29">
        <v>0</v>
      </c>
      <c r="C23" s="30">
        <v>0</v>
      </c>
      <c r="D23" s="30">
        <v>0</v>
      </c>
      <c r="E23" s="30">
        <v>0</v>
      </c>
      <c r="F23" s="30">
        <v>0</v>
      </c>
      <c r="G23" s="31">
        <f>SUM(KY_FINANCIAL)</f>
        <v>0</v>
      </c>
      <c r="H23" s="30"/>
      <c r="I23" s="34" t="s">
        <v>41</v>
      </c>
      <c r="J23" s="35"/>
      <c r="K23" s="30"/>
      <c r="L23" s="29"/>
      <c r="M23" s="30"/>
      <c r="N23" s="30"/>
      <c r="O23" s="30"/>
      <c r="P23" s="30"/>
      <c r="Q23" s="30"/>
      <c r="R23" s="30"/>
      <c r="S23" s="30"/>
      <c r="T23" s="30"/>
      <c r="U23" s="30"/>
      <c r="V23" s="31"/>
    </row>
    <row r="24" spans="1:22">
      <c r="A24" s="1" t="s">
        <v>42</v>
      </c>
      <c r="B24" s="29">
        <v>0</v>
      </c>
      <c r="C24" s="30">
        <v>0</v>
      </c>
      <c r="D24" s="30">
        <v>0</v>
      </c>
      <c r="E24" s="30">
        <v>0</v>
      </c>
      <c r="F24" s="30">
        <v>0</v>
      </c>
      <c r="G24" s="31">
        <f>SUM(LA_FINANCIAL)</f>
        <v>0</v>
      </c>
      <c r="H24" s="30"/>
      <c r="I24" s="34" t="s">
        <v>43</v>
      </c>
      <c r="J24" s="35">
        <v>0</v>
      </c>
      <c r="K24" s="30"/>
      <c r="L24" s="29"/>
      <c r="M24" s="30"/>
      <c r="N24" s="30"/>
      <c r="O24" s="30"/>
      <c r="P24" s="30"/>
      <c r="Q24" s="30"/>
      <c r="R24" s="30"/>
      <c r="S24" s="30"/>
      <c r="T24" s="30"/>
      <c r="U24" s="30"/>
      <c r="V24" s="31"/>
    </row>
    <row r="25" spans="1:22">
      <c r="A25" s="1" t="s">
        <v>44</v>
      </c>
      <c r="B25" s="29">
        <v>0</v>
      </c>
      <c r="C25" s="30">
        <v>0</v>
      </c>
      <c r="D25" s="30">
        <v>0</v>
      </c>
      <c r="E25" s="30">
        <v>0</v>
      </c>
      <c r="F25" s="30">
        <v>0</v>
      </c>
      <c r="G25" s="31">
        <f>SUM(ME_FINANCIAL)</f>
        <v>0</v>
      </c>
      <c r="H25" s="30"/>
      <c r="I25" s="34"/>
      <c r="J25" s="35"/>
      <c r="K25" s="30"/>
      <c r="L25" s="29"/>
      <c r="M25" s="30"/>
      <c r="N25" s="30"/>
      <c r="O25" s="30"/>
      <c r="P25" s="30"/>
      <c r="Q25" s="30"/>
      <c r="R25" s="30"/>
      <c r="S25" s="30"/>
      <c r="T25" s="30"/>
      <c r="U25" s="30"/>
      <c r="V25" s="31"/>
    </row>
    <row r="26" spans="1:22">
      <c r="A26" s="1" t="s">
        <v>45</v>
      </c>
      <c r="B26" s="29">
        <v>0</v>
      </c>
      <c r="C26" s="30">
        <v>0</v>
      </c>
      <c r="D26" s="30">
        <v>0</v>
      </c>
      <c r="E26" s="30">
        <v>0</v>
      </c>
      <c r="F26" s="30">
        <v>0</v>
      </c>
      <c r="G26" s="31">
        <f>SUM(MD_FINANCIAL)</f>
        <v>0</v>
      </c>
      <c r="H26" s="30"/>
      <c r="I26" s="34" t="s">
        <v>46</v>
      </c>
      <c r="J26" s="35">
        <f>SUM(ADD_FINANCIAL)-SUM(LESS_FINANCIAL)</f>
        <v>3347549</v>
      </c>
      <c r="K26" s="30"/>
      <c r="L26" s="29"/>
      <c r="M26" s="30"/>
      <c r="N26" s="30"/>
      <c r="O26" s="30"/>
      <c r="P26" s="30"/>
      <c r="Q26" s="30"/>
      <c r="R26" s="30"/>
      <c r="S26" s="30"/>
      <c r="T26" s="30"/>
      <c r="U26" s="30"/>
      <c r="V26" s="31"/>
    </row>
    <row r="27" spans="1:22">
      <c r="A27" s="1" t="s">
        <v>47</v>
      </c>
      <c r="B27" s="29">
        <v>0</v>
      </c>
      <c r="C27" s="30">
        <v>0</v>
      </c>
      <c r="D27" s="30">
        <v>0</v>
      </c>
      <c r="E27" s="30">
        <v>0</v>
      </c>
      <c r="F27" s="30">
        <v>0</v>
      </c>
      <c r="G27" s="31">
        <f>SUM(MA_FINANCIAL)</f>
        <v>0</v>
      </c>
      <c r="H27" s="30"/>
      <c r="I27" s="34" t="s">
        <v>48</v>
      </c>
      <c r="J27" s="35">
        <f>SUM(ALL_BLOCKS)</f>
        <v>3347549</v>
      </c>
      <c r="K27" s="30"/>
      <c r="L27" s="29"/>
      <c r="M27" s="30"/>
      <c r="N27" s="30"/>
      <c r="O27" s="30"/>
      <c r="P27" s="30"/>
      <c r="Q27" s="30"/>
      <c r="R27" s="30"/>
      <c r="S27" s="30"/>
      <c r="T27" s="30"/>
      <c r="U27" s="30"/>
      <c r="V27" s="31"/>
    </row>
    <row r="28" spans="1:22">
      <c r="A28" s="1" t="s">
        <v>49</v>
      </c>
      <c r="B28" s="29">
        <v>0</v>
      </c>
      <c r="C28" s="30">
        <v>0</v>
      </c>
      <c r="D28" s="30">
        <v>0</v>
      </c>
      <c r="E28" s="30">
        <v>0</v>
      </c>
      <c r="F28" s="30">
        <v>0</v>
      </c>
      <c r="G28" s="31">
        <f>SUM(MI_FINANCIAL)</f>
        <v>0</v>
      </c>
      <c r="H28" s="30"/>
      <c r="I28" s="36"/>
      <c r="J28" s="37"/>
      <c r="K28" s="30"/>
      <c r="L28" s="29"/>
      <c r="M28" s="30"/>
      <c r="N28" s="30"/>
      <c r="O28" s="30"/>
      <c r="P28" s="30"/>
      <c r="Q28" s="30"/>
      <c r="R28" s="30"/>
      <c r="S28" s="30"/>
      <c r="T28" s="30"/>
      <c r="U28" s="30"/>
      <c r="V28" s="31"/>
    </row>
    <row r="29" spans="1:22">
      <c r="A29" s="1" t="s">
        <v>50</v>
      </c>
      <c r="B29" s="29">
        <v>0</v>
      </c>
      <c r="C29" s="30">
        <v>0</v>
      </c>
      <c r="D29" s="30">
        <v>0</v>
      </c>
      <c r="E29" s="30">
        <v>0</v>
      </c>
      <c r="F29" s="30">
        <v>0</v>
      </c>
      <c r="G29" s="31">
        <f>SUM(MN_FINANCIAL)</f>
        <v>0</v>
      </c>
      <c r="H29" s="30"/>
      <c r="I29" s="30"/>
      <c r="J29" s="30"/>
      <c r="K29" s="30"/>
      <c r="L29" s="29"/>
      <c r="M29" s="30"/>
      <c r="N29" s="30"/>
      <c r="O29" s="30"/>
      <c r="P29" s="30"/>
      <c r="Q29" s="30"/>
      <c r="R29" s="30"/>
      <c r="S29" s="30"/>
      <c r="T29" s="30"/>
      <c r="U29" s="30"/>
      <c r="V29" s="31"/>
    </row>
    <row r="30" spans="1:22">
      <c r="A30" s="1" t="s">
        <v>51</v>
      </c>
      <c r="B30" s="29">
        <v>0</v>
      </c>
      <c r="C30" s="30">
        <v>0</v>
      </c>
      <c r="D30" s="30">
        <v>0</v>
      </c>
      <c r="E30" s="30">
        <v>0</v>
      </c>
      <c r="F30" s="30">
        <v>0</v>
      </c>
      <c r="G30" s="31">
        <f>SUM(MS_FINANCIAL)</f>
        <v>0</v>
      </c>
      <c r="H30" s="30"/>
      <c r="I30" s="30"/>
      <c r="J30" s="30"/>
      <c r="K30" s="30"/>
      <c r="L30" s="29"/>
      <c r="M30" s="30"/>
      <c r="N30" s="30"/>
      <c r="O30" s="30"/>
      <c r="P30" s="30"/>
      <c r="Q30" s="30"/>
      <c r="R30" s="30"/>
      <c r="S30" s="30"/>
      <c r="T30" s="30"/>
      <c r="U30" s="30"/>
      <c r="V30" s="31"/>
    </row>
    <row r="31" spans="1:22">
      <c r="A31" s="1" t="s">
        <v>52</v>
      </c>
      <c r="B31" s="29">
        <v>0</v>
      </c>
      <c r="C31" s="30">
        <v>0</v>
      </c>
      <c r="D31" s="30">
        <v>0</v>
      </c>
      <c r="E31" s="30">
        <v>0</v>
      </c>
      <c r="F31" s="30">
        <v>0</v>
      </c>
      <c r="G31" s="31">
        <f>SUM(MO_FINANCIAL)</f>
        <v>0</v>
      </c>
      <c r="H31" s="30"/>
      <c r="I31" s="30"/>
      <c r="J31" s="30"/>
      <c r="K31" s="30"/>
      <c r="L31" s="29"/>
      <c r="M31" s="30"/>
      <c r="N31" s="30"/>
      <c r="O31" s="30"/>
      <c r="P31" s="30"/>
      <c r="Q31" s="30"/>
      <c r="R31" s="30"/>
      <c r="S31" s="30"/>
      <c r="T31" s="30"/>
      <c r="U31" s="30"/>
      <c r="V31" s="31"/>
    </row>
    <row r="32" spans="1:22">
      <c r="A32" s="1" t="s">
        <v>53</v>
      </c>
      <c r="B32" s="29">
        <v>0</v>
      </c>
      <c r="C32" s="30">
        <v>0</v>
      </c>
      <c r="D32" s="30">
        <v>0</v>
      </c>
      <c r="E32" s="30">
        <v>0</v>
      </c>
      <c r="F32" s="30">
        <v>0</v>
      </c>
      <c r="G32" s="31">
        <f>SUM(MT_FINANCIAL)</f>
        <v>0</v>
      </c>
      <c r="H32" s="30"/>
      <c r="I32" s="30"/>
      <c r="J32" s="30"/>
      <c r="K32" s="30"/>
      <c r="L32" s="29"/>
      <c r="M32" s="30"/>
      <c r="N32" s="30"/>
      <c r="O32" s="30"/>
      <c r="P32" s="30"/>
      <c r="Q32" s="30"/>
      <c r="R32" s="30"/>
      <c r="S32" s="30"/>
      <c r="T32" s="30"/>
      <c r="U32" s="30"/>
      <c r="V32" s="31"/>
    </row>
    <row r="33" spans="1:22">
      <c r="A33" s="1" t="s">
        <v>54</v>
      </c>
      <c r="B33" s="29">
        <v>0</v>
      </c>
      <c r="C33" s="30">
        <v>0</v>
      </c>
      <c r="D33" s="30">
        <v>0</v>
      </c>
      <c r="E33" s="30">
        <v>0</v>
      </c>
      <c r="F33" s="30">
        <v>0</v>
      </c>
      <c r="G33" s="31">
        <f>SUM(NE_FINANCIAL)</f>
        <v>0</v>
      </c>
      <c r="H33" s="30"/>
      <c r="I33" s="30"/>
      <c r="J33" s="30"/>
      <c r="K33" s="30"/>
      <c r="L33" s="29"/>
      <c r="M33" s="30"/>
      <c r="N33" s="30"/>
      <c r="O33" s="30"/>
      <c r="P33" s="30"/>
      <c r="Q33" s="30"/>
      <c r="R33" s="30"/>
      <c r="S33" s="30"/>
      <c r="T33" s="30"/>
      <c r="U33" s="30"/>
      <c r="V33" s="31"/>
    </row>
    <row r="34" spans="1:22">
      <c r="A34" s="1" t="s">
        <v>55</v>
      </c>
      <c r="B34" s="29">
        <v>0</v>
      </c>
      <c r="C34" s="30">
        <v>0</v>
      </c>
      <c r="D34" s="30">
        <v>0</v>
      </c>
      <c r="E34" s="30">
        <v>0</v>
      </c>
      <c r="F34" s="30">
        <v>0</v>
      </c>
      <c r="G34" s="31">
        <f>SUM(NV_FINANCIAL)</f>
        <v>0</v>
      </c>
      <c r="H34" s="30"/>
      <c r="I34" s="30"/>
      <c r="J34" s="30"/>
      <c r="K34" s="30"/>
      <c r="L34" s="29"/>
      <c r="M34" s="30"/>
      <c r="N34" s="30"/>
      <c r="O34" s="30"/>
      <c r="P34" s="30"/>
      <c r="Q34" s="30"/>
      <c r="R34" s="30"/>
      <c r="S34" s="30"/>
      <c r="T34" s="30"/>
      <c r="U34" s="30"/>
      <c r="V34" s="31"/>
    </row>
    <row r="35" spans="1:22">
      <c r="A35" s="1" t="s">
        <v>56</v>
      </c>
      <c r="B35" s="29">
        <v>0</v>
      </c>
      <c r="C35" s="30">
        <v>0</v>
      </c>
      <c r="D35" s="30">
        <v>0</v>
      </c>
      <c r="E35" s="30">
        <v>0</v>
      </c>
      <c r="F35" s="30">
        <v>0</v>
      </c>
      <c r="G35" s="31">
        <f>SUM(NH_FINANCIAL)</f>
        <v>0</v>
      </c>
      <c r="H35" s="30"/>
      <c r="I35" s="30"/>
      <c r="J35" s="30"/>
      <c r="K35" s="30"/>
      <c r="L35" s="29"/>
      <c r="M35" s="30"/>
      <c r="N35" s="30"/>
      <c r="O35" s="30"/>
      <c r="P35" s="30"/>
      <c r="Q35" s="30"/>
      <c r="R35" s="30"/>
      <c r="S35" s="30"/>
      <c r="T35" s="30"/>
      <c r="U35" s="30"/>
      <c r="V35" s="31"/>
    </row>
    <row r="36" spans="1:22">
      <c r="A36" s="1" t="s">
        <v>57</v>
      </c>
      <c r="B36" s="29">
        <v>0</v>
      </c>
      <c r="C36" s="30">
        <v>0</v>
      </c>
      <c r="D36" s="30">
        <v>0</v>
      </c>
      <c r="E36" s="30">
        <v>0</v>
      </c>
      <c r="F36" s="30">
        <v>0</v>
      </c>
      <c r="G36" s="31">
        <f>SUM(NJ_FINANCIAL)</f>
        <v>0</v>
      </c>
      <c r="H36" s="30"/>
      <c r="I36" s="30"/>
      <c r="J36" s="30"/>
      <c r="K36" s="30"/>
      <c r="L36" s="29"/>
      <c r="M36" s="30"/>
      <c r="N36" s="30"/>
      <c r="O36" s="30"/>
      <c r="P36" s="30"/>
      <c r="Q36" s="30"/>
      <c r="R36" s="30"/>
      <c r="S36" s="30"/>
      <c r="T36" s="30"/>
      <c r="U36" s="30"/>
      <c r="V36" s="31"/>
    </row>
    <row r="37" spans="1:22">
      <c r="A37" s="1" t="s">
        <v>58</v>
      </c>
      <c r="B37" s="29">
        <v>0</v>
      </c>
      <c r="C37" s="30">
        <v>0</v>
      </c>
      <c r="D37" s="30">
        <v>0</v>
      </c>
      <c r="E37" s="30">
        <v>0</v>
      </c>
      <c r="F37" s="30">
        <v>0</v>
      </c>
      <c r="G37" s="31">
        <f>SUM(NM_FINANCIAL)</f>
        <v>0</v>
      </c>
      <c r="H37" s="30"/>
      <c r="I37" s="30"/>
      <c r="J37" s="30"/>
      <c r="K37" s="30"/>
      <c r="L37" s="29"/>
      <c r="M37" s="30"/>
      <c r="N37" s="30"/>
      <c r="O37" s="30"/>
      <c r="P37" s="30"/>
      <c r="Q37" s="30"/>
      <c r="R37" s="30"/>
      <c r="S37" s="30"/>
      <c r="T37" s="30"/>
      <c r="U37" s="30"/>
      <c r="V37" s="31"/>
    </row>
    <row r="38" spans="1:22">
      <c r="A38" s="1" t="s">
        <v>59</v>
      </c>
      <c r="B38" s="29">
        <v>0</v>
      </c>
      <c r="C38" s="30">
        <v>0</v>
      </c>
      <c r="D38" s="30">
        <v>0</v>
      </c>
      <c r="E38" s="30">
        <v>0</v>
      </c>
      <c r="F38" s="30">
        <v>0</v>
      </c>
      <c r="G38" s="31">
        <f>SUM(NY_FINANCIAL)</f>
        <v>0</v>
      </c>
      <c r="H38" s="30"/>
      <c r="I38" s="30"/>
      <c r="J38" s="30"/>
      <c r="K38" s="30"/>
      <c r="L38" s="29"/>
      <c r="M38" s="30"/>
      <c r="N38" s="30"/>
      <c r="O38" s="30"/>
      <c r="P38" s="30"/>
      <c r="Q38" s="30"/>
      <c r="R38" s="30"/>
      <c r="S38" s="30"/>
      <c r="T38" s="30"/>
      <c r="U38" s="30"/>
      <c r="V38" s="31"/>
    </row>
    <row r="39" spans="1:22">
      <c r="A39" s="1" t="s">
        <v>60</v>
      </c>
      <c r="B39" s="29">
        <v>0</v>
      </c>
      <c r="C39" s="30">
        <v>0</v>
      </c>
      <c r="D39" s="30">
        <v>0</v>
      </c>
      <c r="E39" s="30">
        <v>0</v>
      </c>
      <c r="F39" s="30">
        <v>0</v>
      </c>
      <c r="G39" s="31">
        <f>SUM(NC_FINANCIAL)</f>
        <v>0</v>
      </c>
      <c r="H39" s="30"/>
      <c r="I39" s="30"/>
      <c r="J39" s="30"/>
      <c r="K39" s="30"/>
      <c r="L39" s="29"/>
      <c r="M39" s="30"/>
      <c r="N39" s="30"/>
      <c r="O39" s="30"/>
      <c r="P39" s="30"/>
      <c r="Q39" s="30"/>
      <c r="R39" s="30"/>
      <c r="S39" s="30"/>
      <c r="T39" s="30"/>
      <c r="U39" s="30"/>
      <c r="V39" s="31"/>
    </row>
    <row r="40" spans="1:22">
      <c r="A40" s="1" t="s">
        <v>61</v>
      </c>
      <c r="B40" s="29">
        <v>0</v>
      </c>
      <c r="C40" s="30">
        <v>0</v>
      </c>
      <c r="D40" s="30">
        <v>0</v>
      </c>
      <c r="E40" s="30">
        <v>0</v>
      </c>
      <c r="F40" s="30">
        <v>0</v>
      </c>
      <c r="G40" s="31">
        <f>SUM(ND_FINANCIAL)</f>
        <v>0</v>
      </c>
      <c r="H40" s="30"/>
      <c r="I40" s="30"/>
      <c r="J40" s="30"/>
      <c r="K40" s="30"/>
      <c r="L40" s="29"/>
      <c r="M40" s="30"/>
      <c r="N40" s="30"/>
      <c r="O40" s="30"/>
      <c r="P40" s="30"/>
      <c r="Q40" s="30"/>
      <c r="R40" s="30"/>
      <c r="S40" s="30"/>
      <c r="T40" s="30"/>
      <c r="U40" s="30"/>
      <c r="V40" s="31"/>
    </row>
    <row r="41" spans="1:22">
      <c r="A41" s="1" t="s">
        <v>62</v>
      </c>
      <c r="B41" s="29">
        <v>0</v>
      </c>
      <c r="C41" s="30">
        <v>0</v>
      </c>
      <c r="D41" s="30">
        <v>0</v>
      </c>
      <c r="E41" s="30">
        <v>0</v>
      </c>
      <c r="F41" s="30">
        <v>0</v>
      </c>
      <c r="G41" s="31">
        <f>SUM(OH_FINANCIAL)</f>
        <v>0</v>
      </c>
      <c r="H41" s="30"/>
      <c r="I41" s="30"/>
      <c r="J41" s="30"/>
      <c r="K41" s="30"/>
      <c r="L41" s="29"/>
      <c r="M41" s="30"/>
      <c r="N41" s="30"/>
      <c r="O41" s="30"/>
      <c r="P41" s="30"/>
      <c r="Q41" s="30"/>
      <c r="R41" s="30"/>
      <c r="S41" s="30"/>
      <c r="T41" s="30"/>
      <c r="U41" s="30"/>
      <c r="V41" s="31"/>
    </row>
    <row r="42" spans="1:22">
      <c r="A42" s="1" t="s">
        <v>63</v>
      </c>
      <c r="B42" s="29">
        <v>0</v>
      </c>
      <c r="C42" s="30">
        <v>0</v>
      </c>
      <c r="D42" s="30">
        <v>0</v>
      </c>
      <c r="E42" s="30">
        <v>0</v>
      </c>
      <c r="F42" s="30">
        <v>0</v>
      </c>
      <c r="G42" s="31">
        <f>SUM(OK_FINANCIAL)</f>
        <v>0</v>
      </c>
      <c r="H42" s="30"/>
      <c r="I42" s="30"/>
      <c r="J42" s="30"/>
      <c r="K42" s="30"/>
      <c r="L42" s="29"/>
      <c r="M42" s="30"/>
      <c r="N42" s="30"/>
      <c r="O42" s="30"/>
      <c r="P42" s="30"/>
      <c r="Q42" s="30"/>
      <c r="R42" s="30"/>
      <c r="S42" s="30"/>
      <c r="T42" s="30"/>
      <c r="U42" s="30"/>
      <c r="V42" s="31"/>
    </row>
    <row r="43" spans="1:22">
      <c r="A43" s="1" t="s">
        <v>64</v>
      </c>
      <c r="B43" s="29">
        <v>0</v>
      </c>
      <c r="C43" s="30">
        <v>0</v>
      </c>
      <c r="D43" s="30">
        <v>0</v>
      </c>
      <c r="E43" s="30">
        <v>0</v>
      </c>
      <c r="F43" s="30">
        <v>0</v>
      </c>
      <c r="G43" s="31">
        <f>SUM(OR_FINANCIAL)</f>
        <v>0</v>
      </c>
      <c r="H43" s="30"/>
      <c r="I43" s="30"/>
      <c r="J43" s="30"/>
      <c r="K43" s="30"/>
      <c r="L43" s="29"/>
      <c r="M43" s="30"/>
      <c r="N43" s="30"/>
      <c r="O43" s="30"/>
      <c r="P43" s="30"/>
      <c r="Q43" s="30"/>
      <c r="R43" s="30"/>
      <c r="S43" s="30"/>
      <c r="T43" s="30"/>
      <c r="U43" s="30"/>
      <c r="V43" s="31"/>
    </row>
    <row r="44" spans="1:22">
      <c r="A44" s="1" t="s">
        <v>65</v>
      </c>
      <c r="B44" s="29">
        <v>0</v>
      </c>
      <c r="C44" s="30">
        <v>0</v>
      </c>
      <c r="D44" s="30">
        <v>0</v>
      </c>
      <c r="E44" s="30">
        <v>0</v>
      </c>
      <c r="F44" s="30">
        <v>0</v>
      </c>
      <c r="G44" s="31">
        <f>SUM(PA_FINANCIAL)</f>
        <v>0</v>
      </c>
      <c r="H44" s="30"/>
      <c r="I44" s="30"/>
      <c r="J44" s="30"/>
      <c r="K44" s="30"/>
      <c r="L44" s="29"/>
      <c r="M44" s="30"/>
      <c r="N44" s="30"/>
      <c r="O44" s="30"/>
      <c r="P44" s="30"/>
      <c r="Q44" s="30"/>
      <c r="R44" s="30"/>
      <c r="S44" s="30"/>
      <c r="T44" s="30"/>
      <c r="U44" s="30"/>
      <c r="V44" s="31"/>
    </row>
    <row r="45" spans="1:22">
      <c r="A45" s="1" t="s">
        <v>66</v>
      </c>
      <c r="B45" s="29">
        <v>0</v>
      </c>
      <c r="C45" s="30">
        <v>0</v>
      </c>
      <c r="D45" s="30">
        <v>0</v>
      </c>
      <c r="E45" s="30">
        <v>0</v>
      </c>
      <c r="F45" s="30">
        <v>0</v>
      </c>
      <c r="G45" s="31">
        <f>SUM(PR_FINANCIAL)</f>
        <v>0</v>
      </c>
      <c r="H45" s="30"/>
      <c r="I45" s="30"/>
      <c r="J45" s="30"/>
      <c r="K45" s="30"/>
      <c r="L45" s="29"/>
      <c r="M45" s="30"/>
      <c r="N45" s="30"/>
      <c r="O45" s="30"/>
      <c r="P45" s="30"/>
      <c r="Q45" s="30"/>
      <c r="R45" s="30"/>
      <c r="S45" s="30"/>
      <c r="T45" s="30"/>
      <c r="U45" s="30"/>
      <c r="V45" s="31"/>
    </row>
    <row r="46" spans="1:22">
      <c r="A46" s="1" t="s">
        <v>67</v>
      </c>
      <c r="B46" s="29">
        <v>0</v>
      </c>
      <c r="C46" s="30">
        <v>0</v>
      </c>
      <c r="D46" s="30">
        <v>0</v>
      </c>
      <c r="E46" s="30">
        <v>0</v>
      </c>
      <c r="F46" s="30">
        <v>0</v>
      </c>
      <c r="G46" s="31">
        <f>SUM(RI_FINANCIAL)</f>
        <v>0</v>
      </c>
      <c r="H46" s="30"/>
      <c r="I46" s="30"/>
      <c r="J46" s="30"/>
      <c r="K46" s="30"/>
      <c r="L46" s="29"/>
      <c r="M46" s="30"/>
      <c r="N46" s="30"/>
      <c r="O46" s="30"/>
      <c r="P46" s="30"/>
      <c r="Q46" s="30"/>
      <c r="R46" s="30"/>
      <c r="S46" s="30"/>
      <c r="T46" s="30"/>
      <c r="U46" s="30"/>
      <c r="V46" s="31"/>
    </row>
    <row r="47" spans="1:22">
      <c r="A47" s="1" t="s">
        <v>68</v>
      </c>
      <c r="B47" s="29">
        <v>0</v>
      </c>
      <c r="C47" s="30">
        <v>0</v>
      </c>
      <c r="D47" s="30">
        <v>0</v>
      </c>
      <c r="E47" s="30">
        <v>0</v>
      </c>
      <c r="F47" s="30">
        <v>0</v>
      </c>
      <c r="G47" s="31">
        <f>SUM(SC_FINANCIAL)</f>
        <v>0</v>
      </c>
      <c r="H47" s="30"/>
      <c r="I47" s="30"/>
      <c r="J47" s="30"/>
      <c r="K47" s="30"/>
      <c r="L47" s="29"/>
      <c r="M47" s="30"/>
      <c r="N47" s="30"/>
      <c r="O47" s="30"/>
      <c r="P47" s="30"/>
      <c r="Q47" s="30"/>
      <c r="R47" s="30"/>
      <c r="S47" s="30"/>
      <c r="T47" s="30"/>
      <c r="U47" s="30"/>
      <c r="V47" s="31"/>
    </row>
    <row r="48" spans="1:22">
      <c r="A48" s="1" t="s">
        <v>69</v>
      </c>
      <c r="B48" s="29">
        <v>0</v>
      </c>
      <c r="C48" s="30">
        <v>0</v>
      </c>
      <c r="D48" s="30">
        <v>0</v>
      </c>
      <c r="E48" s="30">
        <v>0</v>
      </c>
      <c r="F48" s="30">
        <v>0</v>
      </c>
      <c r="G48" s="31">
        <f>SUM(SD_FINANCIAL)</f>
        <v>0</v>
      </c>
      <c r="H48" s="30"/>
      <c r="I48" s="30"/>
      <c r="J48" s="30"/>
      <c r="K48" s="30"/>
      <c r="L48" s="29"/>
      <c r="M48" s="30"/>
      <c r="N48" s="30"/>
      <c r="O48" s="30"/>
      <c r="P48" s="30"/>
      <c r="Q48" s="30"/>
      <c r="R48" s="30"/>
      <c r="S48" s="30"/>
      <c r="T48" s="30"/>
      <c r="U48" s="30"/>
      <c r="V48" s="31"/>
    </row>
    <row r="49" spans="1:22">
      <c r="A49" s="1" t="s">
        <v>70</v>
      </c>
      <c r="B49" s="29">
        <v>0</v>
      </c>
      <c r="C49" s="30">
        <v>0</v>
      </c>
      <c r="D49" s="30">
        <v>0</v>
      </c>
      <c r="E49" s="30">
        <v>0</v>
      </c>
      <c r="F49" s="30">
        <v>0</v>
      </c>
      <c r="G49" s="31">
        <f>SUM(TN_FINANCIAL)</f>
        <v>0</v>
      </c>
      <c r="H49" s="30"/>
      <c r="I49" s="30"/>
      <c r="J49" s="30"/>
      <c r="K49" s="30"/>
      <c r="L49" s="29"/>
      <c r="M49" s="30"/>
      <c r="N49" s="30"/>
      <c r="O49" s="30"/>
      <c r="P49" s="30"/>
      <c r="Q49" s="30"/>
      <c r="R49" s="30"/>
      <c r="S49" s="30"/>
      <c r="T49" s="30"/>
      <c r="U49" s="30"/>
      <c r="V49" s="31"/>
    </row>
    <row r="50" spans="1:22">
      <c r="A50" s="1" t="s">
        <v>71</v>
      </c>
      <c r="B50" s="29">
        <v>0</v>
      </c>
      <c r="C50" s="30">
        <v>0</v>
      </c>
      <c r="D50" s="30">
        <v>0</v>
      </c>
      <c r="E50" s="30">
        <v>0</v>
      </c>
      <c r="F50" s="30">
        <v>0</v>
      </c>
      <c r="G50" s="31">
        <f>SUM(TX_FINANCIAL)</f>
        <v>0</v>
      </c>
      <c r="H50" s="30"/>
      <c r="I50" s="30"/>
      <c r="J50" s="30"/>
      <c r="K50" s="30"/>
      <c r="L50" s="29"/>
      <c r="M50" s="30"/>
      <c r="N50" s="30"/>
      <c r="O50" s="30"/>
      <c r="P50" s="30"/>
      <c r="Q50" s="30"/>
      <c r="R50" s="30"/>
      <c r="S50" s="30"/>
      <c r="T50" s="30"/>
      <c r="U50" s="30"/>
      <c r="V50" s="31"/>
    </row>
    <row r="51" spans="1:22">
      <c r="A51" s="1" t="s">
        <v>72</v>
      </c>
      <c r="B51" s="29">
        <v>0</v>
      </c>
      <c r="C51" s="30">
        <v>0</v>
      </c>
      <c r="D51" s="30">
        <v>0</v>
      </c>
      <c r="E51" s="30">
        <v>0</v>
      </c>
      <c r="F51" s="30">
        <v>0</v>
      </c>
      <c r="G51" s="31">
        <f>SUM(UT_FINANCIAL)</f>
        <v>0</v>
      </c>
      <c r="H51" s="30"/>
      <c r="I51" s="30"/>
      <c r="J51" s="30"/>
      <c r="K51" s="30"/>
      <c r="L51" s="29"/>
      <c r="M51" s="30"/>
      <c r="N51" s="30"/>
      <c r="O51" s="30"/>
      <c r="P51" s="30"/>
      <c r="Q51" s="30"/>
      <c r="R51" s="30"/>
      <c r="S51" s="30"/>
      <c r="T51" s="30"/>
      <c r="U51" s="30"/>
      <c r="V51" s="31"/>
    </row>
    <row r="52" spans="1:22">
      <c r="A52" s="1" t="s">
        <v>73</v>
      </c>
      <c r="B52" s="29">
        <v>0</v>
      </c>
      <c r="C52" s="30">
        <v>0</v>
      </c>
      <c r="D52" s="30">
        <v>0</v>
      </c>
      <c r="E52" s="30">
        <v>0</v>
      </c>
      <c r="F52" s="30">
        <v>0</v>
      </c>
      <c r="G52" s="31">
        <f>SUM(VT_FINANCIAL)</f>
        <v>0</v>
      </c>
      <c r="H52" s="30"/>
      <c r="I52" s="30"/>
      <c r="J52" s="30"/>
      <c r="K52" s="30"/>
      <c r="L52" s="29"/>
      <c r="M52" s="30"/>
      <c r="N52" s="30"/>
      <c r="O52" s="30"/>
      <c r="P52" s="30"/>
      <c r="Q52" s="30"/>
      <c r="R52" s="30"/>
      <c r="S52" s="30"/>
      <c r="T52" s="30"/>
      <c r="U52" s="30"/>
      <c r="V52" s="31"/>
    </row>
    <row r="53" spans="1:22">
      <c r="A53" s="1" t="s">
        <v>74</v>
      </c>
      <c r="B53" s="29">
        <v>0</v>
      </c>
      <c r="C53" s="30">
        <v>0</v>
      </c>
      <c r="D53" s="30">
        <v>0</v>
      </c>
      <c r="E53" s="30">
        <v>0</v>
      </c>
      <c r="F53" s="30">
        <v>0</v>
      </c>
      <c r="G53" s="31">
        <f>SUM(VA_FINANCIAL)</f>
        <v>0</v>
      </c>
      <c r="H53" s="30"/>
      <c r="I53" s="30"/>
      <c r="J53" s="30"/>
      <c r="K53" s="30"/>
      <c r="L53" s="29"/>
      <c r="M53" s="30"/>
      <c r="N53" s="30"/>
      <c r="O53" s="30"/>
      <c r="P53" s="30"/>
      <c r="Q53" s="30"/>
      <c r="R53" s="30"/>
      <c r="S53" s="30"/>
      <c r="T53" s="30"/>
      <c r="U53" s="30"/>
      <c r="V53" s="31"/>
    </row>
    <row r="54" spans="1:22">
      <c r="A54" s="1" t="s">
        <v>75</v>
      </c>
      <c r="B54" s="29">
        <v>0</v>
      </c>
      <c r="C54" s="30">
        <v>0</v>
      </c>
      <c r="D54" s="30">
        <v>0</v>
      </c>
      <c r="E54" s="30">
        <v>0</v>
      </c>
      <c r="F54" s="30">
        <v>0</v>
      </c>
      <c r="G54" s="31">
        <f>SUM(WA_FINANCIAL)</f>
        <v>0</v>
      </c>
      <c r="H54" s="30"/>
      <c r="I54" s="30"/>
      <c r="J54" s="30"/>
      <c r="K54" s="30"/>
      <c r="L54" s="29"/>
      <c r="M54" s="30"/>
      <c r="N54" s="30"/>
      <c r="O54" s="30"/>
      <c r="P54" s="30"/>
      <c r="Q54" s="30"/>
      <c r="R54" s="30"/>
      <c r="S54" s="30"/>
      <c r="T54" s="30"/>
      <c r="U54" s="30"/>
      <c r="V54" s="31"/>
    </row>
    <row r="55" spans="1:22">
      <c r="A55" s="1" t="s">
        <v>76</v>
      </c>
      <c r="B55" s="29">
        <v>0</v>
      </c>
      <c r="C55" s="30">
        <v>0</v>
      </c>
      <c r="D55" s="30">
        <v>0</v>
      </c>
      <c r="E55" s="30">
        <v>0</v>
      </c>
      <c r="F55" s="30">
        <v>0</v>
      </c>
      <c r="G55" s="31">
        <f>SUM(WV_FINANCIAL)</f>
        <v>0</v>
      </c>
      <c r="H55" s="30"/>
      <c r="I55" s="30"/>
      <c r="J55" s="30"/>
      <c r="K55" s="30"/>
      <c r="L55" s="29"/>
      <c r="M55" s="30"/>
      <c r="N55" s="30"/>
      <c r="O55" s="30"/>
      <c r="P55" s="30"/>
      <c r="Q55" s="30"/>
      <c r="R55" s="30"/>
      <c r="S55" s="30"/>
      <c r="T55" s="30"/>
      <c r="U55" s="30"/>
      <c r="V55" s="31"/>
    </row>
    <row r="56" spans="1:22">
      <c r="A56" s="1" t="s">
        <v>77</v>
      </c>
      <c r="B56" s="29">
        <v>0</v>
      </c>
      <c r="C56" s="30">
        <v>0</v>
      </c>
      <c r="D56" s="30">
        <v>0</v>
      </c>
      <c r="E56" s="30">
        <v>0</v>
      </c>
      <c r="F56" s="30">
        <v>0</v>
      </c>
      <c r="G56" s="31">
        <f>SUM(WI_FINANCIAL)</f>
        <v>0</v>
      </c>
      <c r="H56" s="30"/>
      <c r="I56" s="30"/>
      <c r="J56" s="30"/>
      <c r="K56" s="30"/>
      <c r="L56" s="29"/>
      <c r="M56" s="30"/>
      <c r="N56" s="30"/>
      <c r="O56" s="30"/>
      <c r="P56" s="30"/>
      <c r="Q56" s="30"/>
      <c r="R56" s="30"/>
      <c r="S56" s="30"/>
      <c r="T56" s="30"/>
      <c r="U56" s="30"/>
      <c r="V56" s="31"/>
    </row>
    <row r="57" spans="1:22">
      <c r="A57" s="1" t="s">
        <v>78</v>
      </c>
      <c r="B57" s="29">
        <v>0</v>
      </c>
      <c r="C57" s="30">
        <v>0</v>
      </c>
      <c r="D57" s="30">
        <v>0</v>
      </c>
      <c r="E57" s="30">
        <v>0</v>
      </c>
      <c r="F57" s="30">
        <v>0</v>
      </c>
      <c r="G57" s="31">
        <f>SUM(WY_FINANCIAL)</f>
        <v>0</v>
      </c>
      <c r="H57" s="30"/>
      <c r="I57" s="30"/>
      <c r="J57" s="30"/>
      <c r="K57" s="30"/>
      <c r="L57" s="29"/>
      <c r="M57" s="30"/>
      <c r="N57" s="30"/>
      <c r="O57" s="30"/>
      <c r="P57" s="30"/>
      <c r="Q57" s="30"/>
      <c r="R57" s="30"/>
      <c r="S57" s="30"/>
      <c r="T57" s="30"/>
      <c r="U57" s="30"/>
      <c r="V57" s="31"/>
    </row>
    <row r="58" spans="1:22">
      <c r="A58" s="1" t="s">
        <v>79</v>
      </c>
      <c r="B58" s="29">
        <v>0</v>
      </c>
      <c r="C58" s="30">
        <v>0</v>
      </c>
      <c r="D58" s="30">
        <v>0</v>
      </c>
      <c r="E58" s="30">
        <v>0</v>
      </c>
      <c r="F58" s="30">
        <v>0</v>
      </c>
      <c r="G58" s="31">
        <f>SUM(OT_FINANCIAL)</f>
        <v>0</v>
      </c>
      <c r="H58" s="30"/>
      <c r="I58" s="30"/>
      <c r="J58" s="30"/>
      <c r="K58" s="30"/>
      <c r="L58" s="29"/>
      <c r="M58" s="30"/>
      <c r="N58" s="30"/>
      <c r="O58" s="30"/>
      <c r="P58" s="30"/>
      <c r="Q58" s="30"/>
      <c r="R58" s="30"/>
      <c r="S58" s="30"/>
      <c r="T58" s="30"/>
      <c r="U58" s="30"/>
      <c r="V58" s="31"/>
    </row>
    <row r="59" spans="1:22">
      <c r="B59" s="29"/>
      <c r="C59" s="30"/>
      <c r="D59" s="30"/>
      <c r="E59" s="30"/>
      <c r="F59" s="30"/>
      <c r="G59" s="31"/>
      <c r="H59" s="30"/>
      <c r="I59" s="30"/>
      <c r="J59" s="30"/>
      <c r="K59" s="30"/>
      <c r="L59" s="29"/>
      <c r="M59" s="30"/>
      <c r="N59" s="30"/>
      <c r="O59" s="30"/>
      <c r="P59" s="30"/>
      <c r="Q59" s="30"/>
      <c r="R59" s="30"/>
      <c r="S59" s="30"/>
      <c r="T59" s="30"/>
      <c r="U59" s="30"/>
      <c r="V59" s="31"/>
    </row>
    <row r="60" spans="1:22">
      <c r="A60" s="1" t="s">
        <v>8</v>
      </c>
      <c r="B60" s="29">
        <f>SUM(LIFE)</f>
        <v>0</v>
      </c>
      <c r="C60" s="30">
        <f>SUM(ALLOCATED)</f>
        <v>0</v>
      </c>
      <c r="D60" s="30">
        <f>SUM(HEALTH)</f>
        <v>3347549</v>
      </c>
      <c r="E60" s="30">
        <f>SUM(UNALLOCATED)</f>
        <v>0</v>
      </c>
      <c r="F60" s="30">
        <f>SUM(LTC)</f>
        <v>0</v>
      </c>
      <c r="G60" s="31">
        <f>SUM(ALL_BLOCKS)</f>
        <v>3347549</v>
      </c>
      <c r="H60" s="30"/>
      <c r="I60" s="30"/>
      <c r="J60" s="30"/>
      <c r="K60" s="30"/>
      <c r="L60" s="29">
        <f>SUM(LIFE_CALLED)</f>
        <v>0</v>
      </c>
      <c r="M60" s="30">
        <f>SUM(LIFE_REFUNDED)</f>
        <v>0</v>
      </c>
      <c r="N60" s="30"/>
      <c r="O60" s="30">
        <f>SUM(ALLOC_CALLED)</f>
        <v>0</v>
      </c>
      <c r="P60" s="30">
        <f>SUM(ALLOC_REFUNDED)</f>
        <v>0</v>
      </c>
      <c r="Q60" s="30"/>
      <c r="R60" s="30">
        <f>SUM(HEALTH_CALLED)</f>
        <v>0</v>
      </c>
      <c r="S60" s="30">
        <f>SUM(HEALTH_REFUNDED)</f>
        <v>0</v>
      </c>
      <c r="T60" s="30"/>
      <c r="U60" s="30">
        <f>SUM(UNALLOC_CALLED)</f>
        <v>0</v>
      </c>
      <c r="V60" s="31">
        <f>SUM(UNALLOC_REFUNDED)</f>
        <v>0</v>
      </c>
    </row>
    <row r="61" spans="1:22" ht="5.0999999999999996" customHeight="1">
      <c r="B61" s="8"/>
      <c r="G61" s="11"/>
      <c r="L61" s="8"/>
      <c r="V61" s="11"/>
    </row>
    <row r="62" spans="1:22">
      <c r="B62" s="8"/>
      <c r="G62" s="11"/>
      <c r="L62" s="122" t="s">
        <v>80</v>
      </c>
      <c r="M62" s="123"/>
      <c r="N62" s="123"/>
      <c r="O62" s="123"/>
      <c r="P62" s="123"/>
      <c r="Q62" s="123"/>
      <c r="R62" s="123"/>
      <c r="S62" s="123"/>
      <c r="T62" s="123"/>
      <c r="U62" s="123"/>
      <c r="V62" s="124"/>
    </row>
    <row r="63" spans="1:22">
      <c r="B63" s="8"/>
      <c r="G63" s="11"/>
      <c r="L63" s="125"/>
      <c r="M63" s="123"/>
      <c r="N63" s="123"/>
      <c r="O63" s="123"/>
      <c r="P63" s="123"/>
      <c r="Q63" s="123"/>
      <c r="R63" s="123"/>
      <c r="S63" s="123"/>
      <c r="T63" s="123"/>
      <c r="U63" s="123"/>
      <c r="V63" s="124"/>
    </row>
    <row r="64" spans="1:22">
      <c r="B64" s="10"/>
      <c r="C64" s="7"/>
      <c r="D64" s="7"/>
      <c r="E64" s="7"/>
      <c r="F64" s="7"/>
      <c r="G64" s="13"/>
      <c r="L64" s="126"/>
      <c r="M64" s="127"/>
      <c r="N64" s="127"/>
      <c r="O64" s="127"/>
      <c r="P64" s="127"/>
      <c r="Q64" s="127"/>
      <c r="R64" s="127"/>
      <c r="S64" s="127"/>
      <c r="T64" s="127"/>
      <c r="U64" s="127"/>
      <c r="V64" s="128"/>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V64"/>
  <sheetViews>
    <sheetView zoomScale="75" workbookViewId="0">
      <selection sqref="A1:XFD1048576"/>
    </sheetView>
  </sheetViews>
  <sheetFormatPr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129" t="s">
        <v>98</v>
      </c>
      <c r="B1" s="123"/>
      <c r="C1" s="123"/>
      <c r="D1" s="123"/>
      <c r="E1" s="123"/>
      <c r="F1" s="123"/>
      <c r="G1" s="123"/>
    </row>
    <row r="3" spans="1:22">
      <c r="B3" s="130" t="s">
        <v>1</v>
      </c>
      <c r="C3" s="131"/>
      <c r="D3" s="131"/>
      <c r="E3" s="131"/>
      <c r="F3" s="131"/>
      <c r="G3" s="132"/>
      <c r="L3" s="133" t="s">
        <v>2</v>
      </c>
      <c r="M3" s="134"/>
      <c r="N3" s="134"/>
      <c r="O3" s="134"/>
      <c r="P3" s="134"/>
      <c r="Q3" s="134"/>
      <c r="R3" s="134"/>
      <c r="S3" s="134"/>
      <c r="T3" s="134"/>
      <c r="U3" s="134"/>
      <c r="V3" s="135"/>
    </row>
    <row r="4" spans="1:22">
      <c r="B4" s="8"/>
      <c r="G4" s="11"/>
      <c r="L4" s="136" t="s">
        <v>3</v>
      </c>
      <c r="M4" s="137"/>
      <c r="N4" s="4"/>
      <c r="O4" s="138" t="s">
        <v>4</v>
      </c>
      <c r="P4" s="137"/>
      <c r="Q4" s="4"/>
      <c r="R4" s="138" t="s">
        <v>5</v>
      </c>
      <c r="S4" s="137"/>
      <c r="T4" s="4"/>
      <c r="U4" s="138" t="s">
        <v>6</v>
      </c>
      <c r="V4" s="139"/>
    </row>
    <row r="5" spans="1:22" ht="60" customHeight="1">
      <c r="B5" s="9" t="s">
        <v>3</v>
      </c>
      <c r="C5" s="5" t="s">
        <v>4</v>
      </c>
      <c r="D5" s="5" t="s">
        <v>5</v>
      </c>
      <c r="E5" s="5" t="s">
        <v>6</v>
      </c>
      <c r="F5" s="5" t="s">
        <v>7</v>
      </c>
      <c r="G5" s="12" t="s">
        <v>8</v>
      </c>
      <c r="L5" s="15" t="s">
        <v>9</v>
      </c>
      <c r="M5" s="14" t="s">
        <v>10</v>
      </c>
      <c r="N5" s="14"/>
      <c r="O5" s="14" t="s">
        <v>9</v>
      </c>
      <c r="P5" s="14" t="s">
        <v>10</v>
      </c>
      <c r="Q5" s="14"/>
      <c r="R5" s="14" t="s">
        <v>9</v>
      </c>
      <c r="S5" s="14" t="s">
        <v>10</v>
      </c>
      <c r="T5" s="14"/>
      <c r="U5" s="14" t="s">
        <v>9</v>
      </c>
      <c r="V5" s="16" t="s">
        <v>10</v>
      </c>
    </row>
    <row r="6" spans="1:22">
      <c r="A6" s="1" t="s">
        <v>11</v>
      </c>
      <c r="B6" s="29">
        <v>0</v>
      </c>
      <c r="C6" s="30">
        <v>0</v>
      </c>
      <c r="D6" s="30">
        <v>0</v>
      </c>
      <c r="E6" s="30">
        <v>0</v>
      </c>
      <c r="F6" s="30">
        <v>0</v>
      </c>
      <c r="G6" s="31">
        <f>SUM(AL_FINANCIAL)</f>
        <v>0</v>
      </c>
      <c r="H6" s="30"/>
      <c r="I6" s="30"/>
      <c r="J6" s="30"/>
      <c r="K6" s="30"/>
      <c r="L6" s="29"/>
      <c r="M6" s="30"/>
      <c r="N6" s="30"/>
      <c r="O6" s="30"/>
      <c r="P6" s="30"/>
      <c r="Q6" s="30"/>
      <c r="R6" s="30"/>
      <c r="S6" s="30"/>
      <c r="T6" s="30"/>
      <c r="U6" s="30"/>
      <c r="V6" s="31"/>
    </row>
    <row r="7" spans="1:22">
      <c r="A7" s="1" t="s">
        <v>12</v>
      </c>
      <c r="B7" s="29">
        <v>0</v>
      </c>
      <c r="C7" s="30">
        <v>0</v>
      </c>
      <c r="D7" s="30">
        <v>0</v>
      </c>
      <c r="E7" s="30">
        <v>0</v>
      </c>
      <c r="F7" s="30">
        <v>0</v>
      </c>
      <c r="G7" s="31">
        <f>SUM(AK_FINANCIAL)</f>
        <v>0</v>
      </c>
      <c r="H7" s="30"/>
      <c r="I7" s="32"/>
      <c r="J7" s="33"/>
      <c r="K7" s="30"/>
      <c r="L7" s="29"/>
      <c r="M7" s="30"/>
      <c r="N7" s="30"/>
      <c r="O7" s="30"/>
      <c r="P7" s="30"/>
      <c r="Q7" s="30"/>
      <c r="R7" s="30"/>
      <c r="S7" s="30"/>
      <c r="T7" s="30"/>
      <c r="U7" s="30"/>
      <c r="V7" s="31"/>
    </row>
    <row r="8" spans="1:22">
      <c r="A8" s="1" t="s">
        <v>13</v>
      </c>
      <c r="B8" s="29">
        <v>0</v>
      </c>
      <c r="C8" s="30">
        <v>0</v>
      </c>
      <c r="D8" s="30">
        <v>0</v>
      </c>
      <c r="E8" s="30">
        <v>0</v>
      </c>
      <c r="F8" s="30">
        <v>0</v>
      </c>
      <c r="G8" s="31">
        <f>SUM(AZ_FINANCIAL)</f>
        <v>0</v>
      </c>
      <c r="H8" s="30"/>
      <c r="I8" s="34" t="s">
        <v>14</v>
      </c>
      <c r="J8" s="35"/>
      <c r="K8" s="30"/>
      <c r="L8" s="29"/>
      <c r="M8" s="30"/>
      <c r="N8" s="30"/>
      <c r="O8" s="30"/>
      <c r="P8" s="30"/>
      <c r="Q8" s="30"/>
      <c r="R8" s="30"/>
      <c r="S8" s="30"/>
      <c r="T8" s="30"/>
      <c r="U8" s="30"/>
      <c r="V8" s="31"/>
    </row>
    <row r="9" spans="1:22">
      <c r="A9" s="1" t="s">
        <v>15</v>
      </c>
      <c r="B9" s="29">
        <v>0</v>
      </c>
      <c r="C9" s="30">
        <v>0</v>
      </c>
      <c r="D9" s="30">
        <v>0</v>
      </c>
      <c r="E9" s="30">
        <v>0</v>
      </c>
      <c r="F9" s="30">
        <v>0</v>
      </c>
      <c r="G9" s="31">
        <f>SUM(AR_FINANCIAL)</f>
        <v>0</v>
      </c>
      <c r="H9" s="30"/>
      <c r="I9" s="34"/>
      <c r="J9" s="35"/>
      <c r="K9" s="30"/>
      <c r="L9" s="29"/>
      <c r="M9" s="30"/>
      <c r="N9" s="30"/>
      <c r="O9" s="30"/>
      <c r="P9" s="30"/>
      <c r="Q9" s="30"/>
      <c r="R9" s="30"/>
      <c r="S9" s="30"/>
      <c r="T9" s="30"/>
      <c r="U9" s="30"/>
      <c r="V9" s="31"/>
    </row>
    <row r="10" spans="1:22">
      <c r="A10" s="1" t="s">
        <v>16</v>
      </c>
      <c r="B10" s="29">
        <v>0</v>
      </c>
      <c r="C10" s="30">
        <v>0</v>
      </c>
      <c r="D10" s="30">
        <v>0</v>
      </c>
      <c r="E10" s="30">
        <v>0</v>
      </c>
      <c r="F10" s="30">
        <v>0</v>
      </c>
      <c r="G10" s="31">
        <f>SUM(CA_FINANCIAL)</f>
        <v>0</v>
      </c>
      <c r="H10" s="30"/>
      <c r="I10" s="34" t="s">
        <v>17</v>
      </c>
      <c r="J10" s="35">
        <v>116590114</v>
      </c>
      <c r="K10" s="30"/>
      <c r="L10" s="29"/>
      <c r="M10" s="30"/>
      <c r="N10" s="30"/>
      <c r="O10" s="30"/>
      <c r="P10" s="30"/>
      <c r="Q10" s="30"/>
      <c r="R10" s="30"/>
      <c r="S10" s="30"/>
      <c r="T10" s="30"/>
      <c r="U10" s="30"/>
      <c r="V10" s="31"/>
    </row>
    <row r="11" spans="1:22">
      <c r="A11" s="1" t="s">
        <v>18</v>
      </c>
      <c r="B11" s="29">
        <v>0</v>
      </c>
      <c r="C11" s="30">
        <v>0</v>
      </c>
      <c r="D11" s="30">
        <v>0</v>
      </c>
      <c r="E11" s="30">
        <v>0</v>
      </c>
      <c r="F11" s="30">
        <v>0</v>
      </c>
      <c r="G11" s="31">
        <f>SUM(CO_FINANCIAL)</f>
        <v>0</v>
      </c>
      <c r="H11" s="30"/>
      <c r="I11" s="34"/>
      <c r="J11" s="35"/>
      <c r="K11" s="30"/>
      <c r="L11" s="29"/>
      <c r="M11" s="30"/>
      <c r="N11" s="30"/>
      <c r="O11" s="30"/>
      <c r="P11" s="30"/>
      <c r="Q11" s="30"/>
      <c r="R11" s="30"/>
      <c r="S11" s="30"/>
      <c r="T11" s="30"/>
      <c r="U11" s="30"/>
      <c r="V11" s="31"/>
    </row>
    <row r="12" spans="1:22">
      <c r="A12" s="1" t="s">
        <v>19</v>
      </c>
      <c r="B12" s="29">
        <v>0</v>
      </c>
      <c r="C12" s="30">
        <v>0</v>
      </c>
      <c r="D12" s="30">
        <v>0</v>
      </c>
      <c r="E12" s="30">
        <v>0</v>
      </c>
      <c r="F12" s="30">
        <v>0</v>
      </c>
      <c r="G12" s="31">
        <f>SUM(CT_FINANCIAL)</f>
        <v>0</v>
      </c>
      <c r="H12" s="30"/>
      <c r="I12" s="34" t="s">
        <v>20</v>
      </c>
      <c r="J12" s="35"/>
      <c r="K12" s="30"/>
      <c r="L12" s="29"/>
      <c r="M12" s="30"/>
      <c r="N12" s="30"/>
      <c r="O12" s="30"/>
      <c r="P12" s="30"/>
      <c r="Q12" s="30"/>
      <c r="R12" s="30"/>
      <c r="S12" s="30"/>
      <c r="T12" s="30"/>
      <c r="U12" s="30"/>
      <c r="V12" s="31"/>
    </row>
    <row r="13" spans="1:22">
      <c r="A13" s="1" t="s">
        <v>21</v>
      </c>
      <c r="B13" s="29">
        <v>0</v>
      </c>
      <c r="C13" s="30">
        <v>0</v>
      </c>
      <c r="D13" s="30">
        <v>0</v>
      </c>
      <c r="E13" s="30">
        <v>0</v>
      </c>
      <c r="F13" s="30">
        <v>0</v>
      </c>
      <c r="G13" s="31">
        <f>SUM(DE_FINANCIAL)</f>
        <v>0</v>
      </c>
      <c r="H13" s="30"/>
      <c r="I13" s="34" t="s">
        <v>22</v>
      </c>
      <c r="J13" s="35">
        <v>0</v>
      </c>
      <c r="K13" s="30"/>
      <c r="L13" s="29"/>
      <c r="M13" s="30"/>
      <c r="N13" s="30"/>
      <c r="O13" s="30"/>
      <c r="P13" s="30"/>
      <c r="Q13" s="30"/>
      <c r="R13" s="30"/>
      <c r="S13" s="30"/>
      <c r="T13" s="30"/>
      <c r="U13" s="30"/>
      <c r="V13" s="31"/>
    </row>
    <row r="14" spans="1:22">
      <c r="A14" s="1" t="s">
        <v>23</v>
      </c>
      <c r="B14" s="29">
        <v>0</v>
      </c>
      <c r="C14" s="30">
        <v>0</v>
      </c>
      <c r="D14" s="30">
        <v>0</v>
      </c>
      <c r="E14" s="30">
        <v>0</v>
      </c>
      <c r="F14" s="30">
        <v>0</v>
      </c>
      <c r="G14" s="31">
        <f>SUM(DC_FINANCIAL)</f>
        <v>0</v>
      </c>
      <c r="H14" s="30"/>
      <c r="I14" s="34" t="s">
        <v>24</v>
      </c>
      <c r="J14" s="35">
        <v>0</v>
      </c>
      <c r="K14" s="30"/>
      <c r="L14" s="29"/>
      <c r="M14" s="30"/>
      <c r="N14" s="30"/>
      <c r="O14" s="30"/>
      <c r="P14" s="30"/>
      <c r="Q14" s="30"/>
      <c r="R14" s="30"/>
      <c r="S14" s="30"/>
      <c r="T14" s="30"/>
      <c r="U14" s="30"/>
      <c r="V14" s="31"/>
    </row>
    <row r="15" spans="1:22">
      <c r="A15" s="1" t="s">
        <v>25</v>
      </c>
      <c r="B15" s="29">
        <v>0</v>
      </c>
      <c r="C15" s="30">
        <v>0</v>
      </c>
      <c r="D15" s="30">
        <v>0</v>
      </c>
      <c r="E15" s="30">
        <v>0</v>
      </c>
      <c r="F15" s="30">
        <v>0</v>
      </c>
      <c r="G15" s="31">
        <f>SUM(FL_FINANCIAL)</f>
        <v>0</v>
      </c>
      <c r="H15" s="30"/>
      <c r="I15" s="34" t="s">
        <v>26</v>
      </c>
      <c r="J15" s="35">
        <v>0</v>
      </c>
      <c r="K15" s="30"/>
      <c r="L15" s="29"/>
      <c r="M15" s="30"/>
      <c r="N15" s="30"/>
      <c r="O15" s="30"/>
      <c r="P15" s="30"/>
      <c r="Q15" s="30"/>
      <c r="R15" s="30"/>
      <c r="S15" s="30"/>
      <c r="T15" s="30"/>
      <c r="U15" s="30"/>
      <c r="V15" s="31"/>
    </row>
    <row r="16" spans="1:22">
      <c r="A16" s="1" t="s">
        <v>27</v>
      </c>
      <c r="B16" s="29">
        <v>0</v>
      </c>
      <c r="C16" s="30">
        <v>0</v>
      </c>
      <c r="D16" s="30">
        <v>0</v>
      </c>
      <c r="E16" s="30">
        <v>0</v>
      </c>
      <c r="F16" s="30">
        <v>0</v>
      </c>
      <c r="G16" s="31">
        <f>SUM(GA_FINANCIAL)</f>
        <v>0</v>
      </c>
      <c r="H16" s="30"/>
      <c r="I16" s="34" t="s">
        <v>28</v>
      </c>
      <c r="J16" s="35">
        <v>0</v>
      </c>
      <c r="K16" s="30"/>
      <c r="L16" s="29"/>
      <c r="M16" s="30"/>
      <c r="N16" s="30"/>
      <c r="O16" s="30"/>
      <c r="P16" s="30"/>
      <c r="Q16" s="30"/>
      <c r="R16" s="30"/>
      <c r="S16" s="30"/>
      <c r="T16" s="30"/>
      <c r="U16" s="30"/>
      <c r="V16" s="31"/>
    </row>
    <row r="17" spans="1:22">
      <c r="A17" s="1" t="s">
        <v>29</v>
      </c>
      <c r="B17" s="29">
        <v>0</v>
      </c>
      <c r="C17" s="30">
        <v>0</v>
      </c>
      <c r="D17" s="30">
        <v>0</v>
      </c>
      <c r="E17" s="30">
        <v>0</v>
      </c>
      <c r="F17" s="30">
        <v>0</v>
      </c>
      <c r="G17" s="31">
        <f>SUM(HI_FINANCIAL)</f>
        <v>0</v>
      </c>
      <c r="H17" s="30"/>
      <c r="I17" s="34"/>
      <c r="J17" s="35"/>
      <c r="K17" s="30"/>
      <c r="L17" s="29"/>
      <c r="M17" s="30"/>
      <c r="N17" s="30"/>
      <c r="O17" s="30"/>
      <c r="P17" s="30"/>
      <c r="Q17" s="30"/>
      <c r="R17" s="30"/>
      <c r="S17" s="30"/>
      <c r="T17" s="30"/>
      <c r="U17" s="30"/>
      <c r="V17" s="31"/>
    </row>
    <row r="18" spans="1:22">
      <c r="A18" s="1" t="s">
        <v>30</v>
      </c>
      <c r="B18" s="29">
        <v>0</v>
      </c>
      <c r="C18" s="30">
        <v>0</v>
      </c>
      <c r="D18" s="30">
        <v>0</v>
      </c>
      <c r="E18" s="30">
        <v>0</v>
      </c>
      <c r="F18" s="30">
        <v>0</v>
      </c>
      <c r="G18" s="31">
        <f>SUM(ID_FINANCIAL)</f>
        <v>0</v>
      </c>
      <c r="H18" s="30"/>
      <c r="I18" s="34" t="s">
        <v>31</v>
      </c>
      <c r="J18" s="35"/>
      <c r="K18" s="30"/>
      <c r="L18" s="29"/>
      <c r="M18" s="30"/>
      <c r="N18" s="30"/>
      <c r="O18" s="30"/>
      <c r="P18" s="30"/>
      <c r="Q18" s="30"/>
      <c r="R18" s="30"/>
      <c r="S18" s="30"/>
      <c r="T18" s="30"/>
      <c r="U18" s="30"/>
      <c r="V18" s="31"/>
    </row>
    <row r="19" spans="1:22">
      <c r="A19" s="1" t="s">
        <v>32</v>
      </c>
      <c r="B19" s="29">
        <v>0</v>
      </c>
      <c r="C19" s="30">
        <v>0</v>
      </c>
      <c r="D19" s="30">
        <v>0</v>
      </c>
      <c r="E19" s="30">
        <v>0</v>
      </c>
      <c r="F19" s="30">
        <v>0</v>
      </c>
      <c r="G19" s="31">
        <f>SUM(IL_FINANCIAL)</f>
        <v>0</v>
      </c>
      <c r="H19" s="30"/>
      <c r="I19" s="34" t="s">
        <v>33</v>
      </c>
      <c r="J19" s="35">
        <v>0</v>
      </c>
      <c r="K19" s="30"/>
      <c r="L19" s="29"/>
      <c r="M19" s="30"/>
      <c r="N19" s="30"/>
      <c r="O19" s="30"/>
      <c r="P19" s="30"/>
      <c r="Q19" s="30"/>
      <c r="R19" s="30"/>
      <c r="S19" s="30"/>
      <c r="T19" s="30"/>
      <c r="U19" s="30"/>
      <c r="V19" s="31"/>
    </row>
    <row r="20" spans="1:22">
      <c r="A20" s="1" t="s">
        <v>34</v>
      </c>
      <c r="B20" s="29">
        <v>0</v>
      </c>
      <c r="C20" s="30">
        <v>0</v>
      </c>
      <c r="D20" s="30">
        <v>0</v>
      </c>
      <c r="E20" s="30">
        <v>0</v>
      </c>
      <c r="F20" s="30">
        <v>0</v>
      </c>
      <c r="G20" s="31">
        <f>SUM(IN_FINANCIAL)</f>
        <v>0</v>
      </c>
      <c r="H20" s="30"/>
      <c r="I20" s="34" t="s">
        <v>35</v>
      </c>
      <c r="J20" s="35">
        <v>116590114</v>
      </c>
      <c r="K20" s="30"/>
      <c r="L20" s="29"/>
      <c r="M20" s="30"/>
      <c r="N20" s="30"/>
      <c r="O20" s="30"/>
      <c r="P20" s="30"/>
      <c r="Q20" s="30"/>
      <c r="R20" s="30"/>
      <c r="S20" s="30"/>
      <c r="T20" s="30"/>
      <c r="U20" s="30"/>
      <c r="V20" s="31"/>
    </row>
    <row r="21" spans="1:22">
      <c r="A21" s="1" t="s">
        <v>36</v>
      </c>
      <c r="B21" s="29">
        <v>0</v>
      </c>
      <c r="C21" s="30">
        <v>0</v>
      </c>
      <c r="D21" s="30">
        <v>0</v>
      </c>
      <c r="E21" s="30">
        <v>0</v>
      </c>
      <c r="F21" s="30">
        <v>0</v>
      </c>
      <c r="G21" s="31">
        <f>SUM(IA_FINANCIAL)</f>
        <v>0</v>
      </c>
      <c r="H21" s="30"/>
      <c r="I21" s="34" t="s">
        <v>37</v>
      </c>
      <c r="J21" s="35"/>
      <c r="K21" s="30"/>
      <c r="L21" s="29"/>
      <c r="M21" s="30"/>
      <c r="N21" s="30"/>
      <c r="O21" s="30"/>
      <c r="P21" s="30"/>
      <c r="Q21" s="30"/>
      <c r="R21" s="30"/>
      <c r="S21" s="30"/>
      <c r="T21" s="30"/>
      <c r="U21" s="30"/>
      <c r="V21" s="31"/>
    </row>
    <row r="22" spans="1:22">
      <c r="A22" s="1" t="s">
        <v>38</v>
      </c>
      <c r="B22" s="29">
        <v>0</v>
      </c>
      <c r="C22" s="30">
        <v>0</v>
      </c>
      <c r="D22" s="30">
        <v>0</v>
      </c>
      <c r="E22" s="30">
        <v>0</v>
      </c>
      <c r="F22" s="30">
        <v>0</v>
      </c>
      <c r="G22" s="31">
        <f>SUM(KS_FINANCIAL)</f>
        <v>0</v>
      </c>
      <c r="H22" s="30"/>
      <c r="I22" s="34" t="s">
        <v>39</v>
      </c>
      <c r="J22" s="35">
        <v>0</v>
      </c>
      <c r="K22" s="30"/>
      <c r="L22" s="29"/>
      <c r="M22" s="30"/>
      <c r="N22" s="30"/>
      <c r="O22" s="30"/>
      <c r="P22" s="30"/>
      <c r="Q22" s="30"/>
      <c r="R22" s="30"/>
      <c r="S22" s="30"/>
      <c r="T22" s="30"/>
      <c r="U22" s="30"/>
      <c r="V22" s="31"/>
    </row>
    <row r="23" spans="1:22">
      <c r="A23" s="1" t="s">
        <v>40</v>
      </c>
      <c r="B23" s="29">
        <v>0</v>
      </c>
      <c r="C23" s="30">
        <v>0</v>
      </c>
      <c r="D23" s="30">
        <v>0</v>
      </c>
      <c r="E23" s="30">
        <v>0</v>
      </c>
      <c r="F23" s="30">
        <v>0</v>
      </c>
      <c r="G23" s="31">
        <f>SUM(KY_FINANCIAL)</f>
        <v>0</v>
      </c>
      <c r="H23" s="30"/>
      <c r="I23" s="34" t="s">
        <v>41</v>
      </c>
      <c r="J23" s="35"/>
      <c r="K23" s="30"/>
      <c r="L23" s="29"/>
      <c r="M23" s="30"/>
      <c r="N23" s="30"/>
      <c r="O23" s="30"/>
      <c r="P23" s="30"/>
      <c r="Q23" s="30"/>
      <c r="R23" s="30"/>
      <c r="S23" s="30"/>
      <c r="T23" s="30"/>
      <c r="U23" s="30"/>
      <c r="V23" s="31"/>
    </row>
    <row r="24" spans="1:22">
      <c r="A24" s="1" t="s">
        <v>42</v>
      </c>
      <c r="B24" s="29">
        <v>0</v>
      </c>
      <c r="C24" s="30">
        <v>0</v>
      </c>
      <c r="D24" s="30">
        <v>0</v>
      </c>
      <c r="E24" s="30">
        <v>0</v>
      </c>
      <c r="F24" s="30">
        <v>0</v>
      </c>
      <c r="G24" s="31">
        <f>SUM(LA_FINANCIAL)</f>
        <v>0</v>
      </c>
      <c r="H24" s="30"/>
      <c r="I24" s="34" t="s">
        <v>43</v>
      </c>
      <c r="J24" s="35">
        <v>0</v>
      </c>
      <c r="K24" s="30"/>
      <c r="L24" s="29"/>
      <c r="M24" s="30"/>
      <c r="N24" s="30"/>
      <c r="O24" s="30"/>
      <c r="P24" s="30"/>
      <c r="Q24" s="30"/>
      <c r="R24" s="30"/>
      <c r="S24" s="30"/>
      <c r="T24" s="30"/>
      <c r="U24" s="30"/>
      <c r="V24" s="31"/>
    </row>
    <row r="25" spans="1:22">
      <c r="A25" s="1" t="s">
        <v>44</v>
      </c>
      <c r="B25" s="29">
        <v>0</v>
      </c>
      <c r="C25" s="30">
        <v>0</v>
      </c>
      <c r="D25" s="30">
        <v>0</v>
      </c>
      <c r="E25" s="30">
        <v>0</v>
      </c>
      <c r="F25" s="30">
        <v>0</v>
      </c>
      <c r="G25" s="31">
        <f>SUM(ME_FINANCIAL)</f>
        <v>0</v>
      </c>
      <c r="H25" s="30"/>
      <c r="I25" s="34"/>
      <c r="J25" s="35"/>
      <c r="K25" s="30"/>
      <c r="L25" s="29"/>
      <c r="M25" s="30"/>
      <c r="N25" s="30"/>
      <c r="O25" s="30"/>
      <c r="P25" s="30"/>
      <c r="Q25" s="30"/>
      <c r="R25" s="30"/>
      <c r="S25" s="30"/>
      <c r="T25" s="30"/>
      <c r="U25" s="30"/>
      <c r="V25" s="31"/>
    </row>
    <row r="26" spans="1:22">
      <c r="A26" s="1" t="s">
        <v>45</v>
      </c>
      <c r="B26" s="29">
        <v>0</v>
      </c>
      <c r="C26" s="30">
        <v>0</v>
      </c>
      <c r="D26" s="30">
        <v>0</v>
      </c>
      <c r="E26" s="30">
        <v>0</v>
      </c>
      <c r="F26" s="30">
        <v>0</v>
      </c>
      <c r="G26" s="31">
        <f>SUM(MD_FINANCIAL)</f>
        <v>0</v>
      </c>
      <c r="H26" s="30"/>
      <c r="I26" s="34" t="s">
        <v>46</v>
      </c>
      <c r="J26" s="35">
        <f>SUM(ADD_FINANCIAL)-SUM(LESS_FINANCIAL)</f>
        <v>0</v>
      </c>
      <c r="K26" s="30"/>
      <c r="L26" s="29"/>
      <c r="M26" s="30"/>
      <c r="N26" s="30"/>
      <c r="O26" s="30"/>
      <c r="P26" s="30"/>
      <c r="Q26" s="30"/>
      <c r="R26" s="30"/>
      <c r="S26" s="30"/>
      <c r="T26" s="30"/>
      <c r="U26" s="30"/>
      <c r="V26" s="31"/>
    </row>
    <row r="27" spans="1:22">
      <c r="A27" s="1" t="s">
        <v>47</v>
      </c>
      <c r="B27" s="29">
        <v>0</v>
      </c>
      <c r="C27" s="30">
        <v>0</v>
      </c>
      <c r="D27" s="30">
        <v>0</v>
      </c>
      <c r="E27" s="30">
        <v>0</v>
      </c>
      <c r="F27" s="30">
        <v>0</v>
      </c>
      <c r="G27" s="31">
        <f>SUM(MA_FINANCIAL)</f>
        <v>0</v>
      </c>
      <c r="H27" s="30"/>
      <c r="I27" s="34" t="s">
        <v>48</v>
      </c>
      <c r="J27" s="35">
        <f>SUM(ALL_BLOCKS)</f>
        <v>0</v>
      </c>
      <c r="K27" s="30"/>
      <c r="L27" s="29"/>
      <c r="M27" s="30"/>
      <c r="N27" s="30"/>
      <c r="O27" s="30"/>
      <c r="P27" s="30"/>
      <c r="Q27" s="30"/>
      <c r="R27" s="30"/>
      <c r="S27" s="30"/>
      <c r="T27" s="30"/>
      <c r="U27" s="30"/>
      <c r="V27" s="31"/>
    </row>
    <row r="28" spans="1:22">
      <c r="A28" s="1" t="s">
        <v>49</v>
      </c>
      <c r="B28" s="29">
        <v>0</v>
      </c>
      <c r="C28" s="30">
        <v>0</v>
      </c>
      <c r="D28" s="30">
        <v>0</v>
      </c>
      <c r="E28" s="30">
        <v>0</v>
      </c>
      <c r="F28" s="30">
        <v>0</v>
      </c>
      <c r="G28" s="31">
        <f>SUM(MI_FINANCIAL)</f>
        <v>0</v>
      </c>
      <c r="H28" s="30"/>
      <c r="I28" s="36"/>
      <c r="J28" s="37"/>
      <c r="K28" s="30"/>
      <c r="L28" s="29"/>
      <c r="M28" s="30"/>
      <c r="N28" s="30"/>
      <c r="O28" s="30"/>
      <c r="P28" s="30"/>
      <c r="Q28" s="30"/>
      <c r="R28" s="30"/>
      <c r="S28" s="30"/>
      <c r="T28" s="30"/>
      <c r="U28" s="30"/>
      <c r="V28" s="31"/>
    </row>
    <row r="29" spans="1:22">
      <c r="A29" s="1" t="s">
        <v>50</v>
      </c>
      <c r="B29" s="29">
        <v>0</v>
      </c>
      <c r="C29" s="30">
        <v>0</v>
      </c>
      <c r="D29" s="30">
        <v>0</v>
      </c>
      <c r="E29" s="30">
        <v>0</v>
      </c>
      <c r="F29" s="30">
        <v>0</v>
      </c>
      <c r="G29" s="31">
        <f>SUM(MN_FINANCIAL)</f>
        <v>0</v>
      </c>
      <c r="H29" s="30"/>
      <c r="I29" s="30"/>
      <c r="J29" s="30"/>
      <c r="K29" s="30"/>
      <c r="L29" s="29"/>
      <c r="M29" s="30"/>
      <c r="N29" s="30"/>
      <c r="O29" s="30"/>
      <c r="P29" s="30"/>
      <c r="Q29" s="30"/>
      <c r="R29" s="30"/>
      <c r="S29" s="30"/>
      <c r="T29" s="30"/>
      <c r="U29" s="30"/>
      <c r="V29" s="31"/>
    </row>
    <row r="30" spans="1:22">
      <c r="A30" s="1" t="s">
        <v>51</v>
      </c>
      <c r="B30" s="29">
        <v>0</v>
      </c>
      <c r="C30" s="30">
        <v>0</v>
      </c>
      <c r="D30" s="30">
        <v>0</v>
      </c>
      <c r="E30" s="30">
        <v>0</v>
      </c>
      <c r="F30" s="30">
        <v>0</v>
      </c>
      <c r="G30" s="31">
        <f>SUM(MS_FINANCIAL)</f>
        <v>0</v>
      </c>
      <c r="H30" s="30"/>
      <c r="I30" s="30"/>
      <c r="J30" s="30"/>
      <c r="K30" s="30"/>
      <c r="L30" s="29"/>
      <c r="M30" s="30"/>
      <c r="N30" s="30"/>
      <c r="O30" s="30"/>
      <c r="P30" s="30"/>
      <c r="Q30" s="30"/>
      <c r="R30" s="30"/>
      <c r="S30" s="30"/>
      <c r="T30" s="30"/>
      <c r="U30" s="30"/>
      <c r="V30" s="31"/>
    </row>
    <row r="31" spans="1:22">
      <c r="A31" s="1" t="s">
        <v>52</v>
      </c>
      <c r="B31" s="29">
        <v>0</v>
      </c>
      <c r="C31" s="30">
        <v>0</v>
      </c>
      <c r="D31" s="30">
        <v>0</v>
      </c>
      <c r="E31" s="30">
        <v>0</v>
      </c>
      <c r="F31" s="30">
        <v>0</v>
      </c>
      <c r="G31" s="31">
        <f>SUM(MO_FINANCIAL)</f>
        <v>0</v>
      </c>
      <c r="H31" s="30"/>
      <c r="I31" s="30"/>
      <c r="J31" s="30"/>
      <c r="K31" s="30"/>
      <c r="L31" s="29"/>
      <c r="M31" s="30"/>
      <c r="N31" s="30"/>
      <c r="O31" s="30"/>
      <c r="P31" s="30"/>
      <c r="Q31" s="30"/>
      <c r="R31" s="30"/>
      <c r="S31" s="30"/>
      <c r="T31" s="30"/>
      <c r="U31" s="30"/>
      <c r="V31" s="31"/>
    </row>
    <row r="32" spans="1:22">
      <c r="A32" s="1" t="s">
        <v>53</v>
      </c>
      <c r="B32" s="29">
        <v>0</v>
      </c>
      <c r="C32" s="30">
        <v>0</v>
      </c>
      <c r="D32" s="30">
        <v>0</v>
      </c>
      <c r="E32" s="30">
        <v>0</v>
      </c>
      <c r="F32" s="30">
        <v>0</v>
      </c>
      <c r="G32" s="31">
        <f>SUM(MT_FINANCIAL)</f>
        <v>0</v>
      </c>
      <c r="H32" s="30"/>
      <c r="I32" s="30"/>
      <c r="J32" s="30"/>
      <c r="K32" s="30"/>
      <c r="L32" s="29"/>
      <c r="M32" s="30"/>
      <c r="N32" s="30"/>
      <c r="O32" s="30"/>
      <c r="P32" s="30"/>
      <c r="Q32" s="30"/>
      <c r="R32" s="30"/>
      <c r="S32" s="30"/>
      <c r="T32" s="30"/>
      <c r="U32" s="30"/>
      <c r="V32" s="31"/>
    </row>
    <row r="33" spans="1:22">
      <c r="A33" s="1" t="s">
        <v>54</v>
      </c>
      <c r="B33" s="29">
        <v>0</v>
      </c>
      <c r="C33" s="30">
        <v>0</v>
      </c>
      <c r="D33" s="30">
        <v>0</v>
      </c>
      <c r="E33" s="30">
        <v>0</v>
      </c>
      <c r="F33" s="30">
        <v>0</v>
      </c>
      <c r="G33" s="31">
        <f>SUM(NE_FINANCIAL)</f>
        <v>0</v>
      </c>
      <c r="H33" s="30"/>
      <c r="I33" s="30"/>
      <c r="J33" s="30"/>
      <c r="K33" s="30"/>
      <c r="L33" s="29"/>
      <c r="M33" s="30"/>
      <c r="N33" s="30"/>
      <c r="O33" s="30"/>
      <c r="P33" s="30"/>
      <c r="Q33" s="30"/>
      <c r="R33" s="30"/>
      <c r="S33" s="30"/>
      <c r="T33" s="30"/>
      <c r="U33" s="30"/>
      <c r="V33" s="31"/>
    </row>
    <row r="34" spans="1:22">
      <c r="A34" s="1" t="s">
        <v>55</v>
      </c>
      <c r="B34" s="29">
        <v>0</v>
      </c>
      <c r="C34" s="30">
        <v>0</v>
      </c>
      <c r="D34" s="30">
        <v>0</v>
      </c>
      <c r="E34" s="30">
        <v>0</v>
      </c>
      <c r="F34" s="30">
        <v>0</v>
      </c>
      <c r="G34" s="31">
        <f>SUM(NV_FINANCIAL)</f>
        <v>0</v>
      </c>
      <c r="H34" s="30"/>
      <c r="I34" s="30"/>
      <c r="J34" s="30"/>
      <c r="K34" s="30"/>
      <c r="L34" s="29"/>
      <c r="M34" s="30"/>
      <c r="N34" s="30"/>
      <c r="O34" s="30"/>
      <c r="P34" s="30"/>
      <c r="Q34" s="30"/>
      <c r="R34" s="30"/>
      <c r="S34" s="30"/>
      <c r="T34" s="30"/>
      <c r="U34" s="30"/>
      <c r="V34" s="31"/>
    </row>
    <row r="35" spans="1:22">
      <c r="A35" s="1" t="s">
        <v>56</v>
      </c>
      <c r="B35" s="29">
        <v>0</v>
      </c>
      <c r="C35" s="30">
        <v>0</v>
      </c>
      <c r="D35" s="30">
        <v>0</v>
      </c>
      <c r="E35" s="30">
        <v>0</v>
      </c>
      <c r="F35" s="30">
        <v>0</v>
      </c>
      <c r="G35" s="31">
        <f>SUM(NH_FINANCIAL)</f>
        <v>0</v>
      </c>
      <c r="H35" s="30"/>
      <c r="I35" s="30"/>
      <c r="J35" s="30"/>
      <c r="K35" s="30"/>
      <c r="L35" s="29"/>
      <c r="M35" s="30"/>
      <c r="N35" s="30"/>
      <c r="O35" s="30"/>
      <c r="P35" s="30"/>
      <c r="Q35" s="30"/>
      <c r="R35" s="30"/>
      <c r="S35" s="30"/>
      <c r="T35" s="30"/>
      <c r="U35" s="30"/>
      <c r="V35" s="31"/>
    </row>
    <row r="36" spans="1:22">
      <c r="A36" s="1" t="s">
        <v>57</v>
      </c>
      <c r="B36" s="29">
        <v>0</v>
      </c>
      <c r="C36" s="30">
        <v>0</v>
      </c>
      <c r="D36" s="30">
        <v>0</v>
      </c>
      <c r="E36" s="30">
        <v>0</v>
      </c>
      <c r="F36" s="30">
        <v>0</v>
      </c>
      <c r="G36" s="31">
        <f>SUM(NJ_FINANCIAL)</f>
        <v>0</v>
      </c>
      <c r="H36" s="30"/>
      <c r="I36" s="30"/>
      <c r="J36" s="30"/>
      <c r="K36" s="30"/>
      <c r="L36" s="29"/>
      <c r="M36" s="30"/>
      <c r="N36" s="30"/>
      <c r="O36" s="30"/>
      <c r="P36" s="30"/>
      <c r="Q36" s="30"/>
      <c r="R36" s="30"/>
      <c r="S36" s="30"/>
      <c r="T36" s="30"/>
      <c r="U36" s="30"/>
      <c r="V36" s="31"/>
    </row>
    <row r="37" spans="1:22">
      <c r="A37" s="1" t="s">
        <v>58</v>
      </c>
      <c r="B37" s="29">
        <v>0</v>
      </c>
      <c r="C37" s="30">
        <v>0</v>
      </c>
      <c r="D37" s="30">
        <v>0</v>
      </c>
      <c r="E37" s="30">
        <v>0</v>
      </c>
      <c r="F37" s="30">
        <v>0</v>
      </c>
      <c r="G37" s="31">
        <f>SUM(NM_FINANCIAL)</f>
        <v>0</v>
      </c>
      <c r="H37" s="30"/>
      <c r="I37" s="30"/>
      <c r="J37" s="30"/>
      <c r="K37" s="30"/>
      <c r="L37" s="29"/>
      <c r="M37" s="30"/>
      <c r="N37" s="30"/>
      <c r="O37" s="30"/>
      <c r="P37" s="30"/>
      <c r="Q37" s="30"/>
      <c r="R37" s="30"/>
      <c r="S37" s="30"/>
      <c r="T37" s="30"/>
      <c r="U37" s="30"/>
      <c r="V37" s="31"/>
    </row>
    <row r="38" spans="1:22">
      <c r="A38" s="1" t="s">
        <v>59</v>
      </c>
      <c r="B38" s="29">
        <v>0</v>
      </c>
      <c r="C38" s="30">
        <v>0</v>
      </c>
      <c r="D38" s="30">
        <v>0</v>
      </c>
      <c r="E38" s="30">
        <v>0</v>
      </c>
      <c r="F38" s="30">
        <v>0</v>
      </c>
      <c r="G38" s="31">
        <f>SUM(NY_FINANCIAL)</f>
        <v>0</v>
      </c>
      <c r="H38" s="30"/>
      <c r="I38" s="30"/>
      <c r="J38" s="30"/>
      <c r="K38" s="30"/>
      <c r="L38" s="29"/>
      <c r="M38" s="30"/>
      <c r="N38" s="30"/>
      <c r="O38" s="30"/>
      <c r="P38" s="30"/>
      <c r="Q38" s="30"/>
      <c r="R38" s="30"/>
      <c r="S38" s="30"/>
      <c r="T38" s="30"/>
      <c r="U38" s="30"/>
      <c r="V38" s="31"/>
    </row>
    <row r="39" spans="1:22">
      <c r="A39" s="1" t="s">
        <v>60</v>
      </c>
      <c r="B39" s="29">
        <v>0</v>
      </c>
      <c r="C39" s="30">
        <v>0</v>
      </c>
      <c r="D39" s="30">
        <v>0</v>
      </c>
      <c r="E39" s="30">
        <v>0</v>
      </c>
      <c r="F39" s="30">
        <v>0</v>
      </c>
      <c r="G39" s="31">
        <f>SUM(NC_FINANCIAL)</f>
        <v>0</v>
      </c>
      <c r="H39" s="30"/>
      <c r="I39" s="30"/>
      <c r="J39" s="30"/>
      <c r="K39" s="30"/>
      <c r="L39" s="29"/>
      <c r="M39" s="30"/>
      <c r="N39" s="30"/>
      <c r="O39" s="30"/>
      <c r="P39" s="30"/>
      <c r="Q39" s="30"/>
      <c r="R39" s="30"/>
      <c r="S39" s="30"/>
      <c r="T39" s="30"/>
      <c r="U39" s="30"/>
      <c r="V39" s="31"/>
    </row>
    <row r="40" spans="1:22">
      <c r="A40" s="1" t="s">
        <v>61</v>
      </c>
      <c r="B40" s="29">
        <v>0</v>
      </c>
      <c r="C40" s="30">
        <v>0</v>
      </c>
      <c r="D40" s="30">
        <v>0</v>
      </c>
      <c r="E40" s="30">
        <v>0</v>
      </c>
      <c r="F40" s="30">
        <v>0</v>
      </c>
      <c r="G40" s="31">
        <f>SUM(ND_FINANCIAL)</f>
        <v>0</v>
      </c>
      <c r="H40" s="30"/>
      <c r="I40" s="30"/>
      <c r="J40" s="30"/>
      <c r="K40" s="30"/>
      <c r="L40" s="29"/>
      <c r="M40" s="30"/>
      <c r="N40" s="30"/>
      <c r="O40" s="30"/>
      <c r="P40" s="30"/>
      <c r="Q40" s="30"/>
      <c r="R40" s="30"/>
      <c r="S40" s="30"/>
      <c r="T40" s="30"/>
      <c r="U40" s="30"/>
      <c r="V40" s="31"/>
    </row>
    <row r="41" spans="1:22">
      <c r="A41" s="1" t="s">
        <v>62</v>
      </c>
      <c r="B41" s="29">
        <v>0</v>
      </c>
      <c r="C41" s="30">
        <v>0</v>
      </c>
      <c r="D41" s="30">
        <v>0</v>
      </c>
      <c r="E41" s="30">
        <v>0</v>
      </c>
      <c r="F41" s="30">
        <v>0</v>
      </c>
      <c r="G41" s="31">
        <f>SUM(OH_FINANCIAL)</f>
        <v>0</v>
      </c>
      <c r="H41" s="30"/>
      <c r="I41" s="30"/>
      <c r="J41" s="30"/>
      <c r="K41" s="30"/>
      <c r="L41" s="29"/>
      <c r="M41" s="30"/>
      <c r="N41" s="30"/>
      <c r="O41" s="30"/>
      <c r="P41" s="30"/>
      <c r="Q41" s="30"/>
      <c r="R41" s="30"/>
      <c r="S41" s="30"/>
      <c r="T41" s="30"/>
      <c r="U41" s="30"/>
      <c r="V41" s="31"/>
    </row>
    <row r="42" spans="1:22">
      <c r="A42" s="1" t="s">
        <v>63</v>
      </c>
      <c r="B42" s="29">
        <v>0</v>
      </c>
      <c r="C42" s="30">
        <v>0</v>
      </c>
      <c r="D42" s="30">
        <v>0</v>
      </c>
      <c r="E42" s="30">
        <v>0</v>
      </c>
      <c r="F42" s="30">
        <v>0</v>
      </c>
      <c r="G42" s="31">
        <f>SUM(OK_FINANCIAL)</f>
        <v>0</v>
      </c>
      <c r="H42" s="30"/>
      <c r="I42" s="30"/>
      <c r="J42" s="30"/>
      <c r="K42" s="30"/>
      <c r="L42" s="29"/>
      <c r="M42" s="30"/>
      <c r="N42" s="30"/>
      <c r="O42" s="30"/>
      <c r="P42" s="30"/>
      <c r="Q42" s="30"/>
      <c r="R42" s="30"/>
      <c r="S42" s="30"/>
      <c r="T42" s="30"/>
      <c r="U42" s="30"/>
      <c r="V42" s="31"/>
    </row>
    <row r="43" spans="1:22">
      <c r="A43" s="1" t="s">
        <v>64</v>
      </c>
      <c r="B43" s="29">
        <v>0</v>
      </c>
      <c r="C43" s="30">
        <v>0</v>
      </c>
      <c r="D43" s="30">
        <v>0</v>
      </c>
      <c r="E43" s="30">
        <v>0</v>
      </c>
      <c r="F43" s="30">
        <v>0</v>
      </c>
      <c r="G43" s="31">
        <f>SUM(OR_FINANCIAL)</f>
        <v>0</v>
      </c>
      <c r="H43" s="30"/>
      <c r="I43" s="30"/>
      <c r="J43" s="30"/>
      <c r="K43" s="30"/>
      <c r="L43" s="29"/>
      <c r="M43" s="30"/>
      <c r="N43" s="30"/>
      <c r="O43" s="30"/>
      <c r="P43" s="30"/>
      <c r="Q43" s="30"/>
      <c r="R43" s="30"/>
      <c r="S43" s="30"/>
      <c r="T43" s="30"/>
      <c r="U43" s="30"/>
      <c r="V43" s="31"/>
    </row>
    <row r="44" spans="1:22">
      <c r="A44" s="1" t="s">
        <v>65</v>
      </c>
      <c r="B44" s="29">
        <v>0</v>
      </c>
      <c r="C44" s="30">
        <v>0</v>
      </c>
      <c r="D44" s="30">
        <v>0</v>
      </c>
      <c r="E44" s="30">
        <v>0</v>
      </c>
      <c r="F44" s="30">
        <v>0</v>
      </c>
      <c r="G44" s="31">
        <f>SUM(PA_FINANCIAL)</f>
        <v>0</v>
      </c>
      <c r="H44" s="30"/>
      <c r="I44" s="30"/>
      <c r="J44" s="30"/>
      <c r="K44" s="30"/>
      <c r="L44" s="29"/>
      <c r="M44" s="30"/>
      <c r="N44" s="30"/>
      <c r="O44" s="30"/>
      <c r="P44" s="30"/>
      <c r="Q44" s="30"/>
      <c r="R44" s="30"/>
      <c r="S44" s="30"/>
      <c r="T44" s="30"/>
      <c r="U44" s="30"/>
      <c r="V44" s="31"/>
    </row>
    <row r="45" spans="1:22">
      <c r="A45" s="1" t="s">
        <v>66</v>
      </c>
      <c r="B45" s="29">
        <v>0</v>
      </c>
      <c r="C45" s="30">
        <v>0</v>
      </c>
      <c r="D45" s="30">
        <v>0</v>
      </c>
      <c r="E45" s="30">
        <v>0</v>
      </c>
      <c r="F45" s="30">
        <v>0</v>
      </c>
      <c r="G45" s="31">
        <f>SUM(PR_FINANCIAL)</f>
        <v>0</v>
      </c>
      <c r="H45" s="30"/>
      <c r="I45" s="30"/>
      <c r="J45" s="30"/>
      <c r="K45" s="30"/>
      <c r="L45" s="29"/>
      <c r="M45" s="30"/>
      <c r="N45" s="30"/>
      <c r="O45" s="30"/>
      <c r="P45" s="30"/>
      <c r="Q45" s="30"/>
      <c r="R45" s="30"/>
      <c r="S45" s="30"/>
      <c r="T45" s="30"/>
      <c r="U45" s="30"/>
      <c r="V45" s="31"/>
    </row>
    <row r="46" spans="1:22">
      <c r="A46" s="1" t="s">
        <v>67</v>
      </c>
      <c r="B46" s="29">
        <v>0</v>
      </c>
      <c r="C46" s="30">
        <v>0</v>
      </c>
      <c r="D46" s="30">
        <v>0</v>
      </c>
      <c r="E46" s="30">
        <v>0</v>
      </c>
      <c r="F46" s="30">
        <v>0</v>
      </c>
      <c r="G46" s="31">
        <f>SUM(RI_FINANCIAL)</f>
        <v>0</v>
      </c>
      <c r="H46" s="30"/>
      <c r="I46" s="30"/>
      <c r="J46" s="30"/>
      <c r="K46" s="30"/>
      <c r="L46" s="29"/>
      <c r="M46" s="30"/>
      <c r="N46" s="30"/>
      <c r="O46" s="30"/>
      <c r="P46" s="30"/>
      <c r="Q46" s="30"/>
      <c r="R46" s="30"/>
      <c r="S46" s="30"/>
      <c r="T46" s="30"/>
      <c r="U46" s="30"/>
      <c r="V46" s="31"/>
    </row>
    <row r="47" spans="1:22">
      <c r="A47" s="1" t="s">
        <v>68</v>
      </c>
      <c r="B47" s="29">
        <v>0</v>
      </c>
      <c r="C47" s="30">
        <v>0</v>
      </c>
      <c r="D47" s="30">
        <v>0</v>
      </c>
      <c r="E47" s="30">
        <v>0</v>
      </c>
      <c r="F47" s="30">
        <v>0</v>
      </c>
      <c r="G47" s="31">
        <f>SUM(SC_FINANCIAL)</f>
        <v>0</v>
      </c>
      <c r="H47" s="30"/>
      <c r="I47" s="30"/>
      <c r="J47" s="30"/>
      <c r="K47" s="30"/>
      <c r="L47" s="29"/>
      <c r="M47" s="30"/>
      <c r="N47" s="30"/>
      <c r="O47" s="30"/>
      <c r="P47" s="30"/>
      <c r="Q47" s="30"/>
      <c r="R47" s="30"/>
      <c r="S47" s="30"/>
      <c r="T47" s="30"/>
      <c r="U47" s="30"/>
      <c r="V47" s="31"/>
    </row>
    <row r="48" spans="1:22">
      <c r="A48" s="1" t="s">
        <v>69</v>
      </c>
      <c r="B48" s="29">
        <v>0</v>
      </c>
      <c r="C48" s="30">
        <v>0</v>
      </c>
      <c r="D48" s="30">
        <v>0</v>
      </c>
      <c r="E48" s="30">
        <v>0</v>
      </c>
      <c r="F48" s="30">
        <v>0</v>
      </c>
      <c r="G48" s="31">
        <f>SUM(SD_FINANCIAL)</f>
        <v>0</v>
      </c>
      <c r="H48" s="30"/>
      <c r="I48" s="30"/>
      <c r="J48" s="30"/>
      <c r="K48" s="30"/>
      <c r="L48" s="29"/>
      <c r="M48" s="30"/>
      <c r="N48" s="30"/>
      <c r="O48" s="30"/>
      <c r="P48" s="30"/>
      <c r="Q48" s="30"/>
      <c r="R48" s="30"/>
      <c r="S48" s="30"/>
      <c r="T48" s="30"/>
      <c r="U48" s="30"/>
      <c r="V48" s="31"/>
    </row>
    <row r="49" spans="1:22">
      <c r="A49" s="1" t="s">
        <v>70</v>
      </c>
      <c r="B49" s="29">
        <v>0</v>
      </c>
      <c r="C49" s="30">
        <v>0</v>
      </c>
      <c r="D49" s="30">
        <v>0</v>
      </c>
      <c r="E49" s="30">
        <v>0</v>
      </c>
      <c r="F49" s="30">
        <v>0</v>
      </c>
      <c r="G49" s="31">
        <f>SUM(TN_FINANCIAL)</f>
        <v>0</v>
      </c>
      <c r="H49" s="30"/>
      <c r="I49" s="30"/>
      <c r="J49" s="30"/>
      <c r="K49" s="30"/>
      <c r="L49" s="29"/>
      <c r="M49" s="30"/>
      <c r="N49" s="30"/>
      <c r="O49" s="30"/>
      <c r="P49" s="30"/>
      <c r="Q49" s="30"/>
      <c r="R49" s="30"/>
      <c r="S49" s="30"/>
      <c r="T49" s="30"/>
      <c r="U49" s="30"/>
      <c r="V49" s="31"/>
    </row>
    <row r="50" spans="1:22">
      <c r="A50" s="1" t="s">
        <v>71</v>
      </c>
      <c r="B50" s="29">
        <v>0</v>
      </c>
      <c r="C50" s="30">
        <v>0</v>
      </c>
      <c r="D50" s="30">
        <v>0</v>
      </c>
      <c r="E50" s="30">
        <v>0</v>
      </c>
      <c r="F50" s="30">
        <v>0</v>
      </c>
      <c r="G50" s="31">
        <f>SUM(TX_FINANCIAL)</f>
        <v>0</v>
      </c>
      <c r="H50" s="30"/>
      <c r="I50" s="30"/>
      <c r="J50" s="30"/>
      <c r="K50" s="30"/>
      <c r="L50" s="29"/>
      <c r="M50" s="30"/>
      <c r="N50" s="30"/>
      <c r="O50" s="30"/>
      <c r="P50" s="30"/>
      <c r="Q50" s="30"/>
      <c r="R50" s="30"/>
      <c r="S50" s="30"/>
      <c r="T50" s="30"/>
      <c r="U50" s="30"/>
      <c r="V50" s="31"/>
    </row>
    <row r="51" spans="1:22">
      <c r="A51" s="1" t="s">
        <v>72</v>
      </c>
      <c r="B51" s="29">
        <v>0</v>
      </c>
      <c r="C51" s="30">
        <v>0</v>
      </c>
      <c r="D51" s="30">
        <v>0</v>
      </c>
      <c r="E51" s="30">
        <v>0</v>
      </c>
      <c r="F51" s="30">
        <v>0</v>
      </c>
      <c r="G51" s="31">
        <f>SUM(UT_FINANCIAL)</f>
        <v>0</v>
      </c>
      <c r="H51" s="30"/>
      <c r="I51" s="30"/>
      <c r="J51" s="30"/>
      <c r="K51" s="30"/>
      <c r="L51" s="29"/>
      <c r="M51" s="30"/>
      <c r="N51" s="30"/>
      <c r="O51" s="30"/>
      <c r="P51" s="30"/>
      <c r="Q51" s="30"/>
      <c r="R51" s="30"/>
      <c r="S51" s="30"/>
      <c r="T51" s="30"/>
      <c r="U51" s="30"/>
      <c r="V51" s="31"/>
    </row>
    <row r="52" spans="1:22">
      <c r="A52" s="1" t="s">
        <v>73</v>
      </c>
      <c r="B52" s="29">
        <v>0</v>
      </c>
      <c r="C52" s="30">
        <v>0</v>
      </c>
      <c r="D52" s="30">
        <v>0</v>
      </c>
      <c r="E52" s="30">
        <v>0</v>
      </c>
      <c r="F52" s="30">
        <v>0</v>
      </c>
      <c r="G52" s="31">
        <f>SUM(VT_FINANCIAL)</f>
        <v>0</v>
      </c>
      <c r="H52" s="30"/>
      <c r="I52" s="30"/>
      <c r="J52" s="30"/>
      <c r="K52" s="30"/>
      <c r="L52" s="29"/>
      <c r="M52" s="30"/>
      <c r="N52" s="30"/>
      <c r="O52" s="30"/>
      <c r="P52" s="30"/>
      <c r="Q52" s="30"/>
      <c r="R52" s="30"/>
      <c r="S52" s="30"/>
      <c r="T52" s="30"/>
      <c r="U52" s="30"/>
      <c r="V52" s="31"/>
    </row>
    <row r="53" spans="1:22">
      <c r="A53" s="1" t="s">
        <v>74</v>
      </c>
      <c r="B53" s="29">
        <v>0</v>
      </c>
      <c r="C53" s="30">
        <v>0</v>
      </c>
      <c r="D53" s="30">
        <v>0</v>
      </c>
      <c r="E53" s="30">
        <v>0</v>
      </c>
      <c r="F53" s="30">
        <v>0</v>
      </c>
      <c r="G53" s="31">
        <f>SUM(VA_FINANCIAL)</f>
        <v>0</v>
      </c>
      <c r="H53" s="30"/>
      <c r="I53" s="30"/>
      <c r="J53" s="30"/>
      <c r="K53" s="30"/>
      <c r="L53" s="29"/>
      <c r="M53" s="30"/>
      <c r="N53" s="30"/>
      <c r="O53" s="30"/>
      <c r="P53" s="30"/>
      <c r="Q53" s="30"/>
      <c r="R53" s="30"/>
      <c r="S53" s="30"/>
      <c r="T53" s="30"/>
      <c r="U53" s="30"/>
      <c r="V53" s="31"/>
    </row>
    <row r="54" spans="1:22">
      <c r="A54" s="1" t="s">
        <v>75</v>
      </c>
      <c r="B54" s="29">
        <v>0</v>
      </c>
      <c r="C54" s="30">
        <v>0</v>
      </c>
      <c r="D54" s="30">
        <v>0</v>
      </c>
      <c r="E54" s="30">
        <v>0</v>
      </c>
      <c r="F54" s="30">
        <v>0</v>
      </c>
      <c r="G54" s="31">
        <f>SUM(WA_FINANCIAL)</f>
        <v>0</v>
      </c>
      <c r="H54" s="30"/>
      <c r="I54" s="30"/>
      <c r="J54" s="30"/>
      <c r="K54" s="30"/>
      <c r="L54" s="29"/>
      <c r="M54" s="30"/>
      <c r="N54" s="30"/>
      <c r="O54" s="30"/>
      <c r="P54" s="30"/>
      <c r="Q54" s="30"/>
      <c r="R54" s="30"/>
      <c r="S54" s="30"/>
      <c r="T54" s="30"/>
      <c r="U54" s="30"/>
      <c r="V54" s="31"/>
    </row>
    <row r="55" spans="1:22">
      <c r="A55" s="1" t="s">
        <v>76</v>
      </c>
      <c r="B55" s="29">
        <v>0</v>
      </c>
      <c r="C55" s="30">
        <v>0</v>
      </c>
      <c r="D55" s="30">
        <v>0</v>
      </c>
      <c r="E55" s="30">
        <v>0</v>
      </c>
      <c r="F55" s="30">
        <v>0</v>
      </c>
      <c r="G55" s="31">
        <f>SUM(WV_FINANCIAL)</f>
        <v>0</v>
      </c>
      <c r="H55" s="30"/>
      <c r="I55" s="30"/>
      <c r="J55" s="30"/>
      <c r="K55" s="30"/>
      <c r="L55" s="29"/>
      <c r="M55" s="30"/>
      <c r="N55" s="30"/>
      <c r="O55" s="30"/>
      <c r="P55" s="30"/>
      <c r="Q55" s="30"/>
      <c r="R55" s="30"/>
      <c r="S55" s="30"/>
      <c r="T55" s="30"/>
      <c r="U55" s="30"/>
      <c r="V55" s="31"/>
    </row>
    <row r="56" spans="1:22">
      <c r="A56" s="1" t="s">
        <v>77</v>
      </c>
      <c r="B56" s="29">
        <v>0</v>
      </c>
      <c r="C56" s="30">
        <v>0</v>
      </c>
      <c r="D56" s="30">
        <v>0</v>
      </c>
      <c r="E56" s="30">
        <v>0</v>
      </c>
      <c r="F56" s="30">
        <v>0</v>
      </c>
      <c r="G56" s="31">
        <f>SUM(WI_FINANCIAL)</f>
        <v>0</v>
      </c>
      <c r="H56" s="30"/>
      <c r="I56" s="30"/>
      <c r="J56" s="30"/>
      <c r="K56" s="30"/>
      <c r="L56" s="29"/>
      <c r="M56" s="30"/>
      <c r="N56" s="30"/>
      <c r="O56" s="30"/>
      <c r="P56" s="30"/>
      <c r="Q56" s="30"/>
      <c r="R56" s="30"/>
      <c r="S56" s="30"/>
      <c r="T56" s="30"/>
      <c r="U56" s="30"/>
      <c r="V56" s="31"/>
    </row>
    <row r="57" spans="1:22">
      <c r="A57" s="1" t="s">
        <v>78</v>
      </c>
      <c r="B57" s="29">
        <v>0</v>
      </c>
      <c r="C57" s="30">
        <v>0</v>
      </c>
      <c r="D57" s="30">
        <v>0</v>
      </c>
      <c r="E57" s="30">
        <v>0</v>
      </c>
      <c r="F57" s="30">
        <v>0</v>
      </c>
      <c r="G57" s="31">
        <f>SUM(WY_FINANCIAL)</f>
        <v>0</v>
      </c>
      <c r="H57" s="30"/>
      <c r="I57" s="30"/>
      <c r="J57" s="30"/>
      <c r="K57" s="30"/>
      <c r="L57" s="29"/>
      <c r="M57" s="30"/>
      <c r="N57" s="30"/>
      <c r="O57" s="30"/>
      <c r="P57" s="30"/>
      <c r="Q57" s="30"/>
      <c r="R57" s="30"/>
      <c r="S57" s="30"/>
      <c r="T57" s="30"/>
      <c r="U57" s="30"/>
      <c r="V57" s="31"/>
    </row>
    <row r="58" spans="1:22">
      <c r="A58" s="1" t="s">
        <v>79</v>
      </c>
      <c r="B58" s="29">
        <v>0</v>
      </c>
      <c r="C58" s="30">
        <v>0</v>
      </c>
      <c r="D58" s="30">
        <v>0</v>
      </c>
      <c r="E58" s="30">
        <v>0</v>
      </c>
      <c r="F58" s="30">
        <v>0</v>
      </c>
      <c r="G58" s="31">
        <f>SUM(OT_FINANCIAL)</f>
        <v>0</v>
      </c>
      <c r="H58" s="30"/>
      <c r="I58" s="30"/>
      <c r="J58" s="30"/>
      <c r="K58" s="30"/>
      <c r="L58" s="29"/>
      <c r="M58" s="30"/>
      <c r="N58" s="30"/>
      <c r="O58" s="30"/>
      <c r="P58" s="30"/>
      <c r="Q58" s="30"/>
      <c r="R58" s="30"/>
      <c r="S58" s="30"/>
      <c r="T58" s="30"/>
      <c r="U58" s="30"/>
      <c r="V58" s="31"/>
    </row>
    <row r="59" spans="1:22">
      <c r="B59" s="29"/>
      <c r="C59" s="30"/>
      <c r="D59" s="30"/>
      <c r="E59" s="30"/>
      <c r="F59" s="30"/>
      <c r="G59" s="31"/>
      <c r="H59" s="30"/>
      <c r="I59" s="30"/>
      <c r="J59" s="30"/>
      <c r="K59" s="30"/>
      <c r="L59" s="29"/>
      <c r="M59" s="30"/>
      <c r="N59" s="30"/>
      <c r="O59" s="30"/>
      <c r="P59" s="30"/>
      <c r="Q59" s="30"/>
      <c r="R59" s="30"/>
      <c r="S59" s="30"/>
      <c r="T59" s="30"/>
      <c r="U59" s="30"/>
      <c r="V59" s="31"/>
    </row>
    <row r="60" spans="1:22">
      <c r="A60" s="1" t="s">
        <v>8</v>
      </c>
      <c r="B60" s="29">
        <f>SUM(LIFE)</f>
        <v>0</v>
      </c>
      <c r="C60" s="30">
        <f>SUM(ALLOCATED)</f>
        <v>0</v>
      </c>
      <c r="D60" s="30">
        <f>SUM(HEALTH)</f>
        <v>0</v>
      </c>
      <c r="E60" s="30">
        <f>SUM(UNALLOCATED)</f>
        <v>0</v>
      </c>
      <c r="F60" s="30">
        <f>SUM(LTC)</f>
        <v>0</v>
      </c>
      <c r="G60" s="31">
        <f>SUM(ALL_BLOCKS)</f>
        <v>0</v>
      </c>
      <c r="H60" s="30"/>
      <c r="I60" s="30"/>
      <c r="J60" s="30"/>
      <c r="K60" s="30"/>
      <c r="L60" s="29">
        <f>SUM(LIFE_CALLED)</f>
        <v>0</v>
      </c>
      <c r="M60" s="30">
        <f>SUM(LIFE_REFUNDED)</f>
        <v>0</v>
      </c>
      <c r="N60" s="30"/>
      <c r="O60" s="30">
        <f>SUM(ALLOC_CALLED)</f>
        <v>0</v>
      </c>
      <c r="P60" s="30">
        <f>SUM(ALLOC_REFUNDED)</f>
        <v>0</v>
      </c>
      <c r="Q60" s="30"/>
      <c r="R60" s="30">
        <f>SUM(HEALTH_CALLED)</f>
        <v>0</v>
      </c>
      <c r="S60" s="30">
        <f>SUM(HEALTH_REFUNDED)</f>
        <v>0</v>
      </c>
      <c r="T60" s="30"/>
      <c r="U60" s="30">
        <f>SUM(UNALLOC_CALLED)</f>
        <v>0</v>
      </c>
      <c r="V60" s="31">
        <f>SUM(UNALLOC_REFUNDED)</f>
        <v>0</v>
      </c>
    </row>
    <row r="61" spans="1:22" ht="5.0999999999999996" customHeight="1">
      <c r="B61" s="8"/>
      <c r="G61" s="11"/>
      <c r="L61" s="8"/>
      <c r="V61" s="11"/>
    </row>
    <row r="62" spans="1:22">
      <c r="B62" s="8"/>
      <c r="G62" s="11"/>
      <c r="L62" s="122" t="s">
        <v>80</v>
      </c>
      <c r="M62" s="123"/>
      <c r="N62" s="123"/>
      <c r="O62" s="123"/>
      <c r="P62" s="123"/>
      <c r="Q62" s="123"/>
      <c r="R62" s="123"/>
      <c r="S62" s="123"/>
      <c r="T62" s="123"/>
      <c r="U62" s="123"/>
      <c r="V62" s="124"/>
    </row>
    <row r="63" spans="1:22">
      <c r="B63" s="8"/>
      <c r="G63" s="11"/>
      <c r="L63" s="125"/>
      <c r="M63" s="123"/>
      <c r="N63" s="123"/>
      <c r="O63" s="123"/>
      <c r="P63" s="123"/>
      <c r="Q63" s="123"/>
      <c r="R63" s="123"/>
      <c r="S63" s="123"/>
      <c r="T63" s="123"/>
      <c r="U63" s="123"/>
      <c r="V63" s="124"/>
    </row>
    <row r="64" spans="1:22">
      <c r="B64" s="10"/>
      <c r="C64" s="7"/>
      <c r="D64" s="7"/>
      <c r="E64" s="7"/>
      <c r="F64" s="7"/>
      <c r="G64" s="13"/>
      <c r="L64" s="126"/>
      <c r="M64" s="127"/>
      <c r="N64" s="127"/>
      <c r="O64" s="127"/>
      <c r="P64" s="127"/>
      <c r="Q64" s="127"/>
      <c r="R64" s="127"/>
      <c r="S64" s="127"/>
      <c r="T64" s="127"/>
      <c r="U64" s="127"/>
      <c r="V64" s="128"/>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V64"/>
  <sheetViews>
    <sheetView zoomScale="75" workbookViewId="0">
      <selection activeCell="G27" sqref="G27"/>
    </sheetView>
  </sheetViews>
  <sheetFormatPr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129" t="s">
        <v>81</v>
      </c>
      <c r="B1" s="123"/>
      <c r="C1" s="123"/>
      <c r="D1" s="123"/>
      <c r="E1" s="123"/>
      <c r="F1" s="123"/>
      <c r="G1" s="123"/>
    </row>
    <row r="3" spans="1:22">
      <c r="B3" s="130" t="s">
        <v>1</v>
      </c>
      <c r="C3" s="131"/>
      <c r="D3" s="131"/>
      <c r="E3" s="131"/>
      <c r="F3" s="131"/>
      <c r="G3" s="132"/>
      <c r="L3" s="133" t="s">
        <v>2</v>
      </c>
      <c r="M3" s="134"/>
      <c r="N3" s="134"/>
      <c r="O3" s="134"/>
      <c r="P3" s="134"/>
      <c r="Q3" s="134"/>
      <c r="R3" s="134"/>
      <c r="S3" s="134"/>
      <c r="T3" s="134"/>
      <c r="U3" s="134"/>
      <c r="V3" s="135"/>
    </row>
    <row r="4" spans="1:22">
      <c r="B4" s="8"/>
      <c r="G4" s="11"/>
      <c r="L4" s="136" t="s">
        <v>3</v>
      </c>
      <c r="M4" s="137"/>
      <c r="N4" s="4"/>
      <c r="O4" s="138" t="s">
        <v>4</v>
      </c>
      <c r="P4" s="137"/>
      <c r="Q4" s="4"/>
      <c r="R4" s="138" t="s">
        <v>5</v>
      </c>
      <c r="S4" s="137"/>
      <c r="T4" s="4"/>
      <c r="U4" s="138" t="s">
        <v>6</v>
      </c>
      <c r="V4" s="139"/>
    </row>
    <row r="5" spans="1:22" ht="60" customHeight="1">
      <c r="B5" s="9" t="s">
        <v>3</v>
      </c>
      <c r="C5" s="5" t="s">
        <v>4</v>
      </c>
      <c r="D5" s="5" t="s">
        <v>5</v>
      </c>
      <c r="E5" s="5" t="s">
        <v>6</v>
      </c>
      <c r="F5" s="5" t="s">
        <v>7</v>
      </c>
      <c r="G5" s="12" t="s">
        <v>8</v>
      </c>
      <c r="L5" s="15" t="s">
        <v>9</v>
      </c>
      <c r="M5" s="14" t="s">
        <v>10</v>
      </c>
      <c r="N5" s="14"/>
      <c r="O5" s="14" t="s">
        <v>9</v>
      </c>
      <c r="P5" s="14" t="s">
        <v>10</v>
      </c>
      <c r="Q5" s="14"/>
      <c r="R5" s="14" t="s">
        <v>9</v>
      </c>
      <c r="S5" s="14" t="s">
        <v>10</v>
      </c>
      <c r="T5" s="14"/>
      <c r="U5" s="14" t="s">
        <v>9</v>
      </c>
      <c r="V5" s="16" t="s">
        <v>10</v>
      </c>
    </row>
    <row r="6" spans="1:22">
      <c r="A6" s="1" t="s">
        <v>11</v>
      </c>
      <c r="B6" s="29">
        <v>0</v>
      </c>
      <c r="C6" s="30">
        <v>0</v>
      </c>
      <c r="D6" s="30">
        <v>20160.950670215585</v>
      </c>
      <c r="E6" s="30">
        <v>0</v>
      </c>
      <c r="F6" s="30">
        <v>0</v>
      </c>
      <c r="G6" s="31">
        <f>SUM(AL_FINANCIAL)</f>
        <v>20160.950670215585</v>
      </c>
      <c r="H6" s="30"/>
      <c r="I6" s="30"/>
      <c r="J6" s="30"/>
      <c r="K6" s="30"/>
      <c r="L6" s="29"/>
      <c r="M6" s="30"/>
      <c r="N6" s="30"/>
      <c r="O6" s="30"/>
      <c r="P6" s="30"/>
      <c r="Q6" s="30"/>
      <c r="R6" s="30"/>
      <c r="S6" s="30"/>
      <c r="T6" s="30"/>
      <c r="U6" s="30"/>
      <c r="V6" s="31"/>
    </row>
    <row r="7" spans="1:22">
      <c r="A7" s="1" t="s">
        <v>12</v>
      </c>
      <c r="B7" s="29">
        <v>0</v>
      </c>
      <c r="C7" s="30">
        <v>0</v>
      </c>
      <c r="D7" s="30">
        <v>6136.1822213675187</v>
      </c>
      <c r="E7" s="30">
        <v>0</v>
      </c>
      <c r="F7" s="30">
        <v>0</v>
      </c>
      <c r="G7" s="31">
        <f>SUM(AK_FINANCIAL)</f>
        <v>6136.1822213675187</v>
      </c>
      <c r="H7" s="30"/>
      <c r="I7" s="32"/>
      <c r="J7" s="33"/>
      <c r="K7" s="30"/>
      <c r="L7" s="29">
        <v>0</v>
      </c>
      <c r="M7" s="30">
        <v>0</v>
      </c>
      <c r="N7" s="30"/>
      <c r="O7" s="30">
        <v>0</v>
      </c>
      <c r="P7" s="30">
        <v>0</v>
      </c>
      <c r="Q7" s="30"/>
      <c r="R7" s="30">
        <v>125000</v>
      </c>
      <c r="S7" s="30">
        <v>0</v>
      </c>
      <c r="T7" s="30"/>
      <c r="U7" s="30">
        <v>0</v>
      </c>
      <c r="V7" s="31">
        <v>0</v>
      </c>
    </row>
    <row r="8" spans="1:22">
      <c r="A8" s="1" t="s">
        <v>13</v>
      </c>
      <c r="B8" s="29">
        <v>0</v>
      </c>
      <c r="C8" s="30">
        <v>0</v>
      </c>
      <c r="D8" s="30">
        <v>101928.01994155243</v>
      </c>
      <c r="E8" s="30">
        <v>0</v>
      </c>
      <c r="F8" s="30">
        <v>0</v>
      </c>
      <c r="G8" s="31">
        <f>SUM(AZ_FINANCIAL)</f>
        <v>101928.01994155243</v>
      </c>
      <c r="H8" s="30"/>
      <c r="I8" s="34" t="s">
        <v>14</v>
      </c>
      <c r="J8" s="35"/>
      <c r="K8" s="30"/>
      <c r="L8" s="29"/>
      <c r="M8" s="30"/>
      <c r="N8" s="30"/>
      <c r="O8" s="30"/>
      <c r="P8" s="30"/>
      <c r="Q8" s="30"/>
      <c r="R8" s="30"/>
      <c r="S8" s="30"/>
      <c r="T8" s="30"/>
      <c r="U8" s="30"/>
      <c r="V8" s="31"/>
    </row>
    <row r="9" spans="1:22">
      <c r="A9" s="1" t="s">
        <v>15</v>
      </c>
      <c r="B9" s="29">
        <v>0</v>
      </c>
      <c r="C9" s="30">
        <v>0</v>
      </c>
      <c r="D9" s="30">
        <v>856631.78844329016</v>
      </c>
      <c r="E9" s="30">
        <v>0</v>
      </c>
      <c r="F9" s="30">
        <v>0</v>
      </c>
      <c r="G9" s="31">
        <f>SUM(AR_FINANCIAL)</f>
        <v>856631.78844329016</v>
      </c>
      <c r="H9" s="30"/>
      <c r="I9" s="34"/>
      <c r="J9" s="35"/>
      <c r="K9" s="30"/>
      <c r="L9" s="29">
        <v>0</v>
      </c>
      <c r="M9" s="30">
        <v>0</v>
      </c>
      <c r="N9" s="30"/>
      <c r="O9" s="30">
        <v>0</v>
      </c>
      <c r="P9" s="30">
        <v>0</v>
      </c>
      <c r="Q9" s="30"/>
      <c r="R9" s="30">
        <v>3308801</v>
      </c>
      <c r="S9" s="30">
        <v>0</v>
      </c>
      <c r="T9" s="30"/>
      <c r="U9" s="30">
        <v>0</v>
      </c>
      <c r="V9" s="31">
        <v>0</v>
      </c>
    </row>
    <row r="10" spans="1:22">
      <c r="A10" s="1" t="s">
        <v>16</v>
      </c>
      <c r="B10" s="29">
        <v>719.52600645965413</v>
      </c>
      <c r="C10" s="30">
        <v>0</v>
      </c>
      <c r="D10" s="30">
        <v>35587.7383355493</v>
      </c>
      <c r="E10" s="30">
        <v>0</v>
      </c>
      <c r="F10" s="30">
        <v>0</v>
      </c>
      <c r="G10" s="31">
        <f>SUM(CA_FINANCIAL)</f>
        <v>36307.264342008952</v>
      </c>
      <c r="H10" s="30"/>
      <c r="I10" s="34" t="s">
        <v>17</v>
      </c>
      <c r="J10" s="35">
        <v>44462791</v>
      </c>
      <c r="K10" s="30"/>
      <c r="L10" s="29">
        <v>0</v>
      </c>
      <c r="M10" s="30">
        <v>0</v>
      </c>
      <c r="N10" s="30"/>
      <c r="O10" s="30">
        <v>0</v>
      </c>
      <c r="P10" s="30">
        <v>0</v>
      </c>
      <c r="Q10" s="30"/>
      <c r="R10" s="30">
        <v>300000</v>
      </c>
      <c r="S10" s="30">
        <v>100000</v>
      </c>
      <c r="T10" s="30"/>
      <c r="U10" s="30">
        <v>0</v>
      </c>
      <c r="V10" s="31">
        <v>0</v>
      </c>
    </row>
    <row r="11" spans="1:22">
      <c r="A11" s="1" t="s">
        <v>18</v>
      </c>
      <c r="B11" s="29">
        <v>0</v>
      </c>
      <c r="C11" s="30">
        <v>0</v>
      </c>
      <c r="D11" s="30">
        <v>757818.64637963183</v>
      </c>
      <c r="E11" s="30">
        <v>0</v>
      </c>
      <c r="F11" s="30">
        <v>0</v>
      </c>
      <c r="G11" s="31">
        <f>SUM(CO_FINANCIAL)</f>
        <v>757818.64637963183</v>
      </c>
      <c r="H11" s="30"/>
      <c r="I11" s="34"/>
      <c r="J11" s="35"/>
      <c r="K11" s="30"/>
      <c r="L11" s="29">
        <v>0</v>
      </c>
      <c r="M11" s="30">
        <v>0</v>
      </c>
      <c r="N11" s="30"/>
      <c r="O11" s="30">
        <v>0</v>
      </c>
      <c r="P11" s="30">
        <v>0</v>
      </c>
      <c r="Q11" s="30"/>
      <c r="R11" s="30">
        <v>2000000</v>
      </c>
      <c r="S11" s="30">
        <v>1203411</v>
      </c>
      <c r="T11" s="30"/>
      <c r="U11" s="30">
        <v>0</v>
      </c>
      <c r="V11" s="31">
        <v>0</v>
      </c>
    </row>
    <row r="12" spans="1:22">
      <c r="A12" s="1" t="s">
        <v>19</v>
      </c>
      <c r="B12" s="29">
        <v>0</v>
      </c>
      <c r="C12" s="30">
        <v>0</v>
      </c>
      <c r="D12" s="30">
        <v>0</v>
      </c>
      <c r="E12" s="30">
        <v>0</v>
      </c>
      <c r="F12" s="30">
        <v>0</v>
      </c>
      <c r="G12" s="31">
        <f>SUM(CT_FINANCIAL)</f>
        <v>0</v>
      </c>
      <c r="H12" s="30"/>
      <c r="I12" s="34" t="s">
        <v>20</v>
      </c>
      <c r="J12" s="35"/>
      <c r="K12" s="30"/>
      <c r="L12" s="29"/>
      <c r="M12" s="30"/>
      <c r="N12" s="30"/>
      <c r="O12" s="30"/>
      <c r="P12" s="30"/>
      <c r="Q12" s="30"/>
      <c r="R12" s="30"/>
      <c r="S12" s="30"/>
      <c r="T12" s="30"/>
      <c r="U12" s="30"/>
      <c r="V12" s="31"/>
    </row>
    <row r="13" spans="1:22">
      <c r="A13" s="1" t="s">
        <v>21</v>
      </c>
      <c r="B13" s="29">
        <v>2376.1842516851743</v>
      </c>
      <c r="C13" s="30">
        <v>0</v>
      </c>
      <c r="D13" s="30">
        <v>6623.1474497032323</v>
      </c>
      <c r="E13" s="30">
        <v>0</v>
      </c>
      <c r="F13" s="30">
        <v>0</v>
      </c>
      <c r="G13" s="31">
        <f>SUM(DE_FINANCIAL)</f>
        <v>8999.3317013884061</v>
      </c>
      <c r="H13" s="30"/>
      <c r="I13" s="34" t="s">
        <v>22</v>
      </c>
      <c r="J13" s="35">
        <v>44231475</v>
      </c>
      <c r="K13" s="30"/>
      <c r="L13" s="29"/>
      <c r="M13" s="30"/>
      <c r="N13" s="30"/>
      <c r="O13" s="30"/>
      <c r="P13" s="30"/>
      <c r="Q13" s="30"/>
      <c r="R13" s="30"/>
      <c r="S13" s="30"/>
      <c r="T13" s="30"/>
      <c r="U13" s="30"/>
      <c r="V13" s="31"/>
    </row>
    <row r="14" spans="1:22">
      <c r="A14" s="1" t="s">
        <v>23</v>
      </c>
      <c r="B14" s="29">
        <v>0</v>
      </c>
      <c r="C14" s="30">
        <v>0</v>
      </c>
      <c r="D14" s="30">
        <v>0</v>
      </c>
      <c r="E14" s="30">
        <v>0</v>
      </c>
      <c r="F14" s="30">
        <v>0</v>
      </c>
      <c r="G14" s="31">
        <f>SUM(DC_FINANCIAL)</f>
        <v>0</v>
      </c>
      <c r="H14" s="30"/>
      <c r="I14" s="34" t="s">
        <v>24</v>
      </c>
      <c r="J14" s="35">
        <v>12170199</v>
      </c>
      <c r="K14" s="30"/>
      <c r="L14" s="29"/>
      <c r="M14" s="30"/>
      <c r="N14" s="30"/>
      <c r="O14" s="30"/>
      <c r="P14" s="30"/>
      <c r="Q14" s="30"/>
      <c r="R14" s="30"/>
      <c r="S14" s="30"/>
      <c r="T14" s="30"/>
      <c r="U14" s="30"/>
      <c r="V14" s="31"/>
    </row>
    <row r="15" spans="1:22">
      <c r="A15" s="1" t="s">
        <v>25</v>
      </c>
      <c r="B15" s="29">
        <v>26502.289710568512</v>
      </c>
      <c r="C15" s="30">
        <v>0</v>
      </c>
      <c r="D15" s="30">
        <v>-1303.0048198803706</v>
      </c>
      <c r="E15" s="30">
        <v>0</v>
      </c>
      <c r="F15" s="30">
        <v>0</v>
      </c>
      <c r="G15" s="31">
        <f>SUM(FL_FINANCIAL)</f>
        <v>25199.284890688141</v>
      </c>
      <c r="H15" s="30"/>
      <c r="I15" s="34" t="s">
        <v>26</v>
      </c>
      <c r="J15" s="35">
        <v>2555132.7494419874</v>
      </c>
      <c r="K15" s="30"/>
      <c r="L15" s="29"/>
      <c r="M15" s="30"/>
      <c r="N15" s="30"/>
      <c r="O15" s="30"/>
      <c r="P15" s="30"/>
      <c r="Q15" s="30"/>
      <c r="R15" s="30"/>
      <c r="S15" s="30"/>
      <c r="T15" s="30"/>
      <c r="U15" s="30"/>
      <c r="V15" s="31"/>
    </row>
    <row r="16" spans="1:22">
      <c r="A16" s="1" t="s">
        <v>27</v>
      </c>
      <c r="B16" s="29">
        <v>0</v>
      </c>
      <c r="C16" s="30">
        <v>0</v>
      </c>
      <c r="D16" s="30">
        <v>0</v>
      </c>
      <c r="E16" s="30">
        <v>0</v>
      </c>
      <c r="F16" s="30">
        <v>0</v>
      </c>
      <c r="G16" s="31">
        <f>SUM(GA_FINANCIAL)</f>
        <v>0</v>
      </c>
      <c r="H16" s="30"/>
      <c r="I16" s="34" t="s">
        <v>28</v>
      </c>
      <c r="J16" s="35">
        <v>0</v>
      </c>
      <c r="K16" s="30"/>
      <c r="L16" s="29"/>
      <c r="M16" s="30"/>
      <c r="N16" s="30"/>
      <c r="O16" s="30"/>
      <c r="P16" s="30"/>
      <c r="Q16" s="30"/>
      <c r="R16" s="30"/>
      <c r="S16" s="30"/>
      <c r="T16" s="30"/>
      <c r="U16" s="30"/>
      <c r="V16" s="31"/>
    </row>
    <row r="17" spans="1:22">
      <c r="A17" s="1" t="s">
        <v>29</v>
      </c>
      <c r="B17" s="29">
        <v>0</v>
      </c>
      <c r="C17" s="30">
        <v>0</v>
      </c>
      <c r="D17" s="30">
        <v>0</v>
      </c>
      <c r="E17" s="30">
        <v>0</v>
      </c>
      <c r="F17" s="30">
        <v>0</v>
      </c>
      <c r="G17" s="31">
        <f>SUM(HI_FINANCIAL)</f>
        <v>0</v>
      </c>
      <c r="H17" s="30"/>
      <c r="I17" s="34"/>
      <c r="J17" s="35"/>
      <c r="K17" s="30"/>
      <c r="L17" s="29"/>
      <c r="M17" s="30"/>
      <c r="N17" s="30"/>
      <c r="O17" s="30"/>
      <c r="P17" s="30"/>
      <c r="Q17" s="30"/>
      <c r="R17" s="30"/>
      <c r="S17" s="30"/>
      <c r="T17" s="30"/>
      <c r="U17" s="30"/>
      <c r="V17" s="31"/>
    </row>
    <row r="18" spans="1:22">
      <c r="A18" s="1" t="s">
        <v>30</v>
      </c>
      <c r="B18" s="29">
        <v>0</v>
      </c>
      <c r="C18" s="30">
        <v>0</v>
      </c>
      <c r="D18" s="30">
        <v>120883.82796964608</v>
      </c>
      <c r="E18" s="30">
        <v>0</v>
      </c>
      <c r="F18" s="30">
        <v>0</v>
      </c>
      <c r="G18" s="31">
        <f>SUM(ID_FINANCIAL)</f>
        <v>120883.82796964608</v>
      </c>
      <c r="H18" s="30"/>
      <c r="I18" s="34" t="s">
        <v>31</v>
      </c>
      <c r="J18" s="35"/>
      <c r="K18" s="30"/>
      <c r="L18" s="29"/>
      <c r="M18" s="30"/>
      <c r="N18" s="30"/>
      <c r="O18" s="30"/>
      <c r="P18" s="30"/>
      <c r="Q18" s="30"/>
      <c r="R18" s="30"/>
      <c r="S18" s="30"/>
      <c r="T18" s="30"/>
      <c r="U18" s="30"/>
      <c r="V18" s="31"/>
    </row>
    <row r="19" spans="1:22">
      <c r="A19" s="1" t="s">
        <v>32</v>
      </c>
      <c r="B19" s="29">
        <v>1319.1284299714252</v>
      </c>
      <c r="C19" s="30">
        <v>0</v>
      </c>
      <c r="D19" s="30">
        <v>1990126.2751596402</v>
      </c>
      <c r="E19" s="30">
        <v>0</v>
      </c>
      <c r="F19" s="30">
        <v>0</v>
      </c>
      <c r="G19" s="31">
        <f>SUM(IL_FINANCIAL)</f>
        <v>1991445.4035896116</v>
      </c>
      <c r="H19" s="30"/>
      <c r="I19" s="34" t="s">
        <v>33</v>
      </c>
      <c r="J19" s="35">
        <v>0</v>
      </c>
      <c r="K19" s="30"/>
      <c r="L19" s="29">
        <v>40000</v>
      </c>
      <c r="M19" s="30">
        <v>0</v>
      </c>
      <c r="N19" s="30"/>
      <c r="O19" s="30">
        <v>0</v>
      </c>
      <c r="P19" s="30">
        <v>0</v>
      </c>
      <c r="Q19" s="30"/>
      <c r="R19" s="30">
        <v>5000000</v>
      </c>
      <c r="S19" s="30">
        <v>1900000</v>
      </c>
      <c r="T19" s="30"/>
      <c r="U19" s="30">
        <v>0</v>
      </c>
      <c r="V19" s="31">
        <v>0</v>
      </c>
    </row>
    <row r="20" spans="1:22">
      <c r="A20" s="1" t="s">
        <v>34</v>
      </c>
      <c r="B20" s="29">
        <v>6302.607621127434</v>
      </c>
      <c r="C20" s="30">
        <v>0</v>
      </c>
      <c r="D20" s="30">
        <v>787239.71802127105</v>
      </c>
      <c r="E20" s="30">
        <v>0</v>
      </c>
      <c r="F20" s="30">
        <v>0</v>
      </c>
      <c r="G20" s="31">
        <f>SUM(IN_FINANCIAL)</f>
        <v>793542.32564239844</v>
      </c>
      <c r="H20" s="30"/>
      <c r="I20" s="34" t="s">
        <v>35</v>
      </c>
      <c r="J20" s="35">
        <v>44387898</v>
      </c>
      <c r="K20" s="30"/>
      <c r="L20" s="29">
        <v>0</v>
      </c>
      <c r="M20" s="30">
        <v>0</v>
      </c>
      <c r="N20" s="30"/>
      <c r="O20" s="30">
        <v>0</v>
      </c>
      <c r="P20" s="30">
        <v>0</v>
      </c>
      <c r="Q20" s="30"/>
      <c r="R20" s="30">
        <v>1999232</v>
      </c>
      <c r="S20" s="30">
        <v>0</v>
      </c>
      <c r="T20" s="30"/>
      <c r="U20" s="30">
        <v>0</v>
      </c>
      <c r="V20" s="31">
        <v>0</v>
      </c>
    </row>
    <row r="21" spans="1:22">
      <c r="A21" s="1" t="s">
        <v>36</v>
      </c>
      <c r="B21" s="29">
        <v>0</v>
      </c>
      <c r="C21" s="30">
        <v>0</v>
      </c>
      <c r="D21" s="30">
        <v>27922.291096663816</v>
      </c>
      <c r="E21" s="30">
        <v>0</v>
      </c>
      <c r="F21" s="30">
        <v>0</v>
      </c>
      <c r="G21" s="31">
        <f>SUM(IA_FINANCIAL)</f>
        <v>27922.291096663816</v>
      </c>
      <c r="H21" s="30"/>
      <c r="I21" s="34" t="s">
        <v>37</v>
      </c>
      <c r="J21" s="35"/>
      <c r="K21" s="30"/>
      <c r="L21" s="29"/>
      <c r="M21" s="30"/>
      <c r="N21" s="30"/>
      <c r="O21" s="30"/>
      <c r="P21" s="30"/>
      <c r="Q21" s="30"/>
      <c r="R21" s="30"/>
      <c r="S21" s="30"/>
      <c r="T21" s="30"/>
      <c r="U21" s="30"/>
      <c r="V21" s="31"/>
    </row>
    <row r="22" spans="1:22">
      <c r="A22" s="1" t="s">
        <v>38</v>
      </c>
      <c r="B22" s="29">
        <v>0</v>
      </c>
      <c r="C22" s="30">
        <v>0</v>
      </c>
      <c r="D22" s="30">
        <v>100332.58252546444</v>
      </c>
      <c r="E22" s="30">
        <v>0</v>
      </c>
      <c r="F22" s="30">
        <v>0</v>
      </c>
      <c r="G22" s="31">
        <f>SUM(KS_FINANCIAL)</f>
        <v>100332.58252546444</v>
      </c>
      <c r="H22" s="30"/>
      <c r="I22" s="34" t="s">
        <v>39</v>
      </c>
      <c r="J22" s="35">
        <v>0</v>
      </c>
      <c r="K22" s="30"/>
      <c r="L22" s="29"/>
      <c r="M22" s="30"/>
      <c r="N22" s="30"/>
      <c r="O22" s="30"/>
      <c r="P22" s="30"/>
      <c r="Q22" s="30"/>
      <c r="R22" s="30"/>
      <c r="S22" s="30"/>
      <c r="T22" s="30"/>
      <c r="U22" s="30"/>
      <c r="V22" s="31"/>
    </row>
    <row r="23" spans="1:22">
      <c r="A23" s="1" t="s">
        <v>40</v>
      </c>
      <c r="B23" s="29">
        <v>0</v>
      </c>
      <c r="C23" s="30">
        <v>0</v>
      </c>
      <c r="D23" s="30">
        <v>17263.439131640211</v>
      </c>
      <c r="E23" s="30">
        <v>0</v>
      </c>
      <c r="F23" s="30">
        <v>0</v>
      </c>
      <c r="G23" s="31">
        <f>SUM(KY_FINANCIAL)</f>
        <v>17263.439131640211</v>
      </c>
      <c r="H23" s="30"/>
      <c r="I23" s="34" t="s">
        <v>41</v>
      </c>
      <c r="J23" s="35"/>
      <c r="K23" s="30"/>
      <c r="L23" s="29"/>
      <c r="M23" s="30"/>
      <c r="N23" s="30"/>
      <c r="O23" s="30"/>
      <c r="P23" s="30"/>
      <c r="Q23" s="30"/>
      <c r="R23" s="30"/>
      <c r="S23" s="30"/>
      <c r="T23" s="30"/>
      <c r="U23" s="30"/>
      <c r="V23" s="31"/>
    </row>
    <row r="24" spans="1:22">
      <c r="A24" s="1" t="s">
        <v>42</v>
      </c>
      <c r="B24" s="29">
        <v>0</v>
      </c>
      <c r="C24" s="30">
        <v>0</v>
      </c>
      <c r="D24" s="30">
        <v>658535.24939608225</v>
      </c>
      <c r="E24" s="30">
        <v>0</v>
      </c>
      <c r="F24" s="30">
        <v>0</v>
      </c>
      <c r="G24" s="31">
        <f>SUM(LA_FINANCIAL)</f>
        <v>658535.24939608225</v>
      </c>
      <c r="H24" s="30"/>
      <c r="I24" s="34" t="s">
        <v>43</v>
      </c>
      <c r="J24" s="35">
        <v>32599284.96536199</v>
      </c>
      <c r="K24" s="30"/>
      <c r="L24" s="29">
        <v>39632</v>
      </c>
      <c r="M24" s="30">
        <v>0</v>
      </c>
      <c r="N24" s="30"/>
      <c r="O24" s="30">
        <v>0</v>
      </c>
      <c r="P24" s="30">
        <v>0</v>
      </c>
      <c r="Q24" s="30"/>
      <c r="R24" s="30">
        <v>1661368</v>
      </c>
      <c r="S24" s="30">
        <v>0</v>
      </c>
      <c r="T24" s="30"/>
      <c r="U24" s="30">
        <v>0</v>
      </c>
      <c r="V24" s="31">
        <v>0</v>
      </c>
    </row>
    <row r="25" spans="1:22">
      <c r="A25" s="1" t="s">
        <v>44</v>
      </c>
      <c r="B25" s="29">
        <v>0</v>
      </c>
      <c r="C25" s="30">
        <v>0</v>
      </c>
      <c r="D25" s="30">
        <v>0</v>
      </c>
      <c r="E25" s="30">
        <v>0</v>
      </c>
      <c r="F25" s="30">
        <v>0</v>
      </c>
      <c r="G25" s="31">
        <f>SUM(ME_FINANCIAL)</f>
        <v>0</v>
      </c>
      <c r="H25" s="30"/>
      <c r="I25" s="34"/>
      <c r="J25" s="35"/>
      <c r="K25" s="30"/>
      <c r="L25" s="29"/>
      <c r="M25" s="30"/>
      <c r="N25" s="30"/>
      <c r="O25" s="30"/>
      <c r="P25" s="30"/>
      <c r="Q25" s="30"/>
      <c r="R25" s="30"/>
      <c r="S25" s="30"/>
      <c r="T25" s="30"/>
      <c r="U25" s="30"/>
      <c r="V25" s="31"/>
    </row>
    <row r="26" spans="1:22">
      <c r="A26" s="1" t="s">
        <v>45</v>
      </c>
      <c r="B26" s="29">
        <v>0</v>
      </c>
      <c r="C26" s="30">
        <v>0</v>
      </c>
      <c r="D26" s="30">
        <v>1919.7991761580615</v>
      </c>
      <c r="E26" s="30">
        <v>0</v>
      </c>
      <c r="F26" s="30">
        <v>0</v>
      </c>
      <c r="G26" s="31">
        <f>SUM(MD_FINANCIAL)</f>
        <v>1919.7991761580615</v>
      </c>
      <c r="H26" s="30"/>
      <c r="I26" s="34" t="s">
        <v>46</v>
      </c>
      <c r="J26" s="35">
        <f>SUM(ADD_FINANCIAL)-SUM(LESS_FINANCIAL)</f>
        <v>26432414.784079999</v>
      </c>
      <c r="K26" s="30"/>
      <c r="L26" s="29"/>
      <c r="M26" s="30"/>
      <c r="N26" s="30"/>
      <c r="O26" s="30"/>
      <c r="P26" s="30"/>
      <c r="Q26" s="30"/>
      <c r="R26" s="30"/>
      <c r="S26" s="30"/>
      <c r="T26" s="30"/>
      <c r="U26" s="30"/>
      <c r="V26" s="31"/>
    </row>
    <row r="27" spans="1:22">
      <c r="A27" s="1" t="s">
        <v>47</v>
      </c>
      <c r="B27" s="29">
        <v>3610.9113866502144</v>
      </c>
      <c r="C27" s="30">
        <v>0</v>
      </c>
      <c r="D27" s="30">
        <v>1468216.9941482292</v>
      </c>
      <c r="E27" s="30">
        <v>0</v>
      </c>
      <c r="F27" s="30">
        <v>0</v>
      </c>
      <c r="G27" s="31">
        <f>SUM(MA_FINANCIAL)</f>
        <v>1471827.9055348795</v>
      </c>
      <c r="H27" s="30"/>
      <c r="I27" s="34" t="s">
        <v>48</v>
      </c>
      <c r="J27" s="35">
        <f>SUM(ALL_BLOCKS)</f>
        <v>26432414.784079999</v>
      </c>
      <c r="K27" s="30"/>
      <c r="L27" s="29">
        <v>0</v>
      </c>
      <c r="M27" s="30">
        <v>0</v>
      </c>
      <c r="N27" s="30"/>
      <c r="O27" s="30">
        <v>0</v>
      </c>
      <c r="P27" s="30">
        <v>0</v>
      </c>
      <c r="Q27" s="30"/>
      <c r="R27" s="30">
        <v>5000000</v>
      </c>
      <c r="S27" s="30">
        <v>1400000</v>
      </c>
      <c r="T27" s="30"/>
      <c r="U27" s="30">
        <v>0</v>
      </c>
      <c r="V27" s="31">
        <v>0</v>
      </c>
    </row>
    <row r="28" spans="1:22">
      <c r="A28" s="1" t="s">
        <v>49</v>
      </c>
      <c r="B28" s="29">
        <v>8301.0479301355153</v>
      </c>
      <c r="C28" s="30">
        <v>0</v>
      </c>
      <c r="D28" s="30">
        <v>7897.8010772382222</v>
      </c>
      <c r="E28" s="30">
        <v>0</v>
      </c>
      <c r="F28" s="30">
        <v>0</v>
      </c>
      <c r="G28" s="31">
        <f>SUM(MI_FINANCIAL)</f>
        <v>16198.849007373738</v>
      </c>
      <c r="H28" s="30"/>
      <c r="I28" s="36"/>
      <c r="J28" s="37"/>
      <c r="K28" s="30"/>
      <c r="L28" s="29"/>
      <c r="M28" s="30"/>
      <c r="N28" s="30"/>
      <c r="O28" s="30"/>
      <c r="P28" s="30"/>
      <c r="Q28" s="30"/>
      <c r="R28" s="30"/>
      <c r="S28" s="30"/>
      <c r="T28" s="30"/>
      <c r="U28" s="30"/>
      <c r="V28" s="31"/>
    </row>
    <row r="29" spans="1:22">
      <c r="A29" s="1" t="s">
        <v>50</v>
      </c>
      <c r="B29" s="29">
        <v>0</v>
      </c>
      <c r="C29" s="30">
        <v>0</v>
      </c>
      <c r="D29" s="30">
        <v>0</v>
      </c>
      <c r="E29" s="30">
        <v>0</v>
      </c>
      <c r="F29" s="30">
        <v>0</v>
      </c>
      <c r="G29" s="31">
        <f>SUM(MN_FINANCIAL)</f>
        <v>0</v>
      </c>
      <c r="H29" s="30"/>
      <c r="I29" s="30"/>
      <c r="J29" s="30"/>
      <c r="K29" s="30"/>
      <c r="L29" s="29"/>
      <c r="M29" s="30"/>
      <c r="N29" s="30"/>
      <c r="O29" s="30"/>
      <c r="P29" s="30"/>
      <c r="Q29" s="30"/>
      <c r="R29" s="30"/>
      <c r="S29" s="30"/>
      <c r="T29" s="30"/>
      <c r="U29" s="30"/>
      <c r="V29" s="31"/>
    </row>
    <row r="30" spans="1:22">
      <c r="A30" s="1" t="s">
        <v>51</v>
      </c>
      <c r="B30" s="29">
        <v>0</v>
      </c>
      <c r="C30" s="30">
        <v>0</v>
      </c>
      <c r="D30" s="30">
        <v>4488958.9506961945</v>
      </c>
      <c r="E30" s="30">
        <v>0</v>
      </c>
      <c r="F30" s="30">
        <v>0</v>
      </c>
      <c r="G30" s="31">
        <f>SUM(MS_FINANCIAL)</f>
        <v>4488958.9506961945</v>
      </c>
      <c r="H30" s="30"/>
      <c r="I30" s="30"/>
      <c r="J30" s="30"/>
      <c r="K30" s="30"/>
      <c r="L30" s="29">
        <v>0</v>
      </c>
      <c r="M30" s="30">
        <v>0</v>
      </c>
      <c r="N30" s="30"/>
      <c r="O30" s="30">
        <v>0</v>
      </c>
      <c r="P30" s="30">
        <v>0</v>
      </c>
      <c r="Q30" s="30"/>
      <c r="R30" s="30">
        <v>14999989</v>
      </c>
      <c r="S30" s="30">
        <v>0</v>
      </c>
      <c r="T30" s="30"/>
      <c r="U30" s="30">
        <v>0</v>
      </c>
      <c r="V30" s="31">
        <v>0</v>
      </c>
    </row>
    <row r="31" spans="1:22">
      <c r="A31" s="1" t="s">
        <v>52</v>
      </c>
      <c r="B31" s="29">
        <v>0</v>
      </c>
      <c r="C31" s="30">
        <v>0</v>
      </c>
      <c r="D31" s="30">
        <v>450270.3221788524</v>
      </c>
      <c r="E31" s="30">
        <v>0</v>
      </c>
      <c r="F31" s="30">
        <v>0</v>
      </c>
      <c r="G31" s="31">
        <f>SUM(MO_FINANCIAL)</f>
        <v>450270.3221788524</v>
      </c>
      <c r="H31" s="30"/>
      <c r="I31" s="30"/>
      <c r="J31" s="30"/>
      <c r="K31" s="30"/>
      <c r="L31" s="29"/>
      <c r="M31" s="30"/>
      <c r="N31" s="30"/>
      <c r="O31" s="30"/>
      <c r="P31" s="30"/>
      <c r="Q31" s="30"/>
      <c r="R31" s="30"/>
      <c r="S31" s="30"/>
      <c r="T31" s="30"/>
      <c r="U31" s="30"/>
      <c r="V31" s="31"/>
    </row>
    <row r="32" spans="1:22">
      <c r="A32" s="1" t="s">
        <v>53</v>
      </c>
      <c r="B32" s="29">
        <v>260.09711250156033</v>
      </c>
      <c r="C32" s="30">
        <v>0</v>
      </c>
      <c r="D32" s="30">
        <v>372315.33707289153</v>
      </c>
      <c r="E32" s="30">
        <v>0</v>
      </c>
      <c r="F32" s="30">
        <v>0</v>
      </c>
      <c r="G32" s="31">
        <f>SUM(MT_FINANCIAL)</f>
        <v>372575.4341853931</v>
      </c>
      <c r="H32" s="30"/>
      <c r="I32" s="30"/>
      <c r="J32" s="30"/>
      <c r="K32" s="30"/>
      <c r="L32" s="29">
        <v>0</v>
      </c>
      <c r="M32" s="30">
        <v>0</v>
      </c>
      <c r="N32" s="30"/>
      <c r="O32" s="30">
        <v>0</v>
      </c>
      <c r="P32" s="30">
        <v>0</v>
      </c>
      <c r="Q32" s="30"/>
      <c r="R32" s="30">
        <v>850000</v>
      </c>
      <c r="S32" s="30">
        <v>0</v>
      </c>
      <c r="T32" s="30"/>
      <c r="U32" s="30">
        <v>0</v>
      </c>
      <c r="V32" s="31">
        <v>0</v>
      </c>
    </row>
    <row r="33" spans="1:22">
      <c r="A33" s="1" t="s">
        <v>54</v>
      </c>
      <c r="B33" s="29">
        <v>0</v>
      </c>
      <c r="C33" s="30">
        <v>0</v>
      </c>
      <c r="D33" s="30">
        <v>511967.62085121009</v>
      </c>
      <c r="E33" s="30">
        <v>0</v>
      </c>
      <c r="F33" s="30">
        <v>0</v>
      </c>
      <c r="G33" s="31">
        <f>SUM(NE_FINANCIAL)</f>
        <v>511967.62085121009</v>
      </c>
      <c r="H33" s="30"/>
      <c r="I33" s="30"/>
      <c r="J33" s="30"/>
      <c r="K33" s="30"/>
      <c r="L33" s="29"/>
      <c r="M33" s="30"/>
      <c r="N33" s="30"/>
      <c r="O33" s="30"/>
      <c r="P33" s="30"/>
      <c r="Q33" s="30"/>
      <c r="R33" s="30"/>
      <c r="S33" s="30"/>
      <c r="T33" s="30"/>
      <c r="U33" s="30"/>
      <c r="V33" s="31"/>
    </row>
    <row r="34" spans="1:22">
      <c r="A34" s="1" t="s">
        <v>55</v>
      </c>
      <c r="B34" s="29">
        <v>0</v>
      </c>
      <c r="C34" s="30">
        <v>0</v>
      </c>
      <c r="D34" s="30">
        <v>2432.3602302658346</v>
      </c>
      <c r="E34" s="30">
        <v>0</v>
      </c>
      <c r="F34" s="30">
        <v>0</v>
      </c>
      <c r="G34" s="31">
        <f>SUM(NV_FINANCIAL)</f>
        <v>2432.3602302658346</v>
      </c>
      <c r="H34" s="30"/>
      <c r="I34" s="30"/>
      <c r="J34" s="30"/>
      <c r="K34" s="30"/>
      <c r="L34" s="29"/>
      <c r="M34" s="30"/>
      <c r="N34" s="30"/>
      <c r="O34" s="30"/>
      <c r="P34" s="30"/>
      <c r="Q34" s="30"/>
      <c r="R34" s="30"/>
      <c r="S34" s="30"/>
      <c r="T34" s="30"/>
      <c r="U34" s="30"/>
      <c r="V34" s="31"/>
    </row>
    <row r="35" spans="1:22">
      <c r="A35" s="1" t="s">
        <v>56</v>
      </c>
      <c r="B35" s="29">
        <v>0</v>
      </c>
      <c r="C35" s="30">
        <v>0</v>
      </c>
      <c r="D35" s="30">
        <v>0</v>
      </c>
      <c r="E35" s="30">
        <v>0</v>
      </c>
      <c r="F35" s="30">
        <v>0</v>
      </c>
      <c r="G35" s="31">
        <f>SUM(NH_FINANCIAL)</f>
        <v>0</v>
      </c>
      <c r="H35" s="30"/>
      <c r="I35" s="30"/>
      <c r="J35" s="30"/>
      <c r="K35" s="30"/>
      <c r="L35" s="29"/>
      <c r="M35" s="30"/>
      <c r="N35" s="30"/>
      <c r="O35" s="30"/>
      <c r="P35" s="30"/>
      <c r="Q35" s="30"/>
      <c r="R35" s="30"/>
      <c r="S35" s="30"/>
      <c r="T35" s="30"/>
      <c r="U35" s="30"/>
      <c r="V35" s="31"/>
    </row>
    <row r="36" spans="1:22">
      <c r="A36" s="1" t="s">
        <v>57</v>
      </c>
      <c r="B36" s="29">
        <v>0</v>
      </c>
      <c r="C36" s="30">
        <v>0</v>
      </c>
      <c r="D36" s="30">
        <v>0</v>
      </c>
      <c r="E36" s="30">
        <v>0</v>
      </c>
      <c r="F36" s="30">
        <v>0</v>
      </c>
      <c r="G36" s="31">
        <f>SUM(NJ_FINANCIAL)</f>
        <v>0</v>
      </c>
      <c r="H36" s="30"/>
      <c r="I36" s="30"/>
      <c r="J36" s="30"/>
      <c r="K36" s="30"/>
      <c r="L36" s="29"/>
      <c r="M36" s="30"/>
      <c r="N36" s="30"/>
      <c r="O36" s="30"/>
      <c r="P36" s="30"/>
      <c r="Q36" s="30"/>
      <c r="R36" s="30"/>
      <c r="S36" s="30"/>
      <c r="T36" s="30"/>
      <c r="U36" s="30"/>
      <c r="V36" s="31"/>
    </row>
    <row r="37" spans="1:22">
      <c r="A37" s="1" t="s">
        <v>58</v>
      </c>
      <c r="B37" s="29">
        <v>0</v>
      </c>
      <c r="C37" s="30">
        <v>0</v>
      </c>
      <c r="D37" s="30">
        <v>52301.810191549041</v>
      </c>
      <c r="E37" s="30">
        <v>0</v>
      </c>
      <c r="F37" s="30">
        <v>0</v>
      </c>
      <c r="G37" s="31">
        <f>SUM(NM_FINANCIAL)</f>
        <v>52301.810191549041</v>
      </c>
      <c r="H37" s="30"/>
      <c r="I37" s="30"/>
      <c r="J37" s="30"/>
      <c r="K37" s="30"/>
      <c r="L37" s="29">
        <v>0</v>
      </c>
      <c r="M37" s="30">
        <v>0</v>
      </c>
      <c r="N37" s="30"/>
      <c r="O37" s="30">
        <v>0</v>
      </c>
      <c r="P37" s="30">
        <v>0</v>
      </c>
      <c r="Q37" s="30"/>
      <c r="R37" s="30">
        <v>99821</v>
      </c>
      <c r="S37" s="30">
        <v>0</v>
      </c>
      <c r="T37" s="30"/>
      <c r="U37" s="30">
        <v>0</v>
      </c>
      <c r="V37" s="31">
        <v>0</v>
      </c>
    </row>
    <row r="38" spans="1:22">
      <c r="A38" s="1" t="s">
        <v>59</v>
      </c>
      <c r="B38" s="29">
        <v>0</v>
      </c>
      <c r="C38" s="30">
        <v>0</v>
      </c>
      <c r="D38" s="30">
        <v>0</v>
      </c>
      <c r="E38" s="30">
        <v>0</v>
      </c>
      <c r="F38" s="30">
        <v>0</v>
      </c>
      <c r="G38" s="31">
        <f>SUM(NY_FINANCIAL)</f>
        <v>0</v>
      </c>
      <c r="H38" s="30"/>
      <c r="I38" s="30"/>
      <c r="J38" s="30"/>
      <c r="K38" s="30"/>
      <c r="L38" s="29"/>
      <c r="M38" s="30"/>
      <c r="N38" s="30"/>
      <c r="O38" s="30"/>
      <c r="P38" s="30"/>
      <c r="Q38" s="30"/>
      <c r="R38" s="30"/>
      <c r="S38" s="30"/>
      <c r="T38" s="30"/>
      <c r="U38" s="30"/>
      <c r="V38" s="31"/>
    </row>
    <row r="39" spans="1:22">
      <c r="A39" s="1" t="s">
        <v>60</v>
      </c>
      <c r="B39" s="29">
        <v>0</v>
      </c>
      <c r="C39" s="30">
        <v>0</v>
      </c>
      <c r="D39" s="30">
        <v>0</v>
      </c>
      <c r="E39" s="30">
        <v>0</v>
      </c>
      <c r="F39" s="30">
        <v>0</v>
      </c>
      <c r="G39" s="31">
        <f>SUM(NC_FINANCIAL)</f>
        <v>0</v>
      </c>
      <c r="H39" s="30"/>
      <c r="I39" s="30"/>
      <c r="J39" s="30"/>
      <c r="K39" s="30"/>
      <c r="L39" s="29"/>
      <c r="M39" s="30"/>
      <c r="N39" s="30"/>
      <c r="O39" s="30"/>
      <c r="P39" s="30"/>
      <c r="Q39" s="30"/>
      <c r="R39" s="30"/>
      <c r="S39" s="30"/>
      <c r="T39" s="30"/>
      <c r="U39" s="30"/>
      <c r="V39" s="31"/>
    </row>
    <row r="40" spans="1:22">
      <c r="A40" s="1" t="s">
        <v>61</v>
      </c>
      <c r="B40" s="29">
        <v>0</v>
      </c>
      <c r="C40" s="30">
        <v>0</v>
      </c>
      <c r="D40" s="30">
        <v>23.485287176877819</v>
      </c>
      <c r="E40" s="30">
        <v>0</v>
      </c>
      <c r="F40" s="30">
        <v>0</v>
      </c>
      <c r="G40" s="31">
        <f>SUM(ND_FINANCIAL)</f>
        <v>23.485287176877819</v>
      </c>
      <c r="H40" s="30"/>
      <c r="I40" s="30"/>
      <c r="J40" s="30"/>
      <c r="K40" s="30"/>
      <c r="L40" s="29"/>
      <c r="M40" s="30"/>
      <c r="N40" s="30"/>
      <c r="O40" s="30"/>
      <c r="P40" s="30"/>
      <c r="Q40" s="30"/>
      <c r="R40" s="30"/>
      <c r="S40" s="30"/>
      <c r="T40" s="30"/>
      <c r="U40" s="30"/>
      <c r="V40" s="31"/>
    </row>
    <row r="41" spans="1:22">
      <c r="A41" s="1" t="s">
        <v>62</v>
      </c>
      <c r="B41" s="29">
        <v>17050.970599000986</v>
      </c>
      <c r="C41" s="30">
        <v>0</v>
      </c>
      <c r="D41" s="30">
        <v>1953020.8726697289</v>
      </c>
      <c r="E41" s="30">
        <v>0</v>
      </c>
      <c r="F41" s="30">
        <v>0</v>
      </c>
      <c r="G41" s="31">
        <f>SUM(OH_FINANCIAL)</f>
        <v>1970071.84326873</v>
      </c>
      <c r="H41" s="30"/>
      <c r="I41" s="30"/>
      <c r="J41" s="30"/>
      <c r="K41" s="30"/>
      <c r="L41" s="29"/>
      <c r="M41" s="30"/>
      <c r="N41" s="30"/>
      <c r="O41" s="30"/>
      <c r="P41" s="30"/>
      <c r="Q41" s="30"/>
      <c r="R41" s="30"/>
      <c r="S41" s="30"/>
      <c r="T41" s="30"/>
      <c r="U41" s="30"/>
      <c r="V41" s="31"/>
    </row>
    <row r="42" spans="1:22">
      <c r="A42" s="1" t="s">
        <v>63</v>
      </c>
      <c r="B42" s="29">
        <v>1875.1893780257335</v>
      </c>
      <c r="C42" s="30">
        <v>0</v>
      </c>
      <c r="D42" s="30">
        <v>1851174.5008290135</v>
      </c>
      <c r="E42" s="30">
        <v>0</v>
      </c>
      <c r="F42" s="30">
        <v>0</v>
      </c>
      <c r="G42" s="31">
        <f>SUM(OK_FINANCIAL)</f>
        <v>1853049.6902070392</v>
      </c>
      <c r="H42" s="30"/>
      <c r="I42" s="30"/>
      <c r="J42" s="30"/>
      <c r="K42" s="30"/>
      <c r="L42" s="29">
        <v>43500</v>
      </c>
      <c r="M42" s="30">
        <v>4500</v>
      </c>
      <c r="N42" s="30"/>
      <c r="O42" s="30">
        <v>0</v>
      </c>
      <c r="P42" s="30">
        <v>0</v>
      </c>
      <c r="Q42" s="30"/>
      <c r="R42" s="30">
        <v>4306500</v>
      </c>
      <c r="S42" s="30">
        <v>1830500</v>
      </c>
      <c r="T42" s="30"/>
      <c r="U42" s="30">
        <v>0</v>
      </c>
      <c r="V42" s="31">
        <v>0</v>
      </c>
    </row>
    <row r="43" spans="1:22">
      <c r="A43" s="1" t="s">
        <v>64</v>
      </c>
      <c r="B43" s="29">
        <v>0</v>
      </c>
      <c r="C43" s="30">
        <v>0</v>
      </c>
      <c r="D43" s="30">
        <v>42756.334725818873</v>
      </c>
      <c r="E43" s="30">
        <v>0</v>
      </c>
      <c r="F43" s="30">
        <v>0</v>
      </c>
      <c r="G43" s="31">
        <f>SUM(OR_FINANCIAL)</f>
        <v>42756.334725818873</v>
      </c>
      <c r="H43" s="30"/>
      <c r="I43" s="30"/>
      <c r="J43" s="30"/>
      <c r="K43" s="30"/>
      <c r="L43" s="29"/>
      <c r="M43" s="30"/>
      <c r="N43" s="30"/>
      <c r="O43" s="30"/>
      <c r="P43" s="30"/>
      <c r="Q43" s="30"/>
      <c r="R43" s="30"/>
      <c r="S43" s="30"/>
      <c r="T43" s="30"/>
      <c r="U43" s="30"/>
      <c r="V43" s="31"/>
    </row>
    <row r="44" spans="1:22">
      <c r="A44" s="1" t="s">
        <v>65</v>
      </c>
      <c r="B44" s="29">
        <v>0</v>
      </c>
      <c r="C44" s="30">
        <v>0</v>
      </c>
      <c r="D44" s="30">
        <v>0</v>
      </c>
      <c r="E44" s="30">
        <v>0</v>
      </c>
      <c r="F44" s="30">
        <v>0</v>
      </c>
      <c r="G44" s="31">
        <f>SUM(PA_FINANCIAL)</f>
        <v>0</v>
      </c>
      <c r="H44" s="30"/>
      <c r="I44" s="30"/>
      <c r="J44" s="30"/>
      <c r="K44" s="30"/>
      <c r="L44" s="29"/>
      <c r="M44" s="30"/>
      <c r="N44" s="30"/>
      <c r="O44" s="30"/>
      <c r="P44" s="30"/>
      <c r="Q44" s="30"/>
      <c r="R44" s="30"/>
      <c r="S44" s="30"/>
      <c r="T44" s="30"/>
      <c r="U44" s="30"/>
      <c r="V44" s="31"/>
    </row>
    <row r="45" spans="1:22">
      <c r="A45" s="1" t="s">
        <v>66</v>
      </c>
      <c r="B45" s="29">
        <v>0</v>
      </c>
      <c r="C45" s="30">
        <v>0</v>
      </c>
      <c r="D45" s="30">
        <v>0</v>
      </c>
      <c r="E45" s="30">
        <v>0</v>
      </c>
      <c r="F45" s="30">
        <v>0</v>
      </c>
      <c r="G45" s="31">
        <f>SUM(PR_FINANCIAL)</f>
        <v>0</v>
      </c>
      <c r="H45" s="30"/>
      <c r="I45" s="30"/>
      <c r="J45" s="30"/>
      <c r="K45" s="30"/>
      <c r="L45" s="29"/>
      <c r="M45" s="30"/>
      <c r="N45" s="30"/>
      <c r="O45" s="30"/>
      <c r="P45" s="30"/>
      <c r="Q45" s="30"/>
      <c r="R45" s="30"/>
      <c r="S45" s="30"/>
      <c r="T45" s="30"/>
      <c r="U45" s="30"/>
      <c r="V45" s="31"/>
    </row>
    <row r="46" spans="1:22">
      <c r="A46" s="1" t="s">
        <v>67</v>
      </c>
      <c r="B46" s="29">
        <v>0</v>
      </c>
      <c r="C46" s="30">
        <v>0</v>
      </c>
      <c r="D46" s="30">
        <v>0</v>
      </c>
      <c r="E46" s="30">
        <v>0</v>
      </c>
      <c r="F46" s="30">
        <v>0</v>
      </c>
      <c r="G46" s="31">
        <f>SUM(RI_FINANCIAL)</f>
        <v>0</v>
      </c>
      <c r="H46" s="30"/>
      <c r="I46" s="30"/>
      <c r="J46" s="30"/>
      <c r="K46" s="30"/>
      <c r="L46" s="29"/>
      <c r="M46" s="30"/>
      <c r="N46" s="30"/>
      <c r="O46" s="30"/>
      <c r="P46" s="30"/>
      <c r="Q46" s="30"/>
      <c r="R46" s="30"/>
      <c r="S46" s="30"/>
      <c r="T46" s="30"/>
      <c r="U46" s="30"/>
      <c r="V46" s="31"/>
    </row>
    <row r="47" spans="1:22">
      <c r="A47" s="1" t="s">
        <v>68</v>
      </c>
      <c r="B47" s="29">
        <v>1601.8512544772509</v>
      </c>
      <c r="C47" s="30">
        <v>0</v>
      </c>
      <c r="D47" s="30">
        <v>671.18326303362846</v>
      </c>
      <c r="E47" s="30">
        <v>0</v>
      </c>
      <c r="F47" s="30">
        <v>0</v>
      </c>
      <c r="G47" s="31">
        <f>SUM(SC_FINANCIAL)</f>
        <v>2273.0345175108796</v>
      </c>
      <c r="H47" s="30"/>
      <c r="I47" s="30"/>
      <c r="J47" s="30"/>
      <c r="K47" s="30"/>
      <c r="L47" s="29"/>
      <c r="M47" s="30"/>
      <c r="N47" s="30"/>
      <c r="O47" s="30"/>
      <c r="P47" s="30"/>
      <c r="Q47" s="30"/>
      <c r="R47" s="30"/>
      <c r="S47" s="30"/>
      <c r="T47" s="30"/>
      <c r="U47" s="30"/>
      <c r="V47" s="31"/>
    </row>
    <row r="48" spans="1:22">
      <c r="A48" s="1" t="s">
        <v>69</v>
      </c>
      <c r="B48" s="29">
        <v>0</v>
      </c>
      <c r="C48" s="30">
        <v>0</v>
      </c>
      <c r="D48" s="30">
        <v>36854.481067374843</v>
      </c>
      <c r="E48" s="30">
        <v>0</v>
      </c>
      <c r="F48" s="30">
        <v>0</v>
      </c>
      <c r="G48" s="31">
        <f>SUM(SD_FINANCIAL)</f>
        <v>36854.481067374843</v>
      </c>
      <c r="H48" s="30"/>
      <c r="I48" s="30"/>
      <c r="J48" s="30"/>
      <c r="K48" s="30"/>
      <c r="L48" s="29"/>
      <c r="M48" s="30"/>
      <c r="N48" s="30"/>
      <c r="O48" s="30"/>
      <c r="P48" s="30"/>
      <c r="Q48" s="30"/>
      <c r="R48" s="30"/>
      <c r="S48" s="30"/>
      <c r="T48" s="30"/>
      <c r="U48" s="30"/>
      <c r="V48" s="31"/>
    </row>
    <row r="49" spans="1:22">
      <c r="A49" s="1" t="s">
        <v>70</v>
      </c>
      <c r="B49" s="29">
        <v>0</v>
      </c>
      <c r="C49" s="30">
        <v>0</v>
      </c>
      <c r="D49" s="30">
        <v>1687149.3025721125</v>
      </c>
      <c r="E49" s="30">
        <v>0</v>
      </c>
      <c r="F49" s="30">
        <v>0</v>
      </c>
      <c r="G49" s="31">
        <f>SUM(TN_FINANCIAL)</f>
        <v>1687149.3025721125</v>
      </c>
      <c r="H49" s="30"/>
      <c r="I49" s="30"/>
      <c r="J49" s="30"/>
      <c r="K49" s="30"/>
      <c r="L49" s="29">
        <v>0</v>
      </c>
      <c r="M49" s="30">
        <v>0</v>
      </c>
      <c r="N49" s="30"/>
      <c r="O49" s="30">
        <v>0</v>
      </c>
      <c r="P49" s="30">
        <v>0</v>
      </c>
      <c r="Q49" s="30"/>
      <c r="R49" s="30">
        <v>3600000</v>
      </c>
      <c r="S49" s="30">
        <v>0</v>
      </c>
      <c r="T49" s="30"/>
      <c r="U49" s="30">
        <v>0</v>
      </c>
      <c r="V49" s="31">
        <v>0</v>
      </c>
    </row>
    <row r="50" spans="1:22">
      <c r="A50" s="1" t="s">
        <v>71</v>
      </c>
      <c r="B50" s="29">
        <v>3771.9152694346635</v>
      </c>
      <c r="C50" s="30">
        <v>0</v>
      </c>
      <c r="D50" s="30">
        <v>6776794.8878484126</v>
      </c>
      <c r="E50" s="30">
        <v>0</v>
      </c>
      <c r="F50" s="30">
        <v>0</v>
      </c>
      <c r="G50" s="31">
        <f>SUM(TX_FINANCIAL)</f>
        <v>6780566.8031178471</v>
      </c>
      <c r="H50" s="30"/>
      <c r="I50" s="30"/>
      <c r="J50" s="30"/>
      <c r="K50" s="30"/>
      <c r="L50" s="29">
        <v>130011</v>
      </c>
      <c r="M50" s="30">
        <v>0</v>
      </c>
      <c r="N50" s="30"/>
      <c r="O50" s="30">
        <v>0</v>
      </c>
      <c r="P50" s="30">
        <v>0</v>
      </c>
      <c r="Q50" s="30"/>
      <c r="R50" s="30">
        <v>12871063</v>
      </c>
      <c r="S50" s="30">
        <v>9250000</v>
      </c>
      <c r="T50" s="30"/>
      <c r="U50" s="30">
        <v>0</v>
      </c>
      <c r="V50" s="31">
        <v>0</v>
      </c>
    </row>
    <row r="51" spans="1:22">
      <c r="A51" s="1" t="s">
        <v>72</v>
      </c>
      <c r="B51" s="29">
        <v>0</v>
      </c>
      <c r="C51" s="30">
        <v>0</v>
      </c>
      <c r="D51" s="30">
        <v>196.4406468204179</v>
      </c>
      <c r="E51" s="30">
        <v>0</v>
      </c>
      <c r="F51" s="30">
        <v>0</v>
      </c>
      <c r="G51" s="31">
        <f>SUM(UT_FINANCIAL)</f>
        <v>196.4406468204179</v>
      </c>
      <c r="H51" s="30"/>
      <c r="I51" s="30"/>
      <c r="J51" s="30"/>
      <c r="K51" s="30"/>
      <c r="L51" s="29"/>
      <c r="M51" s="30"/>
      <c r="N51" s="30"/>
      <c r="O51" s="30"/>
      <c r="P51" s="30"/>
      <c r="Q51" s="30"/>
      <c r="R51" s="30"/>
      <c r="S51" s="30"/>
      <c r="T51" s="30"/>
      <c r="U51" s="30"/>
      <c r="V51" s="31"/>
    </row>
    <row r="52" spans="1:22">
      <c r="A52" s="1" t="s">
        <v>73</v>
      </c>
      <c r="B52" s="29">
        <v>0</v>
      </c>
      <c r="C52" s="30">
        <v>0</v>
      </c>
      <c r="D52" s="30">
        <v>0</v>
      </c>
      <c r="E52" s="30">
        <v>0</v>
      </c>
      <c r="F52" s="30">
        <v>0</v>
      </c>
      <c r="G52" s="31">
        <f>SUM(VT_FINANCIAL)</f>
        <v>0</v>
      </c>
      <c r="H52" s="30"/>
      <c r="I52" s="30"/>
      <c r="J52" s="30"/>
      <c r="K52" s="30"/>
      <c r="L52" s="29"/>
      <c r="M52" s="30"/>
      <c r="N52" s="30"/>
      <c r="O52" s="30"/>
      <c r="P52" s="30"/>
      <c r="Q52" s="30"/>
      <c r="R52" s="30"/>
      <c r="S52" s="30"/>
      <c r="T52" s="30"/>
      <c r="U52" s="30"/>
      <c r="V52" s="31"/>
    </row>
    <row r="53" spans="1:22">
      <c r="A53" s="1" t="s">
        <v>74</v>
      </c>
      <c r="B53" s="29">
        <v>0</v>
      </c>
      <c r="C53" s="30">
        <v>0</v>
      </c>
      <c r="D53" s="30">
        <v>345647.98743220628</v>
      </c>
      <c r="E53" s="30">
        <v>0</v>
      </c>
      <c r="F53" s="30">
        <v>0</v>
      </c>
      <c r="G53" s="31">
        <f>SUM(VA_FINANCIAL)</f>
        <v>345647.98743220628</v>
      </c>
      <c r="H53" s="30"/>
      <c r="I53" s="30"/>
      <c r="J53" s="30"/>
      <c r="K53" s="30"/>
      <c r="L53" s="29">
        <v>0</v>
      </c>
      <c r="M53" s="30">
        <v>0</v>
      </c>
      <c r="N53" s="30"/>
      <c r="O53" s="30">
        <v>0</v>
      </c>
      <c r="P53" s="30">
        <v>0</v>
      </c>
      <c r="Q53" s="30"/>
      <c r="R53" s="30">
        <v>500000</v>
      </c>
      <c r="S53" s="30">
        <v>76050</v>
      </c>
      <c r="T53" s="30"/>
      <c r="U53" s="30">
        <v>0</v>
      </c>
      <c r="V53" s="31">
        <v>0</v>
      </c>
    </row>
    <row r="54" spans="1:22">
      <c r="A54" s="1" t="s">
        <v>75</v>
      </c>
      <c r="B54" s="29">
        <v>787.9318774759862</v>
      </c>
      <c r="C54" s="30">
        <v>0</v>
      </c>
      <c r="D54" s="30">
        <v>590424.61856256856</v>
      </c>
      <c r="E54" s="30">
        <v>0</v>
      </c>
      <c r="F54" s="30">
        <v>0</v>
      </c>
      <c r="G54" s="31">
        <f>SUM(WA_FINANCIAL)</f>
        <v>591212.55044004449</v>
      </c>
      <c r="H54" s="30"/>
      <c r="I54" s="30"/>
      <c r="J54" s="30"/>
      <c r="K54" s="30"/>
      <c r="L54" s="29">
        <v>0</v>
      </c>
      <c r="M54" s="30">
        <v>0</v>
      </c>
      <c r="N54" s="30"/>
      <c r="O54" s="30">
        <v>0</v>
      </c>
      <c r="P54" s="30">
        <v>0</v>
      </c>
      <c r="Q54" s="30"/>
      <c r="R54" s="30">
        <v>1800000</v>
      </c>
      <c r="S54" s="30">
        <v>0</v>
      </c>
      <c r="T54" s="30"/>
      <c r="U54" s="30">
        <v>0</v>
      </c>
      <c r="V54" s="31">
        <v>0</v>
      </c>
    </row>
    <row r="55" spans="1:22">
      <c r="A55" s="1" t="s">
        <v>76</v>
      </c>
      <c r="B55" s="29">
        <v>0</v>
      </c>
      <c r="C55" s="30">
        <v>0</v>
      </c>
      <c r="D55" s="30">
        <v>92565.30897851687</v>
      </c>
      <c r="E55" s="30">
        <v>0</v>
      </c>
      <c r="F55" s="30">
        <v>0</v>
      </c>
      <c r="G55" s="31">
        <f>SUM(WV_FINANCIAL)</f>
        <v>92565.30897851687</v>
      </c>
      <c r="H55" s="30"/>
      <c r="I55" s="30"/>
      <c r="J55" s="30"/>
      <c r="K55" s="30"/>
      <c r="L55" s="29">
        <v>0</v>
      </c>
      <c r="M55" s="30">
        <v>0</v>
      </c>
      <c r="N55" s="30"/>
      <c r="O55" s="30">
        <v>0</v>
      </c>
      <c r="P55" s="30">
        <v>0</v>
      </c>
      <c r="Q55" s="30"/>
      <c r="R55" s="30">
        <v>0</v>
      </c>
      <c r="S55" s="30">
        <v>0</v>
      </c>
      <c r="T55" s="30"/>
      <c r="U55" s="30">
        <v>0</v>
      </c>
      <c r="V55" s="31">
        <v>0</v>
      </c>
    </row>
    <row r="56" spans="1:22">
      <c r="A56" s="1" t="s">
        <v>77</v>
      </c>
      <c r="B56" s="29">
        <v>5087.517002541128</v>
      </c>
      <c r="C56" s="30">
        <v>0</v>
      </c>
      <c r="D56" s="30">
        <v>24812.771764610923</v>
      </c>
      <c r="E56" s="30">
        <v>0</v>
      </c>
      <c r="F56" s="30">
        <v>0</v>
      </c>
      <c r="G56" s="31">
        <f>SUM(WI_FINANCIAL)</f>
        <v>29900.288767152051</v>
      </c>
      <c r="H56" s="30"/>
      <c r="I56" s="30"/>
      <c r="J56" s="30"/>
      <c r="K56" s="30"/>
      <c r="L56" s="29"/>
      <c r="M56" s="30"/>
      <c r="N56" s="30"/>
      <c r="O56" s="30"/>
      <c r="P56" s="30"/>
      <c r="Q56" s="30"/>
      <c r="R56" s="30"/>
      <c r="S56" s="30"/>
      <c r="T56" s="30"/>
      <c r="U56" s="30"/>
      <c r="V56" s="31"/>
    </row>
    <row r="57" spans="1:22">
      <c r="A57" s="1" t="s">
        <v>78</v>
      </c>
      <c r="B57" s="29">
        <v>0</v>
      </c>
      <c r="C57" s="30">
        <v>0</v>
      </c>
      <c r="D57" s="30">
        <v>108587.5930581225</v>
      </c>
      <c r="E57" s="30">
        <v>0</v>
      </c>
      <c r="F57" s="30">
        <v>0</v>
      </c>
      <c r="G57" s="31">
        <f>SUM(WY_FINANCIAL)</f>
        <v>108587.5930581225</v>
      </c>
      <c r="H57" s="30"/>
      <c r="I57" s="30"/>
      <c r="J57" s="30"/>
      <c r="K57" s="30"/>
      <c r="L57" s="29">
        <v>0</v>
      </c>
      <c r="M57" s="30">
        <v>0</v>
      </c>
      <c r="N57" s="30"/>
      <c r="O57" s="30">
        <v>0</v>
      </c>
      <c r="P57" s="30">
        <v>0</v>
      </c>
      <c r="Q57" s="30"/>
      <c r="R57" s="30">
        <v>350000</v>
      </c>
      <c r="S57" s="30">
        <v>336606</v>
      </c>
      <c r="T57" s="30"/>
      <c r="U57" s="30">
        <v>0</v>
      </c>
      <c r="V57" s="31">
        <v>0</v>
      </c>
    </row>
    <row r="58" spans="1:22">
      <c r="A58" s="1" t="s">
        <v>79</v>
      </c>
      <c r="B58" s="29">
        <v>0</v>
      </c>
      <c r="C58" s="30">
        <v>0</v>
      </c>
      <c r="D58" s="30">
        <v>0</v>
      </c>
      <c r="E58" s="30">
        <v>0</v>
      </c>
      <c r="F58" s="30">
        <v>0</v>
      </c>
      <c r="G58" s="31">
        <f>SUM(OT_FINANCIAL)</f>
        <v>0</v>
      </c>
      <c r="H58" s="30"/>
      <c r="I58" s="30"/>
      <c r="J58" s="30"/>
      <c r="K58" s="30"/>
      <c r="L58" s="29"/>
      <c r="M58" s="30"/>
      <c r="N58" s="30"/>
      <c r="O58" s="30"/>
      <c r="P58" s="30"/>
      <c r="Q58" s="30"/>
      <c r="R58" s="30"/>
      <c r="S58" s="30"/>
      <c r="T58" s="30"/>
      <c r="U58" s="30"/>
      <c r="V58" s="31"/>
    </row>
    <row r="59" spans="1:22">
      <c r="B59" s="29"/>
      <c r="C59" s="30"/>
      <c r="D59" s="30"/>
      <c r="E59" s="30"/>
      <c r="F59" s="30"/>
      <c r="G59" s="31"/>
      <c r="H59" s="30"/>
      <c r="I59" s="30"/>
      <c r="J59" s="30"/>
      <c r="K59" s="30"/>
      <c r="L59" s="29"/>
      <c r="M59" s="30"/>
      <c r="N59" s="30"/>
      <c r="O59" s="30"/>
      <c r="P59" s="30"/>
      <c r="Q59" s="30"/>
      <c r="R59" s="30"/>
      <c r="S59" s="30"/>
      <c r="T59" s="30"/>
      <c r="U59" s="30"/>
      <c r="V59" s="31"/>
    </row>
    <row r="60" spans="1:22">
      <c r="A60" s="1" t="s">
        <v>8</v>
      </c>
      <c r="B60" s="29">
        <f>SUM(LIFE)</f>
        <v>79567.167830055259</v>
      </c>
      <c r="C60" s="30">
        <f>SUM(ALLOCATED)</f>
        <v>0</v>
      </c>
      <c r="D60" s="30">
        <f>SUM(HEALTH)</f>
        <v>26352847.616249941</v>
      </c>
      <c r="E60" s="30">
        <f>SUM(UNALLOCATED)</f>
        <v>0</v>
      </c>
      <c r="F60" s="30">
        <f>SUM(LTC)</f>
        <v>0</v>
      </c>
      <c r="G60" s="31">
        <f>SUM(ALL_BLOCKS)</f>
        <v>26432414.784079999</v>
      </c>
      <c r="H60" s="30"/>
      <c r="I60" s="30"/>
      <c r="J60" s="30"/>
      <c r="K60" s="30"/>
      <c r="L60" s="29">
        <f>SUM(LIFE_CALLED)</f>
        <v>253143</v>
      </c>
      <c r="M60" s="30">
        <f>SUM(LIFE_REFUNDED)</f>
        <v>4500</v>
      </c>
      <c r="N60" s="30"/>
      <c r="O60" s="30">
        <f>SUM(ALLOC_CALLED)</f>
        <v>0</v>
      </c>
      <c r="P60" s="30">
        <f>SUM(ALLOC_REFUNDED)</f>
        <v>0</v>
      </c>
      <c r="Q60" s="30"/>
      <c r="R60" s="30">
        <f>SUM(HEALTH_CALLED)</f>
        <v>58771774</v>
      </c>
      <c r="S60" s="30">
        <f>SUM(HEALTH_REFUNDED)</f>
        <v>16096567</v>
      </c>
      <c r="T60" s="30"/>
      <c r="U60" s="30">
        <f>SUM(UNALLOC_CALLED)</f>
        <v>0</v>
      </c>
      <c r="V60" s="31">
        <f>SUM(UNALLOC_REFUNDED)</f>
        <v>0</v>
      </c>
    </row>
    <row r="61" spans="1:22" ht="5.0999999999999996" customHeight="1">
      <c r="B61" s="8"/>
      <c r="G61" s="11"/>
      <c r="L61" s="8"/>
      <c r="V61" s="11"/>
    </row>
    <row r="62" spans="1:22">
      <c r="B62" s="8"/>
      <c r="G62" s="11"/>
      <c r="L62" s="122" t="s">
        <v>80</v>
      </c>
      <c r="M62" s="123"/>
      <c r="N62" s="123"/>
      <c r="O62" s="123"/>
      <c r="P62" s="123"/>
      <c r="Q62" s="123"/>
      <c r="R62" s="123"/>
      <c r="S62" s="123"/>
      <c r="T62" s="123"/>
      <c r="U62" s="123"/>
      <c r="V62" s="124"/>
    </row>
    <row r="63" spans="1:22">
      <c r="B63" s="8"/>
      <c r="G63" s="11"/>
      <c r="L63" s="125"/>
      <c r="M63" s="123"/>
      <c r="N63" s="123"/>
      <c r="O63" s="123"/>
      <c r="P63" s="123"/>
      <c r="Q63" s="123"/>
      <c r="R63" s="123"/>
      <c r="S63" s="123"/>
      <c r="T63" s="123"/>
      <c r="U63" s="123"/>
      <c r="V63" s="124"/>
    </row>
    <row r="64" spans="1:22">
      <c r="B64" s="10"/>
      <c r="C64" s="7"/>
      <c r="D64" s="7"/>
      <c r="E64" s="7"/>
      <c r="F64" s="7"/>
      <c r="G64" s="13"/>
      <c r="L64" s="126"/>
      <c r="M64" s="127"/>
      <c r="N64" s="127"/>
      <c r="O64" s="127"/>
      <c r="P64" s="127"/>
      <c r="Q64" s="127"/>
      <c r="R64" s="127"/>
      <c r="S64" s="127"/>
      <c r="T64" s="127"/>
      <c r="U64" s="127"/>
      <c r="V64" s="128"/>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V64"/>
  <sheetViews>
    <sheetView zoomScale="75" workbookViewId="0">
      <selection sqref="A1:XFD1048576"/>
    </sheetView>
  </sheetViews>
  <sheetFormatPr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129" t="s">
        <v>99</v>
      </c>
      <c r="B1" s="123"/>
      <c r="C1" s="123"/>
      <c r="D1" s="123"/>
      <c r="E1" s="123"/>
      <c r="F1" s="123"/>
      <c r="G1" s="123"/>
    </row>
    <row r="3" spans="1:22">
      <c r="B3" s="130" t="s">
        <v>1</v>
      </c>
      <c r="C3" s="131"/>
      <c r="D3" s="131"/>
      <c r="E3" s="131"/>
      <c r="F3" s="131"/>
      <c r="G3" s="132"/>
      <c r="L3" s="133" t="s">
        <v>2</v>
      </c>
      <c r="M3" s="134"/>
      <c r="N3" s="134"/>
      <c r="O3" s="134"/>
      <c r="P3" s="134"/>
      <c r="Q3" s="134"/>
      <c r="R3" s="134"/>
      <c r="S3" s="134"/>
      <c r="T3" s="134"/>
      <c r="U3" s="134"/>
      <c r="V3" s="135"/>
    </row>
    <row r="4" spans="1:22">
      <c r="B4" s="8"/>
      <c r="G4" s="11"/>
      <c r="L4" s="136" t="s">
        <v>3</v>
      </c>
      <c r="M4" s="137"/>
      <c r="N4" s="4"/>
      <c r="O4" s="138" t="s">
        <v>4</v>
      </c>
      <c r="P4" s="137"/>
      <c r="Q4" s="4"/>
      <c r="R4" s="138" t="s">
        <v>5</v>
      </c>
      <c r="S4" s="137"/>
      <c r="T4" s="4"/>
      <c r="U4" s="138" t="s">
        <v>6</v>
      </c>
      <c r="V4" s="139"/>
    </row>
    <row r="5" spans="1:22" ht="60" customHeight="1">
      <c r="B5" s="9" t="s">
        <v>3</v>
      </c>
      <c r="C5" s="5" t="s">
        <v>4</v>
      </c>
      <c r="D5" s="5" t="s">
        <v>5</v>
      </c>
      <c r="E5" s="5" t="s">
        <v>6</v>
      </c>
      <c r="F5" s="5" t="s">
        <v>7</v>
      </c>
      <c r="G5" s="12" t="s">
        <v>8</v>
      </c>
      <c r="L5" s="15" t="s">
        <v>9</v>
      </c>
      <c r="M5" s="14" t="s">
        <v>10</v>
      </c>
      <c r="N5" s="14"/>
      <c r="O5" s="14" t="s">
        <v>9</v>
      </c>
      <c r="P5" s="14" t="s">
        <v>10</v>
      </c>
      <c r="Q5" s="14"/>
      <c r="R5" s="14" t="s">
        <v>9</v>
      </c>
      <c r="S5" s="14" t="s">
        <v>10</v>
      </c>
      <c r="T5" s="14"/>
      <c r="U5" s="14" t="s">
        <v>9</v>
      </c>
      <c r="V5" s="16" t="s">
        <v>10</v>
      </c>
    </row>
    <row r="6" spans="1:22">
      <c r="A6" s="1" t="s">
        <v>11</v>
      </c>
      <c r="B6" s="29">
        <v>-7.4552630897187555E-2</v>
      </c>
      <c r="C6" s="30">
        <v>-6.3961696483311243</v>
      </c>
      <c r="D6" s="30">
        <v>0</v>
      </c>
      <c r="E6" s="30">
        <v>0</v>
      </c>
      <c r="F6" s="30">
        <v>0</v>
      </c>
      <c r="G6" s="31">
        <f>SUM(AL_FINANCIAL)</f>
        <v>-6.4707222792283119</v>
      </c>
      <c r="H6" s="30"/>
      <c r="I6" s="30"/>
      <c r="J6" s="30"/>
      <c r="K6" s="30"/>
      <c r="L6" s="29"/>
      <c r="M6" s="30"/>
      <c r="N6" s="30"/>
      <c r="O6" s="30"/>
      <c r="P6" s="30"/>
      <c r="Q6" s="30"/>
      <c r="R6" s="30"/>
      <c r="S6" s="30"/>
      <c r="T6" s="30"/>
      <c r="U6" s="30"/>
      <c r="V6" s="31"/>
    </row>
    <row r="7" spans="1:22">
      <c r="A7" s="1" t="s">
        <v>12</v>
      </c>
      <c r="B7" s="29">
        <v>-2.4414599875832721E-4</v>
      </c>
      <c r="C7" s="30">
        <v>-0.64447246645431733</v>
      </c>
      <c r="D7" s="30">
        <v>0</v>
      </c>
      <c r="E7" s="30">
        <v>0</v>
      </c>
      <c r="F7" s="30">
        <v>0</v>
      </c>
      <c r="G7" s="31">
        <f>SUM(AK_FINANCIAL)</f>
        <v>-0.64471661245307565</v>
      </c>
      <c r="H7" s="30"/>
      <c r="I7" s="32"/>
      <c r="J7" s="33"/>
      <c r="K7" s="30"/>
      <c r="L7" s="29">
        <v>200</v>
      </c>
      <c r="M7" s="30">
        <v>100</v>
      </c>
      <c r="N7" s="30"/>
      <c r="O7" s="30">
        <v>2400</v>
      </c>
      <c r="P7" s="30">
        <v>0</v>
      </c>
      <c r="Q7" s="30"/>
      <c r="R7" s="30">
        <v>0</v>
      </c>
      <c r="S7" s="30">
        <v>0</v>
      </c>
      <c r="T7" s="30"/>
      <c r="U7" s="30">
        <v>0</v>
      </c>
      <c r="V7" s="31">
        <v>25</v>
      </c>
    </row>
    <row r="8" spans="1:22">
      <c r="A8" s="1" t="s">
        <v>13</v>
      </c>
      <c r="B8" s="29">
        <v>-2.5441924949006989E-2</v>
      </c>
      <c r="C8" s="30">
        <v>-23.407426545134513</v>
      </c>
      <c r="D8" s="30">
        <v>-8.3442119765667899E-3</v>
      </c>
      <c r="E8" s="30">
        <v>0</v>
      </c>
      <c r="F8" s="30">
        <v>0</v>
      </c>
      <c r="G8" s="31">
        <f>SUM(AZ_FINANCIAL)</f>
        <v>-23.441212682060087</v>
      </c>
      <c r="H8" s="30"/>
      <c r="I8" s="34" t="s">
        <v>14</v>
      </c>
      <c r="J8" s="35"/>
      <c r="K8" s="30"/>
      <c r="L8" s="29">
        <v>640101</v>
      </c>
      <c r="M8" s="30">
        <v>0</v>
      </c>
      <c r="N8" s="30"/>
      <c r="O8" s="30">
        <v>537167</v>
      </c>
      <c r="P8" s="30">
        <v>0</v>
      </c>
      <c r="Q8" s="30"/>
      <c r="R8" s="30">
        <v>0</v>
      </c>
      <c r="S8" s="30">
        <v>0</v>
      </c>
      <c r="T8" s="30"/>
      <c r="U8" s="30">
        <v>0</v>
      </c>
      <c r="V8" s="31">
        <v>0</v>
      </c>
    </row>
    <row r="9" spans="1:22">
      <c r="A9" s="1" t="s">
        <v>15</v>
      </c>
      <c r="B9" s="29">
        <v>-6.522447319284197E-3</v>
      </c>
      <c r="C9" s="30">
        <v>-4.2832391436313628</v>
      </c>
      <c r="D9" s="30">
        <v>-9.9963777959470642E-3</v>
      </c>
      <c r="E9" s="30">
        <v>-8.3361703826667508</v>
      </c>
      <c r="F9" s="30">
        <v>0</v>
      </c>
      <c r="G9" s="31">
        <f>SUM(AR_FINANCIAL)</f>
        <v>-12.635928351413344</v>
      </c>
      <c r="H9" s="30"/>
      <c r="I9" s="34"/>
      <c r="J9" s="35"/>
      <c r="K9" s="30"/>
      <c r="L9" s="29">
        <v>208902</v>
      </c>
      <c r="M9" s="30">
        <v>0</v>
      </c>
      <c r="N9" s="30"/>
      <c r="O9" s="30">
        <v>0</v>
      </c>
      <c r="P9" s="30">
        <v>0</v>
      </c>
      <c r="Q9" s="30"/>
      <c r="R9" s="30">
        <v>0</v>
      </c>
      <c r="S9" s="30">
        <v>0</v>
      </c>
      <c r="T9" s="30"/>
      <c r="U9" s="30">
        <v>0</v>
      </c>
      <c r="V9" s="31">
        <v>0</v>
      </c>
    </row>
    <row r="10" spans="1:22">
      <c r="A10" s="1" t="s">
        <v>16</v>
      </c>
      <c r="B10" s="29">
        <v>-0.40975362112476432</v>
      </c>
      <c r="C10" s="30">
        <v>-100.44801000831649</v>
      </c>
      <c r="D10" s="30">
        <v>2.7339793978692876E-6</v>
      </c>
      <c r="E10" s="30">
        <v>0</v>
      </c>
      <c r="F10" s="30">
        <v>0</v>
      </c>
      <c r="G10" s="31">
        <f>SUM(CA_FINANCIAL)</f>
        <v>-100.85776089546185</v>
      </c>
      <c r="H10" s="30"/>
      <c r="I10" s="34" t="s">
        <v>17</v>
      </c>
      <c r="J10" s="35">
        <v>3534278682.5268831</v>
      </c>
      <c r="K10" s="30"/>
      <c r="L10" s="29">
        <v>0</v>
      </c>
      <c r="M10" s="30">
        <v>0</v>
      </c>
      <c r="N10" s="30"/>
      <c r="O10" s="30">
        <v>938000</v>
      </c>
      <c r="P10" s="30">
        <v>1045000</v>
      </c>
      <c r="Q10" s="30"/>
      <c r="R10" s="30">
        <v>0</v>
      </c>
      <c r="S10" s="30">
        <v>0</v>
      </c>
      <c r="T10" s="30"/>
      <c r="U10" s="30">
        <v>0</v>
      </c>
      <c r="V10" s="31">
        <v>0</v>
      </c>
    </row>
    <row r="11" spans="1:22">
      <c r="A11" s="1" t="s">
        <v>18</v>
      </c>
      <c r="B11" s="29">
        <v>-19.754925237270072</v>
      </c>
      <c r="C11" s="30">
        <v>-23.011982356663793</v>
      </c>
      <c r="D11" s="30">
        <v>9.3266080747882417E-3</v>
      </c>
      <c r="E11" s="30">
        <v>0</v>
      </c>
      <c r="F11" s="30">
        <v>0</v>
      </c>
      <c r="G11" s="31">
        <f>SUM(CO_FINANCIAL)</f>
        <v>-42.757580985859079</v>
      </c>
      <c r="H11" s="30"/>
      <c r="I11" s="34"/>
      <c r="J11" s="35"/>
      <c r="K11" s="30"/>
      <c r="L11" s="29">
        <v>7739</v>
      </c>
      <c r="M11" s="30">
        <v>0</v>
      </c>
      <c r="N11" s="30"/>
      <c r="O11" s="30">
        <v>15022</v>
      </c>
      <c r="P11" s="30">
        <v>0</v>
      </c>
      <c r="Q11" s="30"/>
      <c r="R11" s="30">
        <v>0</v>
      </c>
      <c r="S11" s="30">
        <v>0</v>
      </c>
      <c r="T11" s="30"/>
      <c r="U11" s="30">
        <v>0</v>
      </c>
      <c r="V11" s="31">
        <v>0</v>
      </c>
    </row>
    <row r="12" spans="1:22">
      <c r="A12" s="1" t="s">
        <v>19</v>
      </c>
      <c r="B12" s="29">
        <v>-0.19824298286698649</v>
      </c>
      <c r="C12" s="30">
        <v>-129.3214774208609</v>
      </c>
      <c r="D12" s="30">
        <v>-9.863180805965226E-3</v>
      </c>
      <c r="E12" s="30">
        <v>-141.41672009974718</v>
      </c>
      <c r="F12" s="30">
        <v>0</v>
      </c>
      <c r="G12" s="31">
        <f>SUM(CT_FINANCIAL)</f>
        <v>-270.94630368428102</v>
      </c>
      <c r="H12" s="30"/>
      <c r="I12" s="34" t="s">
        <v>20</v>
      </c>
      <c r="J12" s="35"/>
      <c r="K12" s="30"/>
      <c r="L12" s="29">
        <v>200000</v>
      </c>
      <c r="M12" s="30">
        <v>199924</v>
      </c>
      <c r="N12" s="30"/>
      <c r="O12" s="30">
        <v>1100000</v>
      </c>
      <c r="P12" s="30">
        <v>1099902</v>
      </c>
      <c r="Q12" s="30"/>
      <c r="R12" s="30">
        <v>0</v>
      </c>
      <c r="S12" s="30">
        <v>0</v>
      </c>
      <c r="T12" s="30"/>
      <c r="U12" s="30">
        <v>1350000</v>
      </c>
      <c r="V12" s="31">
        <v>1349994</v>
      </c>
    </row>
    <row r="13" spans="1:22">
      <c r="A13" s="1" t="s">
        <v>21</v>
      </c>
      <c r="B13" s="29">
        <v>-4.5946871370233566E-2</v>
      </c>
      <c r="C13" s="30">
        <v>-2.063781481992919</v>
      </c>
      <c r="D13" s="30">
        <v>0</v>
      </c>
      <c r="E13" s="30">
        <v>0</v>
      </c>
      <c r="F13" s="30">
        <v>0</v>
      </c>
      <c r="G13" s="31">
        <f>SUM(DE_FINANCIAL)</f>
        <v>-2.1097283533631526</v>
      </c>
      <c r="H13" s="30"/>
      <c r="I13" s="34" t="s">
        <v>22</v>
      </c>
      <c r="J13" s="35">
        <v>0</v>
      </c>
      <c r="K13" s="30"/>
      <c r="L13" s="29">
        <v>0</v>
      </c>
      <c r="M13" s="30">
        <v>0</v>
      </c>
      <c r="N13" s="30"/>
      <c r="O13" s="30">
        <v>25000</v>
      </c>
      <c r="P13" s="30">
        <v>0</v>
      </c>
      <c r="Q13" s="30"/>
      <c r="R13" s="30">
        <v>0</v>
      </c>
      <c r="S13" s="30">
        <v>0</v>
      </c>
      <c r="T13" s="30"/>
      <c r="U13" s="30">
        <v>0</v>
      </c>
      <c r="V13" s="31">
        <v>0</v>
      </c>
    </row>
    <row r="14" spans="1:22">
      <c r="A14" s="1" t="s">
        <v>23</v>
      </c>
      <c r="B14" s="29">
        <v>-3.5508518249912413E-2</v>
      </c>
      <c r="C14" s="30">
        <v>-90.757980144233443</v>
      </c>
      <c r="D14" s="30">
        <v>4.463435541157003E-6</v>
      </c>
      <c r="E14" s="30">
        <v>0</v>
      </c>
      <c r="F14" s="30">
        <v>0</v>
      </c>
      <c r="G14" s="31">
        <f>SUM(DC_FINANCIAL)</f>
        <v>-90.793484199047811</v>
      </c>
      <c r="H14" s="30"/>
      <c r="I14" s="34" t="s">
        <v>24</v>
      </c>
      <c r="J14" s="35">
        <v>4043353.2499999725</v>
      </c>
      <c r="K14" s="30"/>
      <c r="L14" s="29">
        <v>10000</v>
      </c>
      <c r="M14" s="30">
        <v>8983</v>
      </c>
      <c r="N14" s="30"/>
      <c r="O14" s="30">
        <v>930000</v>
      </c>
      <c r="P14" s="30">
        <v>951758</v>
      </c>
      <c r="Q14" s="30"/>
      <c r="R14" s="30">
        <v>10000</v>
      </c>
      <c r="S14" s="30">
        <v>10064</v>
      </c>
      <c r="T14" s="30"/>
      <c r="U14" s="30">
        <v>0</v>
      </c>
      <c r="V14" s="31">
        <v>0</v>
      </c>
    </row>
    <row r="15" spans="1:22">
      <c r="A15" s="1" t="s">
        <v>25</v>
      </c>
      <c r="B15" s="29">
        <v>-39.622774987539742</v>
      </c>
      <c r="C15" s="30">
        <v>-121.05984492436983</v>
      </c>
      <c r="D15" s="30">
        <v>-1.701443749404704E-2</v>
      </c>
      <c r="E15" s="30">
        <v>0</v>
      </c>
      <c r="F15" s="30">
        <v>0</v>
      </c>
      <c r="G15" s="31">
        <f>SUM(FL_FINANCIAL)</f>
        <v>-160.69963434940362</v>
      </c>
      <c r="H15" s="30"/>
      <c r="I15" s="34" t="s">
        <v>26</v>
      </c>
      <c r="J15" s="35">
        <v>14370824.819999993</v>
      </c>
      <c r="K15" s="30"/>
      <c r="L15" s="29"/>
      <c r="M15" s="30"/>
      <c r="N15" s="30"/>
      <c r="O15" s="30"/>
      <c r="P15" s="30"/>
      <c r="Q15" s="30"/>
      <c r="R15" s="30"/>
      <c r="S15" s="30"/>
      <c r="T15" s="30"/>
      <c r="U15" s="30"/>
      <c r="V15" s="31"/>
    </row>
    <row r="16" spans="1:22">
      <c r="A16" s="1" t="s">
        <v>27</v>
      </c>
      <c r="B16" s="29">
        <v>-102.13001279870514</v>
      </c>
      <c r="C16" s="30">
        <v>-1681.8285222444683</v>
      </c>
      <c r="D16" s="30">
        <v>1.8883786595421236E-2</v>
      </c>
      <c r="E16" s="30">
        <v>-520.24963257089257</v>
      </c>
      <c r="F16" s="30">
        <v>0</v>
      </c>
      <c r="G16" s="31">
        <f>SUM(GA_FINANCIAL)</f>
        <v>-2304.1892838274707</v>
      </c>
      <c r="H16" s="30"/>
      <c r="I16" s="34" t="s">
        <v>28</v>
      </c>
      <c r="J16" s="35">
        <v>0</v>
      </c>
      <c r="K16" s="30"/>
      <c r="L16" s="29">
        <v>0</v>
      </c>
      <c r="M16" s="30">
        <v>0</v>
      </c>
      <c r="N16" s="30"/>
      <c r="O16" s="30">
        <v>12100000</v>
      </c>
      <c r="P16" s="30">
        <v>262519.01</v>
      </c>
      <c r="Q16" s="30"/>
      <c r="R16" s="30">
        <v>0</v>
      </c>
      <c r="S16" s="30">
        <v>0</v>
      </c>
      <c r="T16" s="30"/>
      <c r="U16" s="30">
        <v>2800000</v>
      </c>
      <c r="V16" s="31">
        <v>-463.21</v>
      </c>
    </row>
    <row r="17" spans="1:22">
      <c r="A17" s="1" t="s">
        <v>29</v>
      </c>
      <c r="B17" s="29">
        <v>-2.6529754239959402E-2</v>
      </c>
      <c r="C17" s="30">
        <v>-1.9982547866165987</v>
      </c>
      <c r="D17" s="30">
        <v>8.7065204092955165E-3</v>
      </c>
      <c r="E17" s="30">
        <v>0</v>
      </c>
      <c r="F17" s="30">
        <v>0</v>
      </c>
      <c r="G17" s="31">
        <f>SUM(HI_FINANCIAL)</f>
        <v>-2.0160780204472628</v>
      </c>
      <c r="H17" s="30"/>
      <c r="I17" s="34"/>
      <c r="J17" s="35"/>
      <c r="K17" s="30"/>
      <c r="L17" s="29">
        <v>25505</v>
      </c>
      <c r="M17" s="30">
        <v>0</v>
      </c>
      <c r="N17" s="30"/>
      <c r="O17" s="30">
        <v>4468</v>
      </c>
      <c r="P17" s="30">
        <v>0</v>
      </c>
      <c r="Q17" s="30"/>
      <c r="R17" s="30">
        <v>0</v>
      </c>
      <c r="S17" s="30">
        <v>3683</v>
      </c>
      <c r="T17" s="30"/>
      <c r="U17" s="30">
        <v>0</v>
      </c>
      <c r="V17" s="31">
        <v>0</v>
      </c>
    </row>
    <row r="18" spans="1:22">
      <c r="A18" s="1" t="s">
        <v>30</v>
      </c>
      <c r="B18" s="29">
        <v>-9.1749581505951028E-4</v>
      </c>
      <c r="C18" s="30">
        <v>-0.91069401238200953</v>
      </c>
      <c r="D18" s="30">
        <v>3.6994653423111929E-6</v>
      </c>
      <c r="E18" s="30">
        <v>0</v>
      </c>
      <c r="F18" s="30">
        <v>0</v>
      </c>
      <c r="G18" s="31">
        <f>SUM(ID_FINANCIAL)</f>
        <v>-0.91160780873172675</v>
      </c>
      <c r="H18" s="30"/>
      <c r="I18" s="34" t="s">
        <v>31</v>
      </c>
      <c r="J18" s="35"/>
      <c r="K18" s="30"/>
      <c r="L18" s="29">
        <v>0</v>
      </c>
      <c r="M18" s="30">
        <v>0</v>
      </c>
      <c r="N18" s="30"/>
      <c r="O18" s="30">
        <v>0</v>
      </c>
      <c r="P18" s="30">
        <v>0</v>
      </c>
      <c r="Q18" s="30"/>
      <c r="R18" s="30">
        <v>0</v>
      </c>
      <c r="S18" s="30">
        <v>0</v>
      </c>
      <c r="T18" s="30"/>
      <c r="U18" s="30">
        <v>0</v>
      </c>
      <c r="V18" s="31">
        <v>0</v>
      </c>
    </row>
    <row r="19" spans="1:22">
      <c r="A19" s="1" t="s">
        <v>32</v>
      </c>
      <c r="B19" s="29">
        <v>-0.18376109026985432</v>
      </c>
      <c r="C19" s="30">
        <v>-163.45059611112811</v>
      </c>
      <c r="D19" s="30">
        <v>-9.9200105160035662E-3</v>
      </c>
      <c r="E19" s="30">
        <v>-2295.7009771205485</v>
      </c>
      <c r="F19" s="30">
        <v>0</v>
      </c>
      <c r="G19" s="31">
        <f>SUM(IL_FINANCIAL)</f>
        <v>-2459.3452543324624</v>
      </c>
      <c r="H19" s="30"/>
      <c r="I19" s="34" t="s">
        <v>33</v>
      </c>
      <c r="J19" s="35">
        <v>3228522434.5828199</v>
      </c>
      <c r="K19" s="30"/>
      <c r="L19" s="29">
        <v>100000</v>
      </c>
      <c r="M19" s="30">
        <v>100000</v>
      </c>
      <c r="N19" s="30"/>
      <c r="O19" s="30">
        <v>6000000</v>
      </c>
      <c r="P19" s="30">
        <v>6300000</v>
      </c>
      <c r="Q19" s="30"/>
      <c r="R19" s="30">
        <v>100000</v>
      </c>
      <c r="S19" s="30">
        <v>100000</v>
      </c>
      <c r="T19" s="30"/>
      <c r="U19" s="30">
        <v>21500000</v>
      </c>
      <c r="V19" s="31">
        <v>24150000</v>
      </c>
    </row>
    <row r="20" spans="1:22">
      <c r="A20" s="1" t="s">
        <v>34</v>
      </c>
      <c r="B20" s="29">
        <v>-93.956223084940575</v>
      </c>
      <c r="C20" s="30">
        <v>-32.0331249400042</v>
      </c>
      <c r="D20" s="30">
        <v>9.9985565521787276E-6</v>
      </c>
      <c r="E20" s="30">
        <v>-182.34111601440236</v>
      </c>
      <c r="F20" s="30">
        <v>0</v>
      </c>
      <c r="G20" s="31">
        <f>SUM(IN_FINANCIAL)</f>
        <v>-308.33045404079058</v>
      </c>
      <c r="H20" s="30"/>
      <c r="I20" s="34" t="s">
        <v>35</v>
      </c>
      <c r="J20" s="35">
        <v>102571577.00399998</v>
      </c>
      <c r="K20" s="30"/>
      <c r="L20" s="29"/>
      <c r="M20" s="30"/>
      <c r="N20" s="30"/>
      <c r="O20" s="30"/>
      <c r="P20" s="30"/>
      <c r="Q20" s="30"/>
      <c r="R20" s="30"/>
      <c r="S20" s="30"/>
      <c r="T20" s="30"/>
      <c r="U20" s="30"/>
      <c r="V20" s="31"/>
    </row>
    <row r="21" spans="1:22">
      <c r="A21" s="1" t="s">
        <v>36</v>
      </c>
      <c r="B21" s="29">
        <v>-5.1118572514425864E-3</v>
      </c>
      <c r="C21" s="30">
        <v>-2.7518446260037308</v>
      </c>
      <c r="D21" s="30">
        <v>-9.8429493235012988E-3</v>
      </c>
      <c r="E21" s="30">
        <v>-25.171420703991316</v>
      </c>
      <c r="F21" s="30">
        <v>0</v>
      </c>
      <c r="G21" s="31">
        <f>SUM(IA_FINANCIAL)</f>
        <v>-27.938220136569992</v>
      </c>
      <c r="H21" s="30"/>
      <c r="I21" s="34" t="s">
        <v>37</v>
      </c>
      <c r="J21" s="35"/>
      <c r="K21" s="30"/>
      <c r="L21" s="29">
        <v>0</v>
      </c>
      <c r="M21" s="30">
        <v>0</v>
      </c>
      <c r="N21" s="30"/>
      <c r="O21" s="30">
        <v>0</v>
      </c>
      <c r="P21" s="30">
        <v>0</v>
      </c>
      <c r="Q21" s="30"/>
      <c r="R21" s="30">
        <v>0</v>
      </c>
      <c r="S21" s="30">
        <v>0</v>
      </c>
      <c r="T21" s="30"/>
      <c r="U21" s="30">
        <v>240000</v>
      </c>
      <c r="V21" s="31">
        <v>0</v>
      </c>
    </row>
    <row r="22" spans="1:22">
      <c r="A22" s="1" t="s">
        <v>38</v>
      </c>
      <c r="B22" s="29">
        <v>-1.7747422740740149E-2</v>
      </c>
      <c r="C22" s="30">
        <v>-3.1547444270327105</v>
      </c>
      <c r="D22" s="30">
        <v>0</v>
      </c>
      <c r="E22" s="30">
        <v>0</v>
      </c>
      <c r="F22" s="30">
        <v>0</v>
      </c>
      <c r="G22" s="31">
        <f>SUM(KS_FINANCIAL)</f>
        <v>-3.1724918497734507</v>
      </c>
      <c r="H22" s="30"/>
      <c r="I22" s="34" t="s">
        <v>39</v>
      </c>
      <c r="J22" s="35">
        <v>84689349.896513835</v>
      </c>
      <c r="K22" s="30"/>
      <c r="L22" s="29"/>
      <c r="M22" s="30"/>
      <c r="N22" s="30"/>
      <c r="O22" s="30"/>
      <c r="P22" s="30"/>
      <c r="Q22" s="30"/>
      <c r="R22" s="30"/>
      <c r="S22" s="30"/>
      <c r="T22" s="30"/>
      <c r="U22" s="30"/>
      <c r="V22" s="31"/>
    </row>
    <row r="23" spans="1:22">
      <c r="A23" s="1" t="s">
        <v>40</v>
      </c>
      <c r="B23" s="29">
        <v>-26.765143490832997</v>
      </c>
      <c r="C23" s="30">
        <v>-4.5215210590613424</v>
      </c>
      <c r="D23" s="30">
        <v>8.1207763230062568E-3</v>
      </c>
      <c r="E23" s="30">
        <v>0</v>
      </c>
      <c r="F23" s="30">
        <v>0</v>
      </c>
      <c r="G23" s="31">
        <f>SUM(KY_FINANCIAL)</f>
        <v>-31.278543773571332</v>
      </c>
      <c r="H23" s="30"/>
      <c r="I23" s="34" t="s">
        <v>41</v>
      </c>
      <c r="J23" s="35"/>
      <c r="K23" s="30"/>
      <c r="L23" s="29"/>
      <c r="M23" s="30"/>
      <c r="N23" s="30"/>
      <c r="O23" s="30"/>
      <c r="P23" s="30"/>
      <c r="Q23" s="30"/>
      <c r="R23" s="30"/>
      <c r="S23" s="30"/>
      <c r="T23" s="30"/>
      <c r="U23" s="30"/>
      <c r="V23" s="31"/>
    </row>
    <row r="24" spans="1:22">
      <c r="A24" s="1" t="s">
        <v>42</v>
      </c>
      <c r="B24" s="29">
        <v>-6.7710116842818024E-2</v>
      </c>
      <c r="C24" s="30">
        <v>-6.3150724567240104</v>
      </c>
      <c r="D24" s="30">
        <v>0</v>
      </c>
      <c r="E24" s="30">
        <v>0</v>
      </c>
      <c r="F24" s="30">
        <v>0</v>
      </c>
      <c r="G24" s="31">
        <f>SUM(LA_FINANCIAL)</f>
        <v>-6.3827825735668284</v>
      </c>
      <c r="H24" s="30"/>
      <c r="I24" s="34" t="s">
        <v>43</v>
      </c>
      <c r="J24" s="35">
        <v>136926126.18959287</v>
      </c>
      <c r="K24" s="30"/>
      <c r="L24" s="29">
        <v>168235</v>
      </c>
      <c r="M24" s="30">
        <v>0</v>
      </c>
      <c r="N24" s="30"/>
      <c r="O24" s="30">
        <v>51765</v>
      </c>
      <c r="P24" s="30">
        <v>0</v>
      </c>
      <c r="Q24" s="30"/>
      <c r="R24" s="30">
        <v>0</v>
      </c>
      <c r="S24" s="30">
        <v>0</v>
      </c>
      <c r="T24" s="30"/>
      <c r="U24" s="30">
        <v>0</v>
      </c>
      <c r="V24" s="31">
        <v>0</v>
      </c>
    </row>
    <row r="25" spans="1:22">
      <c r="A25" s="1" t="s">
        <v>44</v>
      </c>
      <c r="B25" s="29">
        <v>-1.9767732914459657E-2</v>
      </c>
      <c r="C25" s="30">
        <v>-10.67859683666029</v>
      </c>
      <c r="D25" s="30">
        <v>9.9985968262281E-3</v>
      </c>
      <c r="E25" s="30">
        <v>0</v>
      </c>
      <c r="F25" s="30">
        <v>0</v>
      </c>
      <c r="G25" s="31">
        <f>SUM(ME_FINANCIAL)</f>
        <v>-10.688365972748521</v>
      </c>
      <c r="H25" s="30"/>
      <c r="I25" s="34"/>
      <c r="J25" s="35"/>
      <c r="K25" s="30"/>
      <c r="L25" s="29"/>
      <c r="M25" s="30"/>
      <c r="N25" s="30"/>
      <c r="O25" s="30"/>
      <c r="P25" s="30"/>
      <c r="Q25" s="30"/>
      <c r="R25" s="30"/>
      <c r="S25" s="30"/>
      <c r="T25" s="30"/>
      <c r="U25" s="30"/>
      <c r="V25" s="31"/>
    </row>
    <row r="26" spans="1:22">
      <c r="A26" s="1" t="s">
        <v>45</v>
      </c>
      <c r="B26" s="29">
        <v>7.8874028371478389E-5</v>
      </c>
      <c r="C26" s="30">
        <v>-27.056169308285462</v>
      </c>
      <c r="D26" s="30">
        <v>0</v>
      </c>
      <c r="E26" s="30">
        <v>-582.42313150968403</v>
      </c>
      <c r="F26" s="30">
        <v>0</v>
      </c>
      <c r="G26" s="31">
        <f>SUM(MD_FINANCIAL)</f>
        <v>-609.47922194394107</v>
      </c>
      <c r="H26" s="30"/>
      <c r="I26" s="34" t="s">
        <v>46</v>
      </c>
      <c r="J26" s="35">
        <f>SUM(ADD_FINANCIAL)-SUM(LESS_FINANCIAL)</f>
        <v>-16627.076043605804</v>
      </c>
      <c r="K26" s="30"/>
      <c r="L26" s="29">
        <v>0</v>
      </c>
      <c r="M26" s="30">
        <v>0</v>
      </c>
      <c r="N26" s="30"/>
      <c r="O26" s="30">
        <v>6000000</v>
      </c>
      <c r="P26" s="30">
        <v>0</v>
      </c>
      <c r="Q26" s="30"/>
      <c r="R26" s="30">
        <v>0</v>
      </c>
      <c r="S26" s="30">
        <v>0</v>
      </c>
      <c r="T26" s="30"/>
      <c r="U26" s="30">
        <v>0</v>
      </c>
      <c r="V26" s="31">
        <v>0</v>
      </c>
    </row>
    <row r="27" spans="1:22">
      <c r="A27" s="1" t="s">
        <v>47</v>
      </c>
      <c r="B27" s="29">
        <v>-0.49222693382307625</v>
      </c>
      <c r="C27" s="30">
        <v>-54.715476356388535</v>
      </c>
      <c r="D27" s="30">
        <v>3.9110059506304527E-8</v>
      </c>
      <c r="E27" s="30">
        <v>0</v>
      </c>
      <c r="F27" s="30">
        <v>0</v>
      </c>
      <c r="G27" s="31">
        <f>SUM(MA_FINANCIAL)</f>
        <v>-55.207703251101549</v>
      </c>
      <c r="H27" s="30"/>
      <c r="I27" s="34" t="s">
        <v>48</v>
      </c>
      <c r="J27" s="35">
        <f>SUM(ALL_BLOCKS)</f>
        <v>-16627.076041025033</v>
      </c>
      <c r="K27" s="30"/>
      <c r="L27" s="29">
        <v>0</v>
      </c>
      <c r="M27" s="30">
        <v>0</v>
      </c>
      <c r="N27" s="30"/>
      <c r="O27" s="30">
        <v>500000</v>
      </c>
      <c r="P27" s="30">
        <v>500000</v>
      </c>
      <c r="Q27" s="30"/>
      <c r="R27" s="30">
        <v>0</v>
      </c>
      <c r="S27" s="30">
        <v>0</v>
      </c>
      <c r="T27" s="30"/>
      <c r="U27" s="30">
        <v>0</v>
      </c>
      <c r="V27" s="31">
        <v>0</v>
      </c>
    </row>
    <row r="28" spans="1:22">
      <c r="A28" s="1" t="s">
        <v>49</v>
      </c>
      <c r="B28" s="29">
        <v>-0.23869042976275523</v>
      </c>
      <c r="C28" s="30">
        <v>-18.961346942989621</v>
      </c>
      <c r="D28" s="30">
        <v>0</v>
      </c>
      <c r="E28" s="30">
        <v>-2188.8930661901832</v>
      </c>
      <c r="F28" s="30">
        <v>0</v>
      </c>
      <c r="G28" s="31">
        <f>SUM(MI_FINANCIAL)</f>
        <v>-2208.0931035629355</v>
      </c>
      <c r="H28" s="30"/>
      <c r="I28" s="36"/>
      <c r="J28" s="37"/>
      <c r="K28" s="30"/>
      <c r="L28" s="29">
        <v>0</v>
      </c>
      <c r="M28" s="30">
        <v>0</v>
      </c>
      <c r="N28" s="30"/>
      <c r="O28" s="30">
        <v>350000</v>
      </c>
      <c r="P28" s="30">
        <v>0</v>
      </c>
      <c r="Q28" s="30"/>
      <c r="R28" s="30">
        <v>0</v>
      </c>
      <c r="S28" s="30">
        <v>0</v>
      </c>
      <c r="T28" s="30"/>
      <c r="U28" s="30">
        <v>23108333</v>
      </c>
      <c r="V28" s="31">
        <v>24800000</v>
      </c>
    </row>
    <row r="29" spans="1:22">
      <c r="A29" s="1" t="s">
        <v>50</v>
      </c>
      <c r="B29" s="29">
        <v>-4.9167019938238354E-2</v>
      </c>
      <c r="C29" s="30">
        <v>-6.1235056703735609</v>
      </c>
      <c r="D29" s="30">
        <v>1.9996763907397581E-6</v>
      </c>
      <c r="E29" s="30">
        <v>-567.99714654684067</v>
      </c>
      <c r="F29" s="30">
        <v>0</v>
      </c>
      <c r="G29" s="31">
        <f>SUM(MN_FINANCIAL)</f>
        <v>-574.16981723747608</v>
      </c>
      <c r="H29" s="30"/>
      <c r="I29" s="30"/>
      <c r="J29" s="30"/>
      <c r="K29" s="30"/>
      <c r="L29" s="29">
        <v>0</v>
      </c>
      <c r="M29" s="30">
        <v>0</v>
      </c>
      <c r="N29" s="30"/>
      <c r="O29" s="30">
        <v>0</v>
      </c>
      <c r="P29" s="30">
        <v>0</v>
      </c>
      <c r="Q29" s="30"/>
      <c r="R29" s="30">
        <v>0</v>
      </c>
      <c r="S29" s="30">
        <v>0</v>
      </c>
      <c r="T29" s="30"/>
      <c r="U29" s="30">
        <v>5700000</v>
      </c>
      <c r="V29" s="31">
        <v>0</v>
      </c>
    </row>
    <row r="30" spans="1:22">
      <c r="A30" s="1" t="s">
        <v>51</v>
      </c>
      <c r="B30" s="29">
        <v>-3.0918241760673482E-2</v>
      </c>
      <c r="C30" s="30">
        <v>-3.8384539603357553</v>
      </c>
      <c r="D30" s="30">
        <v>-1.8541194579640621E-6</v>
      </c>
      <c r="E30" s="30">
        <v>-97.333197792177089</v>
      </c>
      <c r="F30" s="30">
        <v>0</v>
      </c>
      <c r="G30" s="31">
        <f>SUM(MS_FINANCIAL)</f>
        <v>-101.20257184839298</v>
      </c>
      <c r="H30" s="30"/>
      <c r="I30" s="30"/>
      <c r="J30" s="30"/>
      <c r="K30" s="30"/>
      <c r="L30" s="29"/>
      <c r="M30" s="30"/>
      <c r="N30" s="30"/>
      <c r="O30" s="30"/>
      <c r="P30" s="30"/>
      <c r="Q30" s="30"/>
      <c r="R30" s="30"/>
      <c r="S30" s="30"/>
      <c r="T30" s="30"/>
      <c r="U30" s="30"/>
      <c r="V30" s="31"/>
    </row>
    <row r="31" spans="1:22">
      <c r="A31" s="1" t="s">
        <v>52</v>
      </c>
      <c r="B31" s="29">
        <v>-4.0246473463184884E-2</v>
      </c>
      <c r="C31" s="30">
        <v>-7.6243651481490815</v>
      </c>
      <c r="D31" s="30">
        <v>-9.9847919064141016E-3</v>
      </c>
      <c r="E31" s="30">
        <v>0</v>
      </c>
      <c r="F31" s="30">
        <v>0</v>
      </c>
      <c r="G31" s="31">
        <f>SUM(MO_FINANCIAL)</f>
        <v>-7.6745964135186808</v>
      </c>
      <c r="H31" s="30"/>
      <c r="I31" s="30"/>
      <c r="J31" s="30"/>
      <c r="K31" s="30"/>
      <c r="L31" s="29">
        <v>0</v>
      </c>
      <c r="M31" s="30">
        <v>0</v>
      </c>
      <c r="N31" s="30"/>
      <c r="O31" s="30">
        <v>630730</v>
      </c>
      <c r="P31" s="30">
        <v>0</v>
      </c>
      <c r="Q31" s="30"/>
      <c r="R31" s="30">
        <v>0</v>
      </c>
      <c r="S31" s="30">
        <v>0</v>
      </c>
      <c r="T31" s="30"/>
      <c r="U31" s="30">
        <v>0</v>
      </c>
      <c r="V31" s="31">
        <v>0</v>
      </c>
    </row>
    <row r="32" spans="1:22">
      <c r="A32" s="1" t="s">
        <v>53</v>
      </c>
      <c r="B32" s="29">
        <v>-1.5997735661699153E-3</v>
      </c>
      <c r="C32" s="30">
        <v>-3.6987069633978535</v>
      </c>
      <c r="D32" s="30">
        <v>2.0401919680095703E-5</v>
      </c>
      <c r="E32" s="30">
        <v>0</v>
      </c>
      <c r="F32" s="30">
        <v>0</v>
      </c>
      <c r="G32" s="31">
        <f>SUM(MT_FINANCIAL)</f>
        <v>-3.7002863350443436</v>
      </c>
      <c r="H32" s="30"/>
      <c r="I32" s="30"/>
      <c r="J32" s="30"/>
      <c r="K32" s="30"/>
      <c r="L32" s="29"/>
      <c r="M32" s="30"/>
      <c r="N32" s="30"/>
      <c r="O32" s="30"/>
      <c r="P32" s="30"/>
      <c r="Q32" s="30"/>
      <c r="R32" s="30"/>
      <c r="S32" s="30"/>
      <c r="T32" s="30"/>
      <c r="U32" s="30"/>
      <c r="V32" s="31"/>
    </row>
    <row r="33" spans="1:22">
      <c r="A33" s="1" t="s">
        <v>54</v>
      </c>
      <c r="B33" s="29">
        <v>-2.7967498733545426E-3</v>
      </c>
      <c r="C33" s="30">
        <v>-1.7464551299344748</v>
      </c>
      <c r="D33" s="30">
        <v>-6.9989255670824571E-7</v>
      </c>
      <c r="E33" s="30">
        <v>0</v>
      </c>
      <c r="F33" s="30">
        <v>0</v>
      </c>
      <c r="G33" s="31">
        <f>SUM(NE_FINANCIAL)</f>
        <v>-1.7492525797003862</v>
      </c>
      <c r="H33" s="30"/>
      <c r="I33" s="30"/>
      <c r="J33" s="30"/>
      <c r="K33" s="30"/>
      <c r="L33" s="29"/>
      <c r="M33" s="30"/>
      <c r="N33" s="30"/>
      <c r="O33" s="30"/>
      <c r="P33" s="30"/>
      <c r="Q33" s="30"/>
      <c r="R33" s="30"/>
      <c r="S33" s="30"/>
      <c r="T33" s="30"/>
      <c r="U33" s="30"/>
      <c r="V33" s="31"/>
    </row>
    <row r="34" spans="1:22">
      <c r="A34" s="1" t="s">
        <v>55</v>
      </c>
      <c r="B34" s="29">
        <v>-2.3325971515646415E-2</v>
      </c>
      <c r="C34" s="30">
        <v>-1.5850755074461631</v>
      </c>
      <c r="D34" s="30">
        <v>3.6101145702024845E-7</v>
      </c>
      <c r="E34" s="30">
        <v>0</v>
      </c>
      <c r="F34" s="30">
        <v>0</v>
      </c>
      <c r="G34" s="31">
        <f>SUM(NV_FINANCIAL)</f>
        <v>-1.6084011179503526</v>
      </c>
      <c r="H34" s="30"/>
      <c r="I34" s="30"/>
      <c r="J34" s="30"/>
      <c r="K34" s="30"/>
      <c r="L34" s="29"/>
      <c r="M34" s="30"/>
      <c r="N34" s="30"/>
      <c r="O34" s="30"/>
      <c r="P34" s="30"/>
      <c r="Q34" s="30"/>
      <c r="R34" s="30"/>
      <c r="S34" s="30"/>
      <c r="T34" s="30"/>
      <c r="U34" s="30"/>
      <c r="V34" s="31"/>
    </row>
    <row r="35" spans="1:22">
      <c r="A35" s="1" t="s">
        <v>56</v>
      </c>
      <c r="B35" s="29">
        <v>-2.7742016190615004E-3</v>
      </c>
      <c r="C35" s="30">
        <v>-17.931272917892784</v>
      </c>
      <c r="D35" s="30">
        <v>9.9985965934301264E-3</v>
      </c>
      <c r="E35" s="30">
        <v>0</v>
      </c>
      <c r="F35" s="30">
        <v>0</v>
      </c>
      <c r="G35" s="31">
        <f>SUM(NH_FINANCIAL)</f>
        <v>-17.924048522918415</v>
      </c>
      <c r="H35" s="30"/>
      <c r="I35" s="30"/>
      <c r="J35" s="30"/>
      <c r="K35" s="30"/>
      <c r="L35" s="29"/>
      <c r="M35" s="30"/>
      <c r="N35" s="30"/>
      <c r="O35" s="30"/>
      <c r="P35" s="30"/>
      <c r="Q35" s="30"/>
      <c r="R35" s="30"/>
      <c r="S35" s="30"/>
      <c r="T35" s="30"/>
      <c r="U35" s="30"/>
      <c r="V35" s="31"/>
    </row>
    <row r="36" spans="1:22">
      <c r="A36" s="1" t="s">
        <v>57</v>
      </c>
      <c r="B36" s="29">
        <v>0.91337711795495125</v>
      </c>
      <c r="C36" s="30">
        <v>-37.527775933092926</v>
      </c>
      <c r="D36" s="30">
        <v>0</v>
      </c>
      <c r="E36" s="30">
        <v>-951.77585843391716</v>
      </c>
      <c r="F36" s="30">
        <v>0</v>
      </c>
      <c r="G36" s="31">
        <f>SUM(NJ_FINANCIAL)</f>
        <v>-988.39025724905514</v>
      </c>
      <c r="H36" s="30"/>
      <c r="I36" s="30"/>
      <c r="J36" s="30"/>
      <c r="K36" s="30"/>
      <c r="L36" s="29">
        <v>0</v>
      </c>
      <c r="M36" s="30">
        <v>0</v>
      </c>
      <c r="N36" s="30"/>
      <c r="O36" s="30">
        <v>0</v>
      </c>
      <c r="P36" s="30">
        <v>0</v>
      </c>
      <c r="Q36" s="30"/>
      <c r="R36" s="30">
        <v>0</v>
      </c>
      <c r="S36" s="30">
        <v>0</v>
      </c>
      <c r="T36" s="30"/>
      <c r="U36" s="30">
        <v>10000000</v>
      </c>
      <c r="V36" s="31">
        <v>11255081</v>
      </c>
    </row>
    <row r="37" spans="1:22">
      <c r="A37" s="1" t="s">
        <v>58</v>
      </c>
      <c r="B37" s="29">
        <v>-1.0846581313700199E-2</v>
      </c>
      <c r="C37" s="30">
        <v>-2.3957268908488913</v>
      </c>
      <c r="D37" s="30">
        <v>8.4987847092505839E-6</v>
      </c>
      <c r="E37" s="30">
        <v>0</v>
      </c>
      <c r="F37" s="30">
        <v>0</v>
      </c>
      <c r="G37" s="31">
        <f>SUM(NM_FINANCIAL)</f>
        <v>-2.4065649733778822</v>
      </c>
      <c r="H37" s="30"/>
      <c r="I37" s="30"/>
      <c r="J37" s="30"/>
      <c r="K37" s="30"/>
      <c r="L37" s="29"/>
      <c r="M37" s="30"/>
      <c r="N37" s="30"/>
      <c r="O37" s="30"/>
      <c r="P37" s="30"/>
      <c r="Q37" s="30"/>
      <c r="R37" s="30"/>
      <c r="S37" s="30"/>
      <c r="T37" s="30"/>
      <c r="U37" s="30"/>
      <c r="V37" s="31"/>
    </row>
    <row r="38" spans="1:22">
      <c r="A38" s="1" t="s">
        <v>59</v>
      </c>
      <c r="B38" s="29">
        <v>4.2879902699767934E-14</v>
      </c>
      <c r="C38" s="30">
        <v>0</v>
      </c>
      <c r="D38" s="30">
        <v>0</v>
      </c>
      <c r="E38" s="30">
        <v>0</v>
      </c>
      <c r="F38" s="30">
        <v>0</v>
      </c>
      <c r="G38" s="31">
        <f>SUM(NY_FINANCIAL)</f>
        <v>4.2879902699767934E-14</v>
      </c>
      <c r="H38" s="30"/>
      <c r="I38" s="30"/>
      <c r="J38" s="30"/>
      <c r="K38" s="30"/>
      <c r="L38" s="29"/>
      <c r="M38" s="30"/>
      <c r="N38" s="30"/>
      <c r="O38" s="30"/>
      <c r="P38" s="30"/>
      <c r="Q38" s="30"/>
      <c r="R38" s="30"/>
      <c r="S38" s="30"/>
      <c r="T38" s="30"/>
      <c r="U38" s="30"/>
      <c r="V38" s="31"/>
    </row>
    <row r="39" spans="1:22">
      <c r="A39" s="1" t="s">
        <v>60</v>
      </c>
      <c r="B39" s="29">
        <v>-226.22187033691444</v>
      </c>
      <c r="C39" s="30">
        <v>-39.11386378435418</v>
      </c>
      <c r="D39" s="30">
        <v>9.9694810165114681E-3</v>
      </c>
      <c r="E39" s="30">
        <v>-1030.3796490589157</v>
      </c>
      <c r="F39" s="30">
        <v>0</v>
      </c>
      <c r="G39" s="31">
        <f>SUM(NC_FINANCIAL)</f>
        <v>-1295.7054136991678</v>
      </c>
      <c r="H39" s="30"/>
      <c r="I39" s="30"/>
      <c r="J39" s="30"/>
      <c r="K39" s="30"/>
      <c r="L39" s="29">
        <v>0</v>
      </c>
      <c r="M39" s="30">
        <v>0</v>
      </c>
      <c r="N39" s="30"/>
      <c r="O39" s="30">
        <v>10000000</v>
      </c>
      <c r="P39" s="30">
        <v>11400000</v>
      </c>
      <c r="Q39" s="30"/>
      <c r="R39" s="30">
        <v>0</v>
      </c>
      <c r="S39" s="30">
        <v>0</v>
      </c>
      <c r="T39" s="30"/>
      <c r="U39" s="30">
        <v>0</v>
      </c>
      <c r="V39" s="31">
        <v>0</v>
      </c>
    </row>
    <row r="40" spans="1:22">
      <c r="A40" s="1" t="s">
        <v>61</v>
      </c>
      <c r="B40" s="29">
        <v>-1.2458835828454085E-2</v>
      </c>
      <c r="C40" s="30">
        <v>-0.2070707635848521</v>
      </c>
      <c r="D40" s="30">
        <v>6.6180712256151408E-3</v>
      </c>
      <c r="E40" s="30">
        <v>0</v>
      </c>
      <c r="F40" s="30">
        <v>0</v>
      </c>
      <c r="G40" s="31">
        <f>SUM(ND_FINANCIAL)</f>
        <v>-0.21291152818769105</v>
      </c>
      <c r="H40" s="30"/>
      <c r="I40" s="30"/>
      <c r="J40" s="30"/>
      <c r="K40" s="30"/>
      <c r="L40" s="29"/>
      <c r="M40" s="30"/>
      <c r="N40" s="30"/>
      <c r="O40" s="30"/>
      <c r="P40" s="30"/>
      <c r="Q40" s="30"/>
      <c r="R40" s="30"/>
      <c r="S40" s="30"/>
      <c r="T40" s="30"/>
      <c r="U40" s="30"/>
      <c r="V40" s="31"/>
    </row>
    <row r="41" spans="1:22">
      <c r="A41" s="1" t="s">
        <v>62</v>
      </c>
      <c r="B41" s="29">
        <v>-295.77682487061247</v>
      </c>
      <c r="C41" s="30">
        <v>-67.097538403002545</v>
      </c>
      <c r="D41" s="30">
        <v>7.8753100660450132E-3</v>
      </c>
      <c r="E41" s="30">
        <v>-331.36238683154806</v>
      </c>
      <c r="F41" s="30">
        <v>0</v>
      </c>
      <c r="G41" s="31">
        <f>SUM(OH_FINANCIAL)</f>
        <v>-694.228874795097</v>
      </c>
      <c r="H41" s="30"/>
      <c r="I41" s="30"/>
      <c r="J41" s="30"/>
      <c r="K41" s="30"/>
      <c r="L41" s="29">
        <v>0</v>
      </c>
      <c r="M41" s="30">
        <v>0</v>
      </c>
      <c r="N41" s="30"/>
      <c r="O41" s="30">
        <v>400000</v>
      </c>
      <c r="P41" s="30">
        <v>0</v>
      </c>
      <c r="Q41" s="30"/>
      <c r="R41" s="30">
        <v>0</v>
      </c>
      <c r="S41" s="30">
        <v>0</v>
      </c>
      <c r="T41" s="30"/>
      <c r="U41" s="30">
        <v>3100000</v>
      </c>
      <c r="V41" s="31">
        <v>4800000</v>
      </c>
    </row>
    <row r="42" spans="1:22">
      <c r="A42" s="1" t="s">
        <v>63</v>
      </c>
      <c r="B42" s="29">
        <v>-1.1807290888498301E-2</v>
      </c>
      <c r="C42" s="30">
        <v>-10.241420366073726</v>
      </c>
      <c r="D42" s="30">
        <v>-4.2390299348408921E-5</v>
      </c>
      <c r="E42" s="30">
        <v>0</v>
      </c>
      <c r="F42" s="30">
        <v>0</v>
      </c>
      <c r="G42" s="31">
        <f>SUM(OK_FINANCIAL)</f>
        <v>-10.253270047261573</v>
      </c>
      <c r="H42" s="30"/>
      <c r="I42" s="30"/>
      <c r="J42" s="30"/>
      <c r="K42" s="30"/>
      <c r="L42" s="29">
        <v>47000</v>
      </c>
      <c r="M42" s="30">
        <v>23000</v>
      </c>
      <c r="N42" s="30"/>
      <c r="O42" s="30">
        <v>44000</v>
      </c>
      <c r="P42" s="30">
        <v>22000</v>
      </c>
      <c r="Q42" s="30"/>
      <c r="R42" s="30">
        <v>9000</v>
      </c>
      <c r="S42" s="30">
        <v>5000</v>
      </c>
      <c r="T42" s="30"/>
      <c r="U42" s="30">
        <v>0</v>
      </c>
      <c r="V42" s="31">
        <v>0</v>
      </c>
    </row>
    <row r="43" spans="1:22">
      <c r="A43" s="1" t="s">
        <v>64</v>
      </c>
      <c r="B43" s="29">
        <v>-1.6898678756916752E-2</v>
      </c>
      <c r="C43" s="30">
        <v>-17.000011947238818</v>
      </c>
      <c r="D43" s="30">
        <v>0</v>
      </c>
      <c r="E43" s="30">
        <v>0</v>
      </c>
      <c r="F43" s="30">
        <v>0</v>
      </c>
      <c r="G43" s="31">
        <f>SUM(OR_FINANCIAL)</f>
        <v>-17.016910625995735</v>
      </c>
      <c r="H43" s="30"/>
      <c r="I43" s="30"/>
      <c r="J43" s="30"/>
      <c r="K43" s="30"/>
      <c r="L43" s="29"/>
      <c r="M43" s="30"/>
      <c r="N43" s="30"/>
      <c r="O43" s="30"/>
      <c r="P43" s="30"/>
      <c r="Q43" s="30"/>
      <c r="R43" s="30"/>
      <c r="S43" s="30"/>
      <c r="T43" s="30"/>
      <c r="U43" s="30"/>
      <c r="V43" s="31"/>
    </row>
    <row r="44" spans="1:22">
      <c r="A44" s="1" t="s">
        <v>65</v>
      </c>
      <c r="B44" s="29">
        <v>-0.7662288595802238</v>
      </c>
      <c r="C44" s="30">
        <v>-74.206386814592406</v>
      </c>
      <c r="D44" s="30">
        <v>2.8925613772484228E-5</v>
      </c>
      <c r="E44" s="30">
        <v>-2502.0394705496728</v>
      </c>
      <c r="F44" s="30">
        <v>0</v>
      </c>
      <c r="G44" s="31">
        <f>SUM(PA_FINANCIAL)</f>
        <v>-2577.0120572982319</v>
      </c>
      <c r="H44" s="30"/>
      <c r="I44" s="30"/>
      <c r="J44" s="30"/>
      <c r="K44" s="30"/>
      <c r="L44" s="29">
        <v>0</v>
      </c>
      <c r="M44" s="30">
        <v>0</v>
      </c>
      <c r="N44" s="30"/>
      <c r="O44" s="30">
        <v>0</v>
      </c>
      <c r="P44" s="30">
        <v>0</v>
      </c>
      <c r="Q44" s="30"/>
      <c r="R44" s="30">
        <v>0</v>
      </c>
      <c r="S44" s="30">
        <v>0</v>
      </c>
      <c r="T44" s="30"/>
      <c r="U44" s="30">
        <v>32905625</v>
      </c>
      <c r="V44" s="31">
        <v>0</v>
      </c>
    </row>
    <row r="45" spans="1:22">
      <c r="A45" s="1" t="s">
        <v>66</v>
      </c>
      <c r="B45" s="29">
        <v>-5.0282159632729417E-2</v>
      </c>
      <c r="C45" s="30">
        <v>-7.9187815895129461</v>
      </c>
      <c r="D45" s="30">
        <v>0</v>
      </c>
      <c r="E45" s="30">
        <v>0</v>
      </c>
      <c r="F45" s="30">
        <v>0</v>
      </c>
      <c r="G45" s="31">
        <f>SUM(PR_FINANCIAL)</f>
        <v>-7.9690637491456755</v>
      </c>
      <c r="H45" s="30"/>
      <c r="I45" s="30"/>
      <c r="J45" s="30"/>
      <c r="K45" s="30"/>
      <c r="L45" s="29"/>
      <c r="M45" s="30"/>
      <c r="N45" s="30"/>
      <c r="O45" s="30"/>
      <c r="P45" s="30"/>
      <c r="Q45" s="30"/>
      <c r="R45" s="30"/>
      <c r="S45" s="30"/>
      <c r="T45" s="30"/>
      <c r="U45" s="30"/>
      <c r="V45" s="31"/>
    </row>
    <row r="46" spans="1:22">
      <c r="A46" s="1" t="s">
        <v>67</v>
      </c>
      <c r="B46" s="29">
        <v>-4.6187874745328372E-2</v>
      </c>
      <c r="C46" s="30">
        <v>-10.508743227139348</v>
      </c>
      <c r="D46" s="30">
        <v>0</v>
      </c>
      <c r="E46" s="30">
        <v>0</v>
      </c>
      <c r="F46" s="30">
        <v>0</v>
      </c>
      <c r="G46" s="31">
        <f>SUM(RI_FINANCIAL)</f>
        <v>-10.554931101884677</v>
      </c>
      <c r="H46" s="30"/>
      <c r="I46" s="30"/>
      <c r="J46" s="30"/>
      <c r="K46" s="30"/>
      <c r="L46" s="29">
        <v>0</v>
      </c>
      <c r="M46" s="30">
        <v>0</v>
      </c>
      <c r="N46" s="30"/>
      <c r="O46" s="30">
        <v>35000</v>
      </c>
      <c r="P46" s="30">
        <v>0</v>
      </c>
      <c r="Q46" s="30"/>
      <c r="R46" s="30">
        <v>0</v>
      </c>
      <c r="S46" s="30">
        <v>0</v>
      </c>
      <c r="T46" s="30"/>
      <c r="U46" s="30">
        <v>0</v>
      </c>
      <c r="V46" s="31">
        <v>0</v>
      </c>
    </row>
    <row r="47" spans="1:22">
      <c r="A47" s="1" t="s">
        <v>68</v>
      </c>
      <c r="B47" s="29">
        <v>-55.373730668972712</v>
      </c>
      <c r="C47" s="30">
        <v>-10.299304671745631</v>
      </c>
      <c r="D47" s="30">
        <v>0</v>
      </c>
      <c r="E47" s="30">
        <v>0</v>
      </c>
      <c r="F47" s="30">
        <v>0</v>
      </c>
      <c r="G47" s="31">
        <f>SUM(SC_FINANCIAL)</f>
        <v>-65.673035340718343</v>
      </c>
      <c r="H47" s="30"/>
      <c r="I47" s="30"/>
      <c r="J47" s="30"/>
      <c r="K47" s="30"/>
      <c r="L47" s="29"/>
      <c r="M47" s="30"/>
      <c r="N47" s="30"/>
      <c r="O47" s="30"/>
      <c r="P47" s="30"/>
      <c r="Q47" s="30"/>
      <c r="R47" s="30"/>
      <c r="S47" s="30"/>
      <c r="T47" s="30"/>
      <c r="U47" s="30"/>
      <c r="V47" s="31"/>
    </row>
    <row r="48" spans="1:22">
      <c r="A48" s="1" t="s">
        <v>69</v>
      </c>
      <c r="B48" s="29">
        <v>-5.1371748700148601E-3</v>
      </c>
      <c r="C48" s="30">
        <v>-0.32964455397450365</v>
      </c>
      <c r="D48" s="30">
        <v>0</v>
      </c>
      <c r="E48" s="30">
        <v>0</v>
      </c>
      <c r="F48" s="30">
        <v>0</v>
      </c>
      <c r="G48" s="31">
        <f>SUM(SD_FINANCIAL)</f>
        <v>-0.33478172884451851</v>
      </c>
      <c r="H48" s="30"/>
      <c r="I48" s="30"/>
      <c r="J48" s="30"/>
      <c r="K48" s="30"/>
      <c r="L48" s="29"/>
      <c r="M48" s="30"/>
      <c r="N48" s="30"/>
      <c r="O48" s="30"/>
      <c r="P48" s="30"/>
      <c r="Q48" s="30"/>
      <c r="R48" s="30"/>
      <c r="S48" s="30"/>
      <c r="T48" s="30"/>
      <c r="U48" s="30"/>
      <c r="V48" s="31"/>
    </row>
    <row r="49" spans="1:22">
      <c r="A49" s="1" t="s">
        <v>70</v>
      </c>
      <c r="B49" s="29">
        <v>-0.95630599789365078</v>
      </c>
      <c r="C49" s="30">
        <v>-8.7955688429501606</v>
      </c>
      <c r="D49" s="30">
        <v>-9.4893871106276392E-3</v>
      </c>
      <c r="E49" s="30">
        <v>0</v>
      </c>
      <c r="F49" s="30">
        <v>0</v>
      </c>
      <c r="G49" s="31">
        <f>SUM(TN_FINANCIAL)</f>
        <v>-9.7613642279544397</v>
      </c>
      <c r="H49" s="30"/>
      <c r="I49" s="30"/>
      <c r="J49" s="30"/>
      <c r="K49" s="30"/>
      <c r="L49" s="29"/>
      <c r="M49" s="30"/>
      <c r="N49" s="30"/>
      <c r="O49" s="30"/>
      <c r="P49" s="30"/>
      <c r="Q49" s="30"/>
      <c r="R49" s="30"/>
      <c r="S49" s="30"/>
      <c r="T49" s="30"/>
      <c r="U49" s="30"/>
      <c r="V49" s="31"/>
    </row>
    <row r="50" spans="1:22">
      <c r="A50" s="1" t="s">
        <v>71</v>
      </c>
      <c r="B50" s="29">
        <v>-174.31261640740559</v>
      </c>
      <c r="C50" s="30">
        <v>-33.322298328042962</v>
      </c>
      <c r="D50" s="30">
        <v>8.301547324806903E-3</v>
      </c>
      <c r="E50" s="30">
        <v>-532.47809251397848</v>
      </c>
      <c r="F50" s="30">
        <v>0</v>
      </c>
      <c r="G50" s="31">
        <f>SUM(TX_FINANCIAL)</f>
        <v>-740.10470570210225</v>
      </c>
      <c r="H50" s="30"/>
      <c r="I50" s="30"/>
      <c r="J50" s="30"/>
      <c r="K50" s="30"/>
      <c r="L50" s="29">
        <v>4755103</v>
      </c>
      <c r="M50" s="30">
        <v>5296700</v>
      </c>
      <c r="N50" s="30"/>
      <c r="O50" s="30">
        <v>471044</v>
      </c>
      <c r="P50" s="30">
        <v>524695</v>
      </c>
      <c r="Q50" s="30"/>
      <c r="R50" s="30">
        <v>574882</v>
      </c>
      <c r="S50" s="30">
        <v>640360</v>
      </c>
      <c r="T50" s="30"/>
      <c r="U50" s="30">
        <v>0</v>
      </c>
      <c r="V50" s="31">
        <v>0</v>
      </c>
    </row>
    <row r="51" spans="1:22">
      <c r="A51" s="1" t="s">
        <v>72</v>
      </c>
      <c r="B51" s="29">
        <v>-6.4242251894057745E-3</v>
      </c>
      <c r="C51" s="30">
        <v>-3.8593369701484335</v>
      </c>
      <c r="D51" s="30">
        <v>1.0000596517168715E-2</v>
      </c>
      <c r="E51" s="30">
        <v>-287.53087620949373</v>
      </c>
      <c r="F51" s="30">
        <v>0</v>
      </c>
      <c r="G51" s="31">
        <f>SUM(UT_FINANCIAL)</f>
        <v>-291.38663680831439</v>
      </c>
      <c r="H51" s="30"/>
      <c r="I51" s="30"/>
      <c r="J51" s="30"/>
      <c r="K51" s="30"/>
      <c r="L51" s="29">
        <v>5025000</v>
      </c>
      <c r="M51" s="30">
        <v>5196038</v>
      </c>
      <c r="N51" s="30"/>
      <c r="O51" s="30">
        <v>3758000</v>
      </c>
      <c r="P51" s="30">
        <v>3886064</v>
      </c>
      <c r="Q51" s="30"/>
      <c r="R51" s="30">
        <v>0</v>
      </c>
      <c r="S51" s="30">
        <v>0</v>
      </c>
      <c r="T51" s="30"/>
      <c r="U51" s="30">
        <v>3050000</v>
      </c>
      <c r="V51" s="31">
        <v>4549252</v>
      </c>
    </row>
    <row r="52" spans="1:22">
      <c r="A52" s="1" t="s">
        <v>73</v>
      </c>
      <c r="B52" s="29">
        <v>-2.0785353827115216E-3</v>
      </c>
      <c r="C52" s="30">
        <v>-1.4156587453053362</v>
      </c>
      <c r="D52" s="30">
        <v>0</v>
      </c>
      <c r="E52" s="30">
        <v>0</v>
      </c>
      <c r="F52" s="30">
        <v>0</v>
      </c>
      <c r="G52" s="31">
        <f>SUM(VT_FINANCIAL)</f>
        <v>-1.4177372806880477</v>
      </c>
      <c r="H52" s="30"/>
      <c r="I52" s="30"/>
      <c r="J52" s="30"/>
      <c r="K52" s="30"/>
      <c r="L52" s="29"/>
      <c r="M52" s="30"/>
      <c r="N52" s="30"/>
      <c r="O52" s="30"/>
      <c r="P52" s="30"/>
      <c r="Q52" s="30"/>
      <c r="R52" s="30"/>
      <c r="S52" s="30"/>
      <c r="T52" s="30"/>
      <c r="U52" s="30"/>
      <c r="V52" s="31"/>
    </row>
    <row r="53" spans="1:22">
      <c r="A53" s="1" t="s">
        <v>74</v>
      </c>
      <c r="B53" s="29">
        <v>-141.17865888262168</v>
      </c>
      <c r="C53" s="30">
        <v>-23.415597139974125</v>
      </c>
      <c r="D53" s="30">
        <v>-3.5385291934275523E-7</v>
      </c>
      <c r="E53" s="30">
        <v>0</v>
      </c>
      <c r="F53" s="30">
        <v>0</v>
      </c>
      <c r="G53" s="31">
        <f>SUM(VA_FINANCIAL)</f>
        <v>-164.59425637644873</v>
      </c>
      <c r="H53" s="30"/>
      <c r="I53" s="30"/>
      <c r="J53" s="30"/>
      <c r="K53" s="30"/>
      <c r="L53" s="29">
        <v>19000</v>
      </c>
      <c r="M53" s="30">
        <v>0</v>
      </c>
      <c r="N53" s="30"/>
      <c r="O53" s="30">
        <v>13000</v>
      </c>
      <c r="P53" s="30">
        <v>0</v>
      </c>
      <c r="Q53" s="30"/>
      <c r="R53" s="30">
        <v>1200</v>
      </c>
      <c r="S53" s="30">
        <v>0</v>
      </c>
      <c r="T53" s="30"/>
      <c r="U53" s="30">
        <v>0</v>
      </c>
      <c r="V53" s="31">
        <v>0</v>
      </c>
    </row>
    <row r="54" spans="1:22">
      <c r="A54" s="1" t="s">
        <v>75</v>
      </c>
      <c r="B54" s="29">
        <v>-1.8473417615922472E-2</v>
      </c>
      <c r="C54" s="30">
        <v>-28.808280171797378</v>
      </c>
      <c r="D54" s="30">
        <v>0</v>
      </c>
      <c r="E54" s="30">
        <v>-213.65146271022968</v>
      </c>
      <c r="F54" s="30">
        <v>0</v>
      </c>
      <c r="G54" s="31">
        <f>SUM(WA_FINANCIAL)</f>
        <v>-242.47821629964298</v>
      </c>
      <c r="H54" s="30"/>
      <c r="I54" s="30"/>
      <c r="J54" s="30"/>
      <c r="K54" s="30"/>
      <c r="L54" s="29">
        <v>100000</v>
      </c>
      <c r="M54" s="30">
        <v>50733</v>
      </c>
      <c r="N54" s="30"/>
      <c r="O54" s="30">
        <v>150000</v>
      </c>
      <c r="P54" s="30">
        <v>210019</v>
      </c>
      <c r="Q54" s="30"/>
      <c r="R54" s="30">
        <v>200000</v>
      </c>
      <c r="S54" s="30">
        <v>201730</v>
      </c>
      <c r="T54" s="30"/>
      <c r="U54" s="30">
        <v>4800000</v>
      </c>
      <c r="V54" s="31">
        <v>5000000</v>
      </c>
    </row>
    <row r="55" spans="1:22">
      <c r="A55" s="1" t="s">
        <v>76</v>
      </c>
      <c r="B55" s="29">
        <v>-1.9531511476600372E-2</v>
      </c>
      <c r="C55" s="30">
        <v>-1.2720615045200248</v>
      </c>
      <c r="D55" s="30">
        <v>-9.9977969323920054E-3</v>
      </c>
      <c r="E55" s="30">
        <v>0</v>
      </c>
      <c r="F55" s="30">
        <v>0</v>
      </c>
      <c r="G55" s="31">
        <f>SUM(WV_FINANCIAL)</f>
        <v>-1.3015908129290172</v>
      </c>
      <c r="H55" s="30"/>
      <c r="I55" s="30"/>
      <c r="J55" s="30"/>
      <c r="K55" s="30"/>
      <c r="L55" s="29"/>
      <c r="M55" s="30"/>
      <c r="N55" s="30"/>
      <c r="O55" s="30"/>
      <c r="P55" s="30"/>
      <c r="Q55" s="30"/>
      <c r="R55" s="30"/>
      <c r="S55" s="30"/>
      <c r="T55" s="30"/>
      <c r="U55" s="30"/>
      <c r="V55" s="31"/>
    </row>
    <row r="56" spans="1:22">
      <c r="A56" s="1" t="s">
        <v>77</v>
      </c>
      <c r="B56" s="29">
        <v>-35.023059659462888</v>
      </c>
      <c r="C56" s="30">
        <v>-23.579719660599949</v>
      </c>
      <c r="D56" s="30">
        <v>-9.9975971917309562E-3</v>
      </c>
      <c r="E56" s="30">
        <v>0</v>
      </c>
      <c r="F56" s="30">
        <v>0</v>
      </c>
      <c r="G56" s="31">
        <f>SUM(WI_FINANCIAL)</f>
        <v>-58.612776917254564</v>
      </c>
      <c r="H56" s="30"/>
      <c r="I56" s="30"/>
      <c r="J56" s="30"/>
      <c r="K56" s="30"/>
      <c r="L56" s="29"/>
      <c r="M56" s="30"/>
      <c r="N56" s="30"/>
      <c r="O56" s="30"/>
      <c r="P56" s="30"/>
      <c r="Q56" s="30"/>
      <c r="R56" s="30"/>
      <c r="S56" s="30"/>
      <c r="T56" s="30"/>
      <c r="U56" s="30"/>
      <c r="V56" s="31"/>
    </row>
    <row r="57" spans="1:22">
      <c r="A57" s="1" t="s">
        <v>78</v>
      </c>
      <c r="B57" s="29">
        <v>-3.8819517030646011E-3</v>
      </c>
      <c r="C57" s="30">
        <v>-1.2212208017117518</v>
      </c>
      <c r="D57" s="30">
        <v>-2.4996536879180111E-6</v>
      </c>
      <c r="E57" s="30">
        <v>0</v>
      </c>
      <c r="F57" s="30">
        <v>0</v>
      </c>
      <c r="G57" s="31">
        <f>SUM(WY_FINANCIAL)</f>
        <v>-1.2251052530685043</v>
      </c>
      <c r="H57" s="30"/>
      <c r="I57" s="30"/>
      <c r="J57" s="30"/>
      <c r="K57" s="30"/>
      <c r="L57" s="29"/>
      <c r="M57" s="30"/>
      <c r="N57" s="30"/>
      <c r="O57" s="30"/>
      <c r="P57" s="30"/>
      <c r="Q57" s="30"/>
      <c r="R57" s="30"/>
      <c r="S57" s="30"/>
      <c r="T57" s="30"/>
      <c r="U57" s="30"/>
      <c r="V57" s="31"/>
    </row>
    <row r="58" spans="1:22">
      <c r="A58" s="1" t="s">
        <v>79</v>
      </c>
      <c r="B58" s="29">
        <v>0</v>
      </c>
      <c r="C58" s="30">
        <v>0</v>
      </c>
      <c r="D58" s="30">
        <v>-1.6421667972321499E-2</v>
      </c>
      <c r="E58" s="30">
        <v>0</v>
      </c>
      <c r="F58" s="30">
        <v>0</v>
      </c>
      <c r="G58" s="31">
        <f>SUM(OT_FINANCIAL)</f>
        <v>-1.6421667972321499E-2</v>
      </c>
      <c r="H58" s="30"/>
      <c r="I58" s="30"/>
      <c r="J58" s="30"/>
      <c r="K58" s="30"/>
      <c r="L58" s="29"/>
      <c r="M58" s="30"/>
      <c r="N58" s="30"/>
      <c r="O58" s="30"/>
      <c r="P58" s="30"/>
      <c r="Q58" s="30"/>
      <c r="R58" s="30"/>
      <c r="S58" s="30"/>
      <c r="T58" s="30"/>
      <c r="U58" s="30"/>
      <c r="V58" s="31"/>
    </row>
    <row r="59" spans="1:22">
      <c r="B59" s="29"/>
      <c r="C59" s="30"/>
      <c r="D59" s="30"/>
      <c r="E59" s="30"/>
      <c r="F59" s="30"/>
      <c r="G59" s="31"/>
      <c r="H59" s="30"/>
      <c r="I59" s="30"/>
      <c r="J59" s="30"/>
      <c r="K59" s="30"/>
      <c r="L59" s="29"/>
      <c r="M59" s="30"/>
      <c r="N59" s="30"/>
      <c r="O59" s="30"/>
      <c r="P59" s="30"/>
      <c r="Q59" s="30"/>
      <c r="R59" s="30"/>
      <c r="S59" s="30"/>
      <c r="T59" s="30"/>
      <c r="U59" s="30"/>
      <c r="V59" s="31"/>
    </row>
    <row r="60" spans="1:22">
      <c r="A60" s="1" t="s">
        <v>8</v>
      </c>
      <c r="B60" s="29">
        <f>SUM(LIFE)</f>
        <v>-1213.1284319363447</v>
      </c>
      <c r="C60" s="30">
        <f>SUM(ALLOCATED)</f>
        <v>-2954.8541946554742</v>
      </c>
      <c r="D60" s="30">
        <f>SUM(HEALTH)</f>
        <v>-1.3039194318268192E-2</v>
      </c>
      <c r="E60" s="30">
        <f>SUM(UNALLOCATED)</f>
        <v>-12459.080375238889</v>
      </c>
      <c r="F60" s="30">
        <f>SUM(LTC)</f>
        <v>0</v>
      </c>
      <c r="G60" s="31">
        <f>SUM(ALL_BLOCKS)</f>
        <v>-16627.076041025033</v>
      </c>
      <c r="H60" s="30"/>
      <c r="I60" s="30"/>
      <c r="J60" s="30"/>
      <c r="K60" s="30"/>
      <c r="L60" s="29">
        <f>SUM(LIFE_CALLED)</f>
        <v>11306785</v>
      </c>
      <c r="M60" s="30">
        <f>SUM(LIFE_REFUNDED)</f>
        <v>10875478</v>
      </c>
      <c r="N60" s="30"/>
      <c r="O60" s="30">
        <f>SUM(ALLOC_CALLED)</f>
        <v>44055596</v>
      </c>
      <c r="P60" s="30">
        <f>SUM(ALLOC_REFUNDED)</f>
        <v>26201957.009999998</v>
      </c>
      <c r="Q60" s="30"/>
      <c r="R60" s="30">
        <f>SUM(HEALTH_CALLED)</f>
        <v>895082</v>
      </c>
      <c r="S60" s="30">
        <f>SUM(HEALTH_REFUNDED)</f>
        <v>960837</v>
      </c>
      <c r="T60" s="30"/>
      <c r="U60" s="30">
        <f>SUM(UNALLOC_CALLED)</f>
        <v>108553958</v>
      </c>
      <c r="V60" s="31">
        <f>SUM(UNALLOC_REFUNDED)</f>
        <v>75903888.789999992</v>
      </c>
    </row>
    <row r="61" spans="1:22" ht="5.0999999999999996" customHeight="1">
      <c r="B61" s="8"/>
      <c r="G61" s="11"/>
      <c r="L61" s="8"/>
      <c r="V61" s="11"/>
    </row>
    <row r="62" spans="1:22">
      <c r="B62" s="8"/>
      <c r="G62" s="11"/>
      <c r="L62" s="122" t="s">
        <v>80</v>
      </c>
      <c r="M62" s="123"/>
      <c r="N62" s="123"/>
      <c r="O62" s="123"/>
      <c r="P62" s="123"/>
      <c r="Q62" s="123"/>
      <c r="R62" s="123"/>
      <c r="S62" s="123"/>
      <c r="T62" s="123"/>
      <c r="U62" s="123"/>
      <c r="V62" s="124"/>
    </row>
    <row r="63" spans="1:22">
      <c r="B63" s="8"/>
      <c r="G63" s="11"/>
      <c r="L63" s="125"/>
      <c r="M63" s="123"/>
      <c r="N63" s="123"/>
      <c r="O63" s="123"/>
      <c r="P63" s="123"/>
      <c r="Q63" s="123"/>
      <c r="R63" s="123"/>
      <c r="S63" s="123"/>
      <c r="T63" s="123"/>
      <c r="U63" s="123"/>
      <c r="V63" s="124"/>
    </row>
    <row r="64" spans="1:22">
      <c r="B64" s="10"/>
      <c r="C64" s="7"/>
      <c r="D64" s="7"/>
      <c r="E64" s="7"/>
      <c r="F64" s="7"/>
      <c r="G64" s="13"/>
      <c r="L64" s="126"/>
      <c r="M64" s="127"/>
      <c r="N64" s="127"/>
      <c r="O64" s="127"/>
      <c r="P64" s="127"/>
      <c r="Q64" s="127"/>
      <c r="R64" s="127"/>
      <c r="S64" s="127"/>
      <c r="T64" s="127"/>
      <c r="U64" s="127"/>
      <c r="V64" s="128"/>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V64"/>
  <sheetViews>
    <sheetView zoomScale="75" workbookViewId="0">
      <selection sqref="A1:XFD1048576"/>
    </sheetView>
  </sheetViews>
  <sheetFormatPr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129" t="s">
        <v>100</v>
      </c>
      <c r="B1" s="123"/>
      <c r="C1" s="123"/>
      <c r="D1" s="123"/>
      <c r="E1" s="123"/>
      <c r="F1" s="123"/>
      <c r="G1" s="123"/>
    </row>
    <row r="3" spans="1:22">
      <c r="B3" s="130" t="s">
        <v>1</v>
      </c>
      <c r="C3" s="131"/>
      <c r="D3" s="131"/>
      <c r="E3" s="131"/>
      <c r="F3" s="131"/>
      <c r="G3" s="132"/>
      <c r="L3" s="133" t="s">
        <v>2</v>
      </c>
      <c r="M3" s="134"/>
      <c r="N3" s="134"/>
      <c r="O3" s="134"/>
      <c r="P3" s="134"/>
      <c r="Q3" s="134"/>
      <c r="R3" s="134"/>
      <c r="S3" s="134"/>
      <c r="T3" s="134"/>
      <c r="U3" s="134"/>
      <c r="V3" s="135"/>
    </row>
    <row r="4" spans="1:22">
      <c r="B4" s="8"/>
      <c r="G4" s="11"/>
      <c r="L4" s="136" t="s">
        <v>3</v>
      </c>
      <c r="M4" s="137"/>
      <c r="N4" s="4"/>
      <c r="O4" s="138" t="s">
        <v>4</v>
      </c>
      <c r="P4" s="137"/>
      <c r="Q4" s="4"/>
      <c r="R4" s="138" t="s">
        <v>5</v>
      </c>
      <c r="S4" s="137"/>
      <c r="T4" s="4"/>
      <c r="U4" s="138" t="s">
        <v>6</v>
      </c>
      <c r="V4" s="139"/>
    </row>
    <row r="5" spans="1:22" ht="60" customHeight="1">
      <c r="B5" s="9" t="s">
        <v>3</v>
      </c>
      <c r="C5" s="5" t="s">
        <v>4</v>
      </c>
      <c r="D5" s="5" t="s">
        <v>5</v>
      </c>
      <c r="E5" s="5" t="s">
        <v>6</v>
      </c>
      <c r="F5" s="5" t="s">
        <v>7</v>
      </c>
      <c r="G5" s="12" t="s">
        <v>8</v>
      </c>
      <c r="L5" s="15" t="s">
        <v>9</v>
      </c>
      <c r="M5" s="14" t="s">
        <v>10</v>
      </c>
      <c r="N5" s="14"/>
      <c r="O5" s="14" t="s">
        <v>9</v>
      </c>
      <c r="P5" s="14" t="s">
        <v>10</v>
      </c>
      <c r="Q5" s="14"/>
      <c r="R5" s="14" t="s">
        <v>9</v>
      </c>
      <c r="S5" s="14" t="s">
        <v>10</v>
      </c>
      <c r="T5" s="14"/>
      <c r="U5" s="14" t="s">
        <v>9</v>
      </c>
      <c r="V5" s="16" t="s">
        <v>10</v>
      </c>
    </row>
    <row r="6" spans="1:22">
      <c r="A6" s="1" t="s">
        <v>11</v>
      </c>
      <c r="B6" s="29">
        <v>816316.35869569983</v>
      </c>
      <c r="C6" s="30">
        <v>151402.52384007059</v>
      </c>
      <c r="D6" s="30">
        <v>15343.277075500904</v>
      </c>
      <c r="E6" s="30">
        <v>0</v>
      </c>
      <c r="F6" s="30">
        <v>0</v>
      </c>
      <c r="G6" s="31">
        <f>SUM(AL_FINANCIAL)</f>
        <v>983062.15961127135</v>
      </c>
      <c r="H6" s="30"/>
      <c r="I6" s="30"/>
      <c r="J6" s="30"/>
      <c r="K6" s="30"/>
      <c r="L6" s="29">
        <v>2000000</v>
      </c>
      <c r="M6" s="30">
        <v>0</v>
      </c>
      <c r="N6" s="30"/>
      <c r="O6" s="30">
        <v>1401485</v>
      </c>
      <c r="P6" s="30">
        <v>0</v>
      </c>
      <c r="Q6" s="30"/>
      <c r="R6" s="30">
        <v>120000</v>
      </c>
      <c r="S6" s="30">
        <v>0</v>
      </c>
      <c r="T6" s="30"/>
      <c r="U6" s="30">
        <v>0</v>
      </c>
      <c r="V6" s="31">
        <v>0</v>
      </c>
    </row>
    <row r="7" spans="1:22">
      <c r="A7" s="1" t="s">
        <v>12</v>
      </c>
      <c r="B7" s="29">
        <v>0</v>
      </c>
      <c r="C7" s="30">
        <v>0</v>
      </c>
      <c r="D7" s="30">
        <v>0</v>
      </c>
      <c r="E7" s="30">
        <v>0</v>
      </c>
      <c r="F7" s="30">
        <v>0</v>
      </c>
      <c r="G7" s="31">
        <f>SUM(AK_FINANCIAL)</f>
        <v>0</v>
      </c>
      <c r="H7" s="30"/>
      <c r="I7" s="32"/>
      <c r="J7" s="33"/>
      <c r="K7" s="30"/>
      <c r="L7" s="29"/>
      <c r="M7" s="30"/>
      <c r="N7" s="30"/>
      <c r="O7" s="30"/>
      <c r="P7" s="30"/>
      <c r="Q7" s="30"/>
      <c r="R7" s="30"/>
      <c r="S7" s="30"/>
      <c r="T7" s="30"/>
      <c r="U7" s="30"/>
      <c r="V7" s="31"/>
    </row>
    <row r="8" spans="1:22">
      <c r="A8" s="1" t="s">
        <v>13</v>
      </c>
      <c r="B8" s="29">
        <v>0</v>
      </c>
      <c r="C8" s="30">
        <v>0</v>
      </c>
      <c r="D8" s="30">
        <v>0</v>
      </c>
      <c r="E8" s="30">
        <v>0</v>
      </c>
      <c r="F8" s="30">
        <v>0</v>
      </c>
      <c r="G8" s="31">
        <f>SUM(AZ_FINANCIAL)</f>
        <v>0</v>
      </c>
      <c r="H8" s="30"/>
      <c r="I8" s="34" t="s">
        <v>14</v>
      </c>
      <c r="J8" s="35"/>
      <c r="K8" s="30"/>
      <c r="L8" s="29"/>
      <c r="M8" s="30"/>
      <c r="N8" s="30"/>
      <c r="O8" s="30"/>
      <c r="P8" s="30"/>
      <c r="Q8" s="30"/>
      <c r="R8" s="30"/>
      <c r="S8" s="30"/>
      <c r="T8" s="30"/>
      <c r="U8" s="30"/>
      <c r="V8" s="31"/>
    </row>
    <row r="9" spans="1:22">
      <c r="A9" s="1" t="s">
        <v>15</v>
      </c>
      <c r="B9" s="29">
        <v>0</v>
      </c>
      <c r="C9" s="30">
        <v>0</v>
      </c>
      <c r="D9" s="30">
        <v>0</v>
      </c>
      <c r="E9" s="30">
        <v>0</v>
      </c>
      <c r="F9" s="30">
        <v>0</v>
      </c>
      <c r="G9" s="31">
        <f>SUM(AR_FINANCIAL)</f>
        <v>0</v>
      </c>
      <c r="H9" s="30"/>
      <c r="I9" s="34"/>
      <c r="J9" s="35"/>
      <c r="K9" s="30"/>
      <c r="L9" s="29"/>
      <c r="M9" s="30"/>
      <c r="N9" s="30"/>
      <c r="O9" s="30"/>
      <c r="P9" s="30"/>
      <c r="Q9" s="30"/>
      <c r="R9" s="30"/>
      <c r="S9" s="30"/>
      <c r="T9" s="30"/>
      <c r="U9" s="30"/>
      <c r="V9" s="31"/>
    </row>
    <row r="10" spans="1:22">
      <c r="A10" s="1" t="s">
        <v>16</v>
      </c>
      <c r="B10" s="29">
        <v>0</v>
      </c>
      <c r="C10" s="30">
        <v>0</v>
      </c>
      <c r="D10" s="30">
        <v>0</v>
      </c>
      <c r="E10" s="30">
        <v>0</v>
      </c>
      <c r="F10" s="30">
        <v>0</v>
      </c>
      <c r="G10" s="31">
        <f>SUM(CA_FINANCIAL)</f>
        <v>0</v>
      </c>
      <c r="H10" s="30"/>
      <c r="I10" s="34" t="s">
        <v>17</v>
      </c>
      <c r="J10" s="35">
        <v>29134211.304266348</v>
      </c>
      <c r="K10" s="30"/>
      <c r="L10" s="29"/>
      <c r="M10" s="30"/>
      <c r="N10" s="30"/>
      <c r="O10" s="30"/>
      <c r="P10" s="30"/>
      <c r="Q10" s="30"/>
      <c r="R10" s="30"/>
      <c r="S10" s="30"/>
      <c r="T10" s="30"/>
      <c r="U10" s="30"/>
      <c r="V10" s="31"/>
    </row>
    <row r="11" spans="1:22">
      <c r="A11" s="1" t="s">
        <v>18</v>
      </c>
      <c r="B11" s="29">
        <v>0</v>
      </c>
      <c r="C11" s="30">
        <v>0</v>
      </c>
      <c r="D11" s="30">
        <v>0</v>
      </c>
      <c r="E11" s="30">
        <v>0</v>
      </c>
      <c r="F11" s="30">
        <v>0</v>
      </c>
      <c r="G11" s="31">
        <f>SUM(CO_FINANCIAL)</f>
        <v>0</v>
      </c>
      <c r="H11" s="30"/>
      <c r="I11" s="34"/>
      <c r="J11" s="35"/>
      <c r="K11" s="30"/>
      <c r="L11" s="29"/>
      <c r="M11" s="30"/>
      <c r="N11" s="30"/>
      <c r="O11" s="30"/>
      <c r="P11" s="30"/>
      <c r="Q11" s="30"/>
      <c r="R11" s="30"/>
      <c r="S11" s="30"/>
      <c r="T11" s="30"/>
      <c r="U11" s="30"/>
      <c r="V11" s="31"/>
    </row>
    <row r="12" spans="1:22">
      <c r="A12" s="1" t="s">
        <v>19</v>
      </c>
      <c r="B12" s="29">
        <v>0</v>
      </c>
      <c r="C12" s="30">
        <v>0</v>
      </c>
      <c r="D12" s="30">
        <v>0</v>
      </c>
      <c r="E12" s="30">
        <v>0</v>
      </c>
      <c r="F12" s="30">
        <v>0</v>
      </c>
      <c r="G12" s="31">
        <f>SUM(CT_FINANCIAL)</f>
        <v>0</v>
      </c>
      <c r="H12" s="30"/>
      <c r="I12" s="34" t="s">
        <v>20</v>
      </c>
      <c r="J12" s="35"/>
      <c r="K12" s="30"/>
      <c r="L12" s="29"/>
      <c r="M12" s="30"/>
      <c r="N12" s="30"/>
      <c r="O12" s="30"/>
      <c r="P12" s="30"/>
      <c r="Q12" s="30"/>
      <c r="R12" s="30"/>
      <c r="S12" s="30"/>
      <c r="T12" s="30"/>
      <c r="U12" s="30"/>
      <c r="V12" s="31"/>
    </row>
    <row r="13" spans="1:22">
      <c r="A13" s="1" t="s">
        <v>21</v>
      </c>
      <c r="B13" s="29">
        <v>0</v>
      </c>
      <c r="C13" s="30">
        <v>0</v>
      </c>
      <c r="D13" s="30">
        <v>0</v>
      </c>
      <c r="E13" s="30">
        <v>0</v>
      </c>
      <c r="F13" s="30">
        <v>0</v>
      </c>
      <c r="G13" s="31">
        <f>SUM(DE_FINANCIAL)</f>
        <v>0</v>
      </c>
      <c r="H13" s="30"/>
      <c r="I13" s="34" t="s">
        <v>22</v>
      </c>
      <c r="J13" s="35">
        <v>0</v>
      </c>
      <c r="K13" s="30"/>
      <c r="L13" s="29"/>
      <c r="M13" s="30"/>
      <c r="N13" s="30"/>
      <c r="O13" s="30"/>
      <c r="P13" s="30"/>
      <c r="Q13" s="30"/>
      <c r="R13" s="30"/>
      <c r="S13" s="30"/>
      <c r="T13" s="30"/>
      <c r="U13" s="30"/>
      <c r="V13" s="31"/>
    </row>
    <row r="14" spans="1:22">
      <c r="A14" s="1" t="s">
        <v>23</v>
      </c>
      <c r="B14" s="29">
        <v>0</v>
      </c>
      <c r="C14" s="30">
        <v>0</v>
      </c>
      <c r="D14" s="30">
        <v>0</v>
      </c>
      <c r="E14" s="30">
        <v>0</v>
      </c>
      <c r="F14" s="30">
        <v>0</v>
      </c>
      <c r="G14" s="31">
        <f>SUM(DC_FINANCIAL)</f>
        <v>0</v>
      </c>
      <c r="H14" s="30"/>
      <c r="I14" s="34" t="s">
        <v>24</v>
      </c>
      <c r="J14" s="35">
        <v>0</v>
      </c>
      <c r="K14" s="30"/>
      <c r="L14" s="29"/>
      <c r="M14" s="30"/>
      <c r="N14" s="30"/>
      <c r="O14" s="30"/>
      <c r="P14" s="30"/>
      <c r="Q14" s="30"/>
      <c r="R14" s="30"/>
      <c r="S14" s="30"/>
      <c r="T14" s="30"/>
      <c r="U14" s="30"/>
      <c r="V14" s="31"/>
    </row>
    <row r="15" spans="1:22">
      <c r="A15" s="1" t="s">
        <v>25</v>
      </c>
      <c r="B15" s="29">
        <v>68266.373293886412</v>
      </c>
      <c r="C15" s="30">
        <v>0</v>
      </c>
      <c r="D15" s="30">
        <v>244.23820187747748</v>
      </c>
      <c r="E15" s="30">
        <v>0</v>
      </c>
      <c r="F15" s="30">
        <v>0</v>
      </c>
      <c r="G15" s="31">
        <f>SUM(FL_FINANCIAL)</f>
        <v>68510.611495763893</v>
      </c>
      <c r="H15" s="30"/>
      <c r="I15" s="34" t="s">
        <v>26</v>
      </c>
      <c r="J15" s="35">
        <v>499865.34</v>
      </c>
      <c r="K15" s="30"/>
      <c r="L15" s="29"/>
      <c r="M15" s="30"/>
      <c r="N15" s="30"/>
      <c r="O15" s="30"/>
      <c r="P15" s="30"/>
      <c r="Q15" s="30"/>
      <c r="R15" s="30"/>
      <c r="S15" s="30"/>
      <c r="T15" s="30"/>
      <c r="U15" s="30"/>
      <c r="V15" s="31"/>
    </row>
    <row r="16" spans="1:22">
      <c r="A16" s="1" t="s">
        <v>27</v>
      </c>
      <c r="B16" s="29">
        <v>0</v>
      </c>
      <c r="C16" s="30">
        <v>0</v>
      </c>
      <c r="D16" s="30">
        <v>0</v>
      </c>
      <c r="E16" s="30">
        <v>0</v>
      </c>
      <c r="F16" s="30">
        <v>0</v>
      </c>
      <c r="G16" s="31">
        <f>SUM(GA_FINANCIAL)</f>
        <v>0</v>
      </c>
      <c r="H16" s="30"/>
      <c r="I16" s="34" t="s">
        <v>28</v>
      </c>
      <c r="J16" s="35">
        <v>0</v>
      </c>
      <c r="K16" s="30"/>
      <c r="L16" s="29"/>
      <c r="M16" s="30"/>
      <c r="N16" s="30"/>
      <c r="O16" s="30"/>
      <c r="P16" s="30"/>
      <c r="Q16" s="30"/>
      <c r="R16" s="30"/>
      <c r="S16" s="30"/>
      <c r="T16" s="30"/>
      <c r="U16" s="30"/>
      <c r="V16" s="31"/>
    </row>
    <row r="17" spans="1:22">
      <c r="A17" s="1" t="s">
        <v>29</v>
      </c>
      <c r="B17" s="29">
        <v>0</v>
      </c>
      <c r="C17" s="30">
        <v>0</v>
      </c>
      <c r="D17" s="30">
        <v>0</v>
      </c>
      <c r="E17" s="30">
        <v>0</v>
      </c>
      <c r="F17" s="30">
        <v>0</v>
      </c>
      <c r="G17" s="31">
        <f>SUM(HI_FINANCIAL)</f>
        <v>0</v>
      </c>
      <c r="H17" s="30"/>
      <c r="I17" s="34"/>
      <c r="J17" s="35"/>
      <c r="K17" s="30"/>
      <c r="L17" s="29"/>
      <c r="M17" s="30"/>
      <c r="N17" s="30"/>
      <c r="O17" s="30"/>
      <c r="P17" s="30"/>
      <c r="Q17" s="30"/>
      <c r="R17" s="30"/>
      <c r="S17" s="30"/>
      <c r="T17" s="30"/>
      <c r="U17" s="30"/>
      <c r="V17" s="31"/>
    </row>
    <row r="18" spans="1:22">
      <c r="A18" s="1" t="s">
        <v>30</v>
      </c>
      <c r="B18" s="29">
        <v>0</v>
      </c>
      <c r="C18" s="30">
        <v>0</v>
      </c>
      <c r="D18" s="30">
        <v>0</v>
      </c>
      <c r="E18" s="30">
        <v>0</v>
      </c>
      <c r="F18" s="30">
        <v>0</v>
      </c>
      <c r="G18" s="31">
        <f>SUM(ID_FINANCIAL)</f>
        <v>0</v>
      </c>
      <c r="H18" s="30"/>
      <c r="I18" s="34" t="s">
        <v>31</v>
      </c>
      <c r="J18" s="35"/>
      <c r="K18" s="30"/>
      <c r="L18" s="29"/>
      <c r="M18" s="30"/>
      <c r="N18" s="30"/>
      <c r="O18" s="30"/>
      <c r="P18" s="30"/>
      <c r="Q18" s="30"/>
      <c r="R18" s="30"/>
      <c r="S18" s="30"/>
      <c r="T18" s="30"/>
      <c r="U18" s="30"/>
      <c r="V18" s="31"/>
    </row>
    <row r="19" spans="1:22">
      <c r="A19" s="1" t="s">
        <v>32</v>
      </c>
      <c r="B19" s="29">
        <v>1472982.1189739003</v>
      </c>
      <c r="C19" s="30">
        <v>0</v>
      </c>
      <c r="D19" s="30">
        <v>0</v>
      </c>
      <c r="E19" s="30">
        <v>0</v>
      </c>
      <c r="F19" s="30">
        <v>0</v>
      </c>
      <c r="G19" s="31">
        <f>SUM(IL_FINANCIAL)</f>
        <v>1472982.1189739003</v>
      </c>
      <c r="H19" s="30"/>
      <c r="I19" s="34" t="s">
        <v>33</v>
      </c>
      <c r="J19" s="35">
        <v>17500000</v>
      </c>
      <c r="K19" s="30"/>
      <c r="L19" s="29">
        <v>2000000</v>
      </c>
      <c r="M19" s="30">
        <v>685800</v>
      </c>
      <c r="N19" s="30"/>
      <c r="O19" s="30">
        <v>0</v>
      </c>
      <c r="P19" s="30">
        <v>0</v>
      </c>
      <c r="Q19" s="30"/>
      <c r="R19" s="30">
        <v>0</v>
      </c>
      <c r="S19" s="30">
        <v>0</v>
      </c>
      <c r="T19" s="30"/>
      <c r="U19" s="30">
        <v>0</v>
      </c>
      <c r="V19" s="31">
        <v>0</v>
      </c>
    </row>
    <row r="20" spans="1:22">
      <c r="A20" s="1" t="s">
        <v>34</v>
      </c>
      <c r="B20" s="29">
        <v>879944.19468794228</v>
      </c>
      <c r="C20" s="30">
        <v>0</v>
      </c>
      <c r="D20" s="30">
        <v>156.11487679448868</v>
      </c>
      <c r="E20" s="30">
        <v>0</v>
      </c>
      <c r="F20" s="30">
        <v>0</v>
      </c>
      <c r="G20" s="31">
        <f>SUM(IN_FINANCIAL)</f>
        <v>880100.30956473679</v>
      </c>
      <c r="H20" s="30"/>
      <c r="I20" s="34" t="s">
        <v>35</v>
      </c>
      <c r="J20" s="35">
        <v>-2163321.5408549192</v>
      </c>
      <c r="K20" s="30"/>
      <c r="L20" s="29">
        <v>997214</v>
      </c>
      <c r="M20" s="30">
        <v>0</v>
      </c>
      <c r="N20" s="30"/>
      <c r="O20" s="30">
        <v>0</v>
      </c>
      <c r="P20" s="30">
        <v>0</v>
      </c>
      <c r="Q20" s="30"/>
      <c r="R20" s="30">
        <v>0</v>
      </c>
      <c r="S20" s="30">
        <v>0</v>
      </c>
      <c r="T20" s="30"/>
      <c r="U20" s="30">
        <v>0</v>
      </c>
      <c r="V20" s="31">
        <v>0</v>
      </c>
    </row>
    <row r="21" spans="1:22">
      <c r="A21" s="1" t="s">
        <v>36</v>
      </c>
      <c r="B21" s="29">
        <v>61626.433643122728</v>
      </c>
      <c r="C21" s="30">
        <v>0</v>
      </c>
      <c r="D21" s="30">
        <v>16.150190079001373</v>
      </c>
      <c r="E21" s="30">
        <v>0</v>
      </c>
      <c r="F21" s="30">
        <v>0</v>
      </c>
      <c r="G21" s="31">
        <f>SUM(IA_FINANCIAL)</f>
        <v>61642.58383320173</v>
      </c>
      <c r="H21" s="30"/>
      <c r="I21" s="34" t="s">
        <v>37</v>
      </c>
      <c r="J21" s="35"/>
      <c r="K21" s="30"/>
      <c r="L21" s="29"/>
      <c r="M21" s="30"/>
      <c r="N21" s="30"/>
      <c r="O21" s="30"/>
      <c r="P21" s="30"/>
      <c r="Q21" s="30"/>
      <c r="R21" s="30"/>
      <c r="S21" s="30"/>
      <c r="T21" s="30"/>
      <c r="U21" s="30"/>
      <c r="V21" s="31"/>
    </row>
    <row r="22" spans="1:22">
      <c r="A22" s="1" t="s">
        <v>38</v>
      </c>
      <c r="B22" s="29">
        <v>0</v>
      </c>
      <c r="C22" s="30">
        <v>0</v>
      </c>
      <c r="D22" s="30">
        <v>0</v>
      </c>
      <c r="E22" s="30">
        <v>0</v>
      </c>
      <c r="F22" s="30">
        <v>0</v>
      </c>
      <c r="G22" s="31">
        <f>SUM(KS_FINANCIAL)</f>
        <v>0</v>
      </c>
      <c r="H22" s="30"/>
      <c r="I22" s="34" t="s">
        <v>39</v>
      </c>
      <c r="J22" s="35">
        <v>3921282.799993061</v>
      </c>
      <c r="K22" s="30"/>
      <c r="L22" s="29"/>
      <c r="M22" s="30"/>
      <c r="N22" s="30"/>
      <c r="O22" s="30"/>
      <c r="P22" s="30"/>
      <c r="Q22" s="30"/>
      <c r="R22" s="30"/>
      <c r="S22" s="30"/>
      <c r="T22" s="30"/>
      <c r="U22" s="30"/>
      <c r="V22" s="31"/>
    </row>
    <row r="23" spans="1:22">
      <c r="A23" s="1" t="s">
        <v>40</v>
      </c>
      <c r="B23" s="29">
        <v>1212487.4429485656</v>
      </c>
      <c r="C23" s="30">
        <v>0</v>
      </c>
      <c r="D23" s="30">
        <v>1356.8883641811449</v>
      </c>
      <c r="E23" s="30">
        <v>0</v>
      </c>
      <c r="F23" s="30">
        <v>0</v>
      </c>
      <c r="G23" s="31">
        <f>SUM(KY_FINANCIAL)</f>
        <v>1213844.3313127467</v>
      </c>
      <c r="H23" s="30"/>
      <c r="I23" s="34" t="s">
        <v>41</v>
      </c>
      <c r="J23" s="35"/>
      <c r="K23" s="30"/>
      <c r="L23" s="29">
        <v>1404695</v>
      </c>
      <c r="M23" s="30">
        <v>355472</v>
      </c>
      <c r="N23" s="30"/>
      <c r="O23" s="30">
        <v>0</v>
      </c>
      <c r="P23" s="30">
        <v>0</v>
      </c>
      <c r="Q23" s="30"/>
      <c r="R23" s="30">
        <v>0</v>
      </c>
      <c r="S23" s="30">
        <v>0</v>
      </c>
      <c r="T23" s="30"/>
      <c r="U23" s="30">
        <v>0</v>
      </c>
      <c r="V23" s="31">
        <v>0</v>
      </c>
    </row>
    <row r="24" spans="1:22">
      <c r="A24" s="1" t="s">
        <v>42</v>
      </c>
      <c r="B24" s="29">
        <v>416523.03375072649</v>
      </c>
      <c r="C24" s="30">
        <v>0</v>
      </c>
      <c r="D24" s="30">
        <v>575.39360717695706</v>
      </c>
      <c r="E24" s="30">
        <v>0</v>
      </c>
      <c r="F24" s="30">
        <v>0</v>
      </c>
      <c r="G24" s="31">
        <f>SUM(LA_FINANCIAL)</f>
        <v>417098.42735790345</v>
      </c>
      <c r="H24" s="30"/>
      <c r="I24" s="34" t="s">
        <v>43</v>
      </c>
      <c r="J24" s="35">
        <v>1492897.0000000002</v>
      </c>
      <c r="K24" s="30"/>
      <c r="L24" s="29">
        <v>570000</v>
      </c>
      <c r="M24" s="30">
        <v>0</v>
      </c>
      <c r="N24" s="30"/>
      <c r="O24" s="30">
        <v>0</v>
      </c>
      <c r="P24" s="30">
        <v>0</v>
      </c>
      <c r="Q24" s="30"/>
      <c r="R24" s="30">
        <v>2000</v>
      </c>
      <c r="S24" s="30">
        <v>0</v>
      </c>
      <c r="T24" s="30"/>
      <c r="U24" s="30">
        <v>0</v>
      </c>
      <c r="V24" s="31">
        <v>0</v>
      </c>
    </row>
    <row r="25" spans="1:22">
      <c r="A25" s="1" t="s">
        <v>44</v>
      </c>
      <c r="B25" s="29">
        <v>0</v>
      </c>
      <c r="C25" s="30">
        <v>0</v>
      </c>
      <c r="D25" s="30">
        <v>0</v>
      </c>
      <c r="E25" s="30">
        <v>0</v>
      </c>
      <c r="F25" s="30">
        <v>0</v>
      </c>
      <c r="G25" s="31">
        <f>SUM(ME_FINANCIAL)</f>
        <v>0</v>
      </c>
      <c r="H25" s="30"/>
      <c r="I25" s="34"/>
      <c r="J25" s="35"/>
      <c r="K25" s="30"/>
      <c r="L25" s="29"/>
      <c r="M25" s="30"/>
      <c r="N25" s="30"/>
      <c r="O25" s="30"/>
      <c r="P25" s="30"/>
      <c r="Q25" s="30"/>
      <c r="R25" s="30"/>
      <c r="S25" s="30"/>
      <c r="T25" s="30"/>
      <c r="U25" s="30"/>
      <c r="V25" s="31"/>
    </row>
    <row r="26" spans="1:22">
      <c r="A26" s="1" t="s">
        <v>45</v>
      </c>
      <c r="B26" s="29">
        <v>0</v>
      </c>
      <c r="C26" s="30">
        <v>0</v>
      </c>
      <c r="D26" s="30">
        <v>0</v>
      </c>
      <c r="E26" s="30">
        <v>0</v>
      </c>
      <c r="F26" s="30">
        <v>0</v>
      </c>
      <c r="G26" s="31">
        <f>SUM(MD_FINANCIAL)</f>
        <v>0</v>
      </c>
      <c r="H26" s="30"/>
      <c r="I26" s="34" t="s">
        <v>46</v>
      </c>
      <c r="J26" s="35">
        <f>SUM(ADD_FINANCIAL)-SUM(LESS_FINANCIAL)</f>
        <v>8883218.3851282075</v>
      </c>
      <c r="K26" s="30"/>
      <c r="L26" s="29"/>
      <c r="M26" s="30"/>
      <c r="N26" s="30"/>
      <c r="O26" s="30"/>
      <c r="P26" s="30"/>
      <c r="Q26" s="30"/>
      <c r="R26" s="30"/>
      <c r="S26" s="30"/>
      <c r="T26" s="30"/>
      <c r="U26" s="30"/>
      <c r="V26" s="31"/>
    </row>
    <row r="27" spans="1:22">
      <c r="A27" s="1" t="s">
        <v>47</v>
      </c>
      <c r="B27" s="29">
        <v>0</v>
      </c>
      <c r="C27" s="30">
        <v>0</v>
      </c>
      <c r="D27" s="30">
        <v>0</v>
      </c>
      <c r="E27" s="30">
        <v>0</v>
      </c>
      <c r="F27" s="30">
        <v>0</v>
      </c>
      <c r="G27" s="31">
        <f>SUM(MA_FINANCIAL)</f>
        <v>0</v>
      </c>
      <c r="H27" s="30"/>
      <c r="I27" s="34" t="s">
        <v>48</v>
      </c>
      <c r="J27" s="35">
        <f>SUM(ALL_BLOCKS)</f>
        <v>8883218.3851282038</v>
      </c>
      <c r="K27" s="30"/>
      <c r="L27" s="29"/>
      <c r="M27" s="30"/>
      <c r="N27" s="30"/>
      <c r="O27" s="30"/>
      <c r="P27" s="30"/>
      <c r="Q27" s="30"/>
      <c r="R27" s="30"/>
      <c r="S27" s="30"/>
      <c r="T27" s="30"/>
      <c r="U27" s="30"/>
      <c r="V27" s="31"/>
    </row>
    <row r="28" spans="1:22">
      <c r="A28" s="1" t="s">
        <v>49</v>
      </c>
      <c r="B28" s="29">
        <v>90703.06442772827</v>
      </c>
      <c r="C28" s="30">
        <v>0</v>
      </c>
      <c r="D28" s="30">
        <v>692.97299411172162</v>
      </c>
      <c r="E28" s="30">
        <v>0</v>
      </c>
      <c r="F28" s="30">
        <v>0</v>
      </c>
      <c r="G28" s="31">
        <f>SUM(MI_FINANCIAL)</f>
        <v>91396.037421839996</v>
      </c>
      <c r="H28" s="30"/>
      <c r="I28" s="36"/>
      <c r="J28" s="37"/>
      <c r="K28" s="30"/>
      <c r="L28" s="29"/>
      <c r="M28" s="30"/>
      <c r="N28" s="30"/>
      <c r="O28" s="30"/>
      <c r="P28" s="30"/>
      <c r="Q28" s="30"/>
      <c r="R28" s="30"/>
      <c r="S28" s="30"/>
      <c r="T28" s="30"/>
      <c r="U28" s="30"/>
      <c r="V28" s="31"/>
    </row>
    <row r="29" spans="1:22">
      <c r="A29" s="1" t="s">
        <v>50</v>
      </c>
      <c r="B29" s="29">
        <v>0</v>
      </c>
      <c r="C29" s="30">
        <v>0</v>
      </c>
      <c r="D29" s="30">
        <v>0</v>
      </c>
      <c r="E29" s="30">
        <v>0</v>
      </c>
      <c r="F29" s="30">
        <v>0</v>
      </c>
      <c r="G29" s="31">
        <f>SUM(MN_FINANCIAL)</f>
        <v>0</v>
      </c>
      <c r="H29" s="30"/>
      <c r="I29" s="30"/>
      <c r="J29" s="30"/>
      <c r="K29" s="30"/>
      <c r="L29" s="29"/>
      <c r="M29" s="30"/>
      <c r="N29" s="30"/>
      <c r="O29" s="30"/>
      <c r="P29" s="30"/>
      <c r="Q29" s="30"/>
      <c r="R29" s="30"/>
      <c r="S29" s="30"/>
      <c r="T29" s="30"/>
      <c r="U29" s="30"/>
      <c r="V29" s="31"/>
    </row>
    <row r="30" spans="1:22">
      <c r="A30" s="1" t="s">
        <v>51</v>
      </c>
      <c r="B30" s="29">
        <v>22125.209195383406</v>
      </c>
      <c r="C30" s="30">
        <v>0</v>
      </c>
      <c r="D30" s="30">
        <v>6144.6333282299865</v>
      </c>
      <c r="E30" s="30">
        <v>0</v>
      </c>
      <c r="F30" s="30">
        <v>0</v>
      </c>
      <c r="G30" s="31">
        <f>SUM(MS_FINANCIAL)</f>
        <v>28269.842523613392</v>
      </c>
      <c r="H30" s="30"/>
      <c r="I30" s="30"/>
      <c r="J30" s="30"/>
      <c r="K30" s="30"/>
      <c r="L30" s="29"/>
      <c r="M30" s="30"/>
      <c r="N30" s="30"/>
      <c r="O30" s="30"/>
      <c r="P30" s="30"/>
      <c r="Q30" s="30"/>
      <c r="R30" s="30"/>
      <c r="S30" s="30"/>
      <c r="T30" s="30"/>
      <c r="U30" s="30"/>
      <c r="V30" s="31"/>
    </row>
    <row r="31" spans="1:22">
      <c r="A31" s="1" t="s">
        <v>52</v>
      </c>
      <c r="B31" s="29">
        <v>140094.50264423055</v>
      </c>
      <c r="C31" s="30">
        <v>0</v>
      </c>
      <c r="D31" s="30">
        <v>0</v>
      </c>
      <c r="E31" s="30">
        <v>0</v>
      </c>
      <c r="F31" s="30">
        <v>0</v>
      </c>
      <c r="G31" s="31">
        <f>SUM(MO_FINANCIAL)</f>
        <v>140094.50264423055</v>
      </c>
      <c r="H31" s="30"/>
      <c r="I31" s="30"/>
      <c r="J31" s="30"/>
      <c r="K31" s="30"/>
      <c r="L31" s="29"/>
      <c r="M31" s="30"/>
      <c r="N31" s="30"/>
      <c r="O31" s="30"/>
      <c r="P31" s="30"/>
      <c r="Q31" s="30"/>
      <c r="R31" s="30"/>
      <c r="S31" s="30"/>
      <c r="T31" s="30"/>
      <c r="U31" s="30"/>
      <c r="V31" s="31"/>
    </row>
    <row r="32" spans="1:22">
      <c r="A32" s="1" t="s">
        <v>53</v>
      </c>
      <c r="B32" s="29">
        <v>0</v>
      </c>
      <c r="C32" s="30">
        <v>0</v>
      </c>
      <c r="D32" s="30">
        <v>0</v>
      </c>
      <c r="E32" s="30">
        <v>0</v>
      </c>
      <c r="F32" s="30">
        <v>0</v>
      </c>
      <c r="G32" s="31">
        <f>SUM(MT_FINANCIAL)</f>
        <v>0</v>
      </c>
      <c r="H32" s="30"/>
      <c r="I32" s="30"/>
      <c r="J32" s="30"/>
      <c r="K32" s="30"/>
      <c r="L32" s="29"/>
      <c r="M32" s="30"/>
      <c r="N32" s="30"/>
      <c r="O32" s="30"/>
      <c r="P32" s="30"/>
      <c r="Q32" s="30"/>
      <c r="R32" s="30"/>
      <c r="S32" s="30"/>
      <c r="T32" s="30"/>
      <c r="U32" s="30"/>
      <c r="V32" s="31"/>
    </row>
    <row r="33" spans="1:22">
      <c r="A33" s="1" t="s">
        <v>54</v>
      </c>
      <c r="B33" s="29">
        <v>0</v>
      </c>
      <c r="C33" s="30">
        <v>0</v>
      </c>
      <c r="D33" s="30">
        <v>0</v>
      </c>
      <c r="E33" s="30">
        <v>0</v>
      </c>
      <c r="F33" s="30">
        <v>0</v>
      </c>
      <c r="G33" s="31">
        <f>SUM(NE_FINANCIAL)</f>
        <v>0</v>
      </c>
      <c r="H33" s="30"/>
      <c r="I33" s="30"/>
      <c r="J33" s="30"/>
      <c r="K33" s="30"/>
      <c r="L33" s="29"/>
      <c r="M33" s="30"/>
      <c r="N33" s="30"/>
      <c r="O33" s="30"/>
      <c r="P33" s="30"/>
      <c r="Q33" s="30"/>
      <c r="R33" s="30"/>
      <c r="S33" s="30"/>
      <c r="T33" s="30"/>
      <c r="U33" s="30"/>
      <c r="V33" s="31"/>
    </row>
    <row r="34" spans="1:22">
      <c r="A34" s="1" t="s">
        <v>55</v>
      </c>
      <c r="B34" s="29">
        <v>0</v>
      </c>
      <c r="C34" s="30">
        <v>0</v>
      </c>
      <c r="D34" s="30">
        <v>0</v>
      </c>
      <c r="E34" s="30">
        <v>0</v>
      </c>
      <c r="F34" s="30">
        <v>0</v>
      </c>
      <c r="G34" s="31">
        <f>SUM(NV_FINANCIAL)</f>
        <v>0</v>
      </c>
      <c r="H34" s="30"/>
      <c r="I34" s="30"/>
      <c r="J34" s="30"/>
      <c r="K34" s="30"/>
      <c r="L34" s="29"/>
      <c r="M34" s="30"/>
      <c r="N34" s="30"/>
      <c r="O34" s="30"/>
      <c r="P34" s="30"/>
      <c r="Q34" s="30"/>
      <c r="R34" s="30"/>
      <c r="S34" s="30"/>
      <c r="T34" s="30"/>
      <c r="U34" s="30"/>
      <c r="V34" s="31"/>
    </row>
    <row r="35" spans="1:22">
      <c r="A35" s="1" t="s">
        <v>56</v>
      </c>
      <c r="B35" s="29">
        <v>0</v>
      </c>
      <c r="C35" s="30">
        <v>0</v>
      </c>
      <c r="D35" s="30">
        <v>0</v>
      </c>
      <c r="E35" s="30">
        <v>0</v>
      </c>
      <c r="F35" s="30">
        <v>0</v>
      </c>
      <c r="G35" s="31">
        <f>SUM(NH_FINANCIAL)</f>
        <v>0</v>
      </c>
      <c r="H35" s="30"/>
      <c r="I35" s="30"/>
      <c r="J35" s="30"/>
      <c r="K35" s="30"/>
      <c r="L35" s="29"/>
      <c r="M35" s="30"/>
      <c r="N35" s="30"/>
      <c r="O35" s="30"/>
      <c r="P35" s="30"/>
      <c r="Q35" s="30"/>
      <c r="R35" s="30"/>
      <c r="S35" s="30"/>
      <c r="T35" s="30"/>
      <c r="U35" s="30"/>
      <c r="V35" s="31"/>
    </row>
    <row r="36" spans="1:22">
      <c r="A36" s="1" t="s">
        <v>57</v>
      </c>
      <c r="B36" s="29">
        <v>0</v>
      </c>
      <c r="C36" s="30">
        <v>0</v>
      </c>
      <c r="D36" s="30">
        <v>0</v>
      </c>
      <c r="E36" s="30">
        <v>0</v>
      </c>
      <c r="F36" s="30">
        <v>0</v>
      </c>
      <c r="G36" s="31">
        <f>SUM(NJ_FINANCIAL)</f>
        <v>0</v>
      </c>
      <c r="H36" s="30"/>
      <c r="I36" s="30"/>
      <c r="J36" s="30"/>
      <c r="K36" s="30"/>
      <c r="L36" s="29"/>
      <c r="M36" s="30"/>
      <c r="N36" s="30"/>
      <c r="O36" s="30"/>
      <c r="P36" s="30"/>
      <c r="Q36" s="30"/>
      <c r="R36" s="30"/>
      <c r="S36" s="30"/>
      <c r="T36" s="30"/>
      <c r="U36" s="30"/>
      <c r="V36" s="31"/>
    </row>
    <row r="37" spans="1:22">
      <c r="A37" s="1" t="s">
        <v>58</v>
      </c>
      <c r="B37" s="29">
        <v>0</v>
      </c>
      <c r="C37" s="30">
        <v>0</v>
      </c>
      <c r="D37" s="30">
        <v>0</v>
      </c>
      <c r="E37" s="30">
        <v>0</v>
      </c>
      <c r="F37" s="30">
        <v>0</v>
      </c>
      <c r="G37" s="31">
        <f>SUM(NM_FINANCIAL)</f>
        <v>0</v>
      </c>
      <c r="H37" s="30"/>
      <c r="I37" s="30"/>
      <c r="J37" s="30"/>
      <c r="K37" s="30"/>
      <c r="L37" s="29"/>
      <c r="M37" s="30"/>
      <c r="N37" s="30"/>
      <c r="O37" s="30"/>
      <c r="P37" s="30"/>
      <c r="Q37" s="30"/>
      <c r="R37" s="30"/>
      <c r="S37" s="30"/>
      <c r="T37" s="30"/>
      <c r="U37" s="30"/>
      <c r="V37" s="31"/>
    </row>
    <row r="38" spans="1:22">
      <c r="A38" s="1" t="s">
        <v>59</v>
      </c>
      <c r="B38" s="29">
        <v>0</v>
      </c>
      <c r="C38" s="30">
        <v>0</v>
      </c>
      <c r="D38" s="30">
        <v>0</v>
      </c>
      <c r="E38" s="30">
        <v>0</v>
      </c>
      <c r="F38" s="30">
        <v>0</v>
      </c>
      <c r="G38" s="31">
        <f>SUM(NY_FINANCIAL)</f>
        <v>0</v>
      </c>
      <c r="H38" s="30"/>
      <c r="I38" s="30"/>
      <c r="J38" s="30"/>
      <c r="K38" s="30"/>
      <c r="L38" s="29"/>
      <c r="M38" s="30"/>
      <c r="N38" s="30"/>
      <c r="O38" s="30"/>
      <c r="P38" s="30"/>
      <c r="Q38" s="30"/>
      <c r="R38" s="30"/>
      <c r="S38" s="30"/>
      <c r="T38" s="30"/>
      <c r="U38" s="30"/>
      <c r="V38" s="31"/>
    </row>
    <row r="39" spans="1:22">
      <c r="A39" s="1" t="s">
        <v>60</v>
      </c>
      <c r="B39" s="29">
        <v>0</v>
      </c>
      <c r="C39" s="30">
        <v>0</v>
      </c>
      <c r="D39" s="30">
        <v>0</v>
      </c>
      <c r="E39" s="30">
        <v>0</v>
      </c>
      <c r="F39" s="30">
        <v>0</v>
      </c>
      <c r="G39" s="31">
        <f>SUM(NC_FINANCIAL)</f>
        <v>0</v>
      </c>
      <c r="H39" s="30"/>
      <c r="I39" s="30"/>
      <c r="J39" s="30"/>
      <c r="K39" s="30"/>
      <c r="L39" s="29"/>
      <c r="M39" s="30"/>
      <c r="N39" s="30"/>
      <c r="O39" s="30"/>
      <c r="P39" s="30"/>
      <c r="Q39" s="30"/>
      <c r="R39" s="30"/>
      <c r="S39" s="30"/>
      <c r="T39" s="30"/>
      <c r="U39" s="30"/>
      <c r="V39" s="31"/>
    </row>
    <row r="40" spans="1:22">
      <c r="A40" s="1" t="s">
        <v>61</v>
      </c>
      <c r="B40" s="29">
        <v>0</v>
      </c>
      <c r="C40" s="30">
        <v>0</v>
      </c>
      <c r="D40" s="30">
        <v>0</v>
      </c>
      <c r="E40" s="30">
        <v>0</v>
      </c>
      <c r="F40" s="30">
        <v>0</v>
      </c>
      <c r="G40" s="31">
        <f>SUM(ND_FINANCIAL)</f>
        <v>0</v>
      </c>
      <c r="H40" s="30"/>
      <c r="I40" s="30"/>
      <c r="J40" s="30"/>
      <c r="K40" s="30"/>
      <c r="L40" s="29"/>
      <c r="M40" s="30"/>
      <c r="N40" s="30"/>
      <c r="O40" s="30"/>
      <c r="P40" s="30"/>
      <c r="Q40" s="30"/>
      <c r="R40" s="30"/>
      <c r="S40" s="30"/>
      <c r="T40" s="30"/>
      <c r="U40" s="30"/>
      <c r="V40" s="31"/>
    </row>
    <row r="41" spans="1:22">
      <c r="A41" s="1" t="s">
        <v>62</v>
      </c>
      <c r="B41" s="29">
        <v>825238.7376584115</v>
      </c>
      <c r="C41" s="30">
        <v>0</v>
      </c>
      <c r="D41" s="30">
        <v>16.149222700055343</v>
      </c>
      <c r="E41" s="30">
        <v>0</v>
      </c>
      <c r="F41" s="30">
        <v>0</v>
      </c>
      <c r="G41" s="31">
        <f>SUM(OH_FINANCIAL)</f>
        <v>825254.88688111154</v>
      </c>
      <c r="H41" s="30"/>
      <c r="I41" s="30"/>
      <c r="J41" s="30"/>
      <c r="K41" s="30"/>
      <c r="L41" s="29">
        <v>1000000</v>
      </c>
      <c r="M41" s="30">
        <v>0</v>
      </c>
      <c r="N41" s="30"/>
      <c r="O41" s="30">
        <v>0</v>
      </c>
      <c r="P41" s="30">
        <v>0</v>
      </c>
      <c r="Q41" s="30"/>
      <c r="R41" s="30">
        <v>0</v>
      </c>
      <c r="S41" s="30">
        <v>0</v>
      </c>
      <c r="T41" s="30"/>
      <c r="U41" s="30">
        <v>0</v>
      </c>
      <c r="V41" s="31">
        <v>0</v>
      </c>
    </row>
    <row r="42" spans="1:22">
      <c r="A42" s="1" t="s">
        <v>63</v>
      </c>
      <c r="B42" s="29">
        <v>0</v>
      </c>
      <c r="C42" s="30">
        <v>0</v>
      </c>
      <c r="D42" s="30">
        <v>0</v>
      </c>
      <c r="E42" s="30">
        <v>0</v>
      </c>
      <c r="F42" s="30">
        <v>0</v>
      </c>
      <c r="G42" s="31">
        <f>SUM(OK_FINANCIAL)</f>
        <v>0</v>
      </c>
      <c r="H42" s="30"/>
      <c r="I42" s="30"/>
      <c r="J42" s="30"/>
      <c r="K42" s="30"/>
      <c r="L42" s="29"/>
      <c r="M42" s="30"/>
      <c r="N42" s="30"/>
      <c r="O42" s="30"/>
      <c r="P42" s="30"/>
      <c r="Q42" s="30"/>
      <c r="R42" s="30"/>
      <c r="S42" s="30"/>
      <c r="T42" s="30"/>
      <c r="U42" s="30"/>
      <c r="V42" s="31"/>
    </row>
    <row r="43" spans="1:22">
      <c r="A43" s="1" t="s">
        <v>64</v>
      </c>
      <c r="B43" s="29">
        <v>0</v>
      </c>
      <c r="C43" s="30">
        <v>0</v>
      </c>
      <c r="D43" s="30">
        <v>0</v>
      </c>
      <c r="E43" s="30">
        <v>0</v>
      </c>
      <c r="F43" s="30">
        <v>0</v>
      </c>
      <c r="G43" s="31">
        <f>SUM(OR_FINANCIAL)</f>
        <v>0</v>
      </c>
      <c r="H43" s="30"/>
      <c r="I43" s="30"/>
      <c r="J43" s="30"/>
      <c r="K43" s="30"/>
      <c r="L43" s="29"/>
      <c r="M43" s="30"/>
      <c r="N43" s="30"/>
      <c r="O43" s="30"/>
      <c r="P43" s="30"/>
      <c r="Q43" s="30"/>
      <c r="R43" s="30"/>
      <c r="S43" s="30"/>
      <c r="T43" s="30"/>
      <c r="U43" s="30"/>
      <c r="V43" s="31"/>
    </row>
    <row r="44" spans="1:22">
      <c r="A44" s="1" t="s">
        <v>65</v>
      </c>
      <c r="B44" s="29">
        <v>0</v>
      </c>
      <c r="C44" s="30">
        <v>0</v>
      </c>
      <c r="D44" s="30">
        <v>0</v>
      </c>
      <c r="E44" s="30">
        <v>0</v>
      </c>
      <c r="F44" s="30">
        <v>0</v>
      </c>
      <c r="G44" s="31">
        <f>SUM(PA_FINANCIAL)</f>
        <v>0</v>
      </c>
      <c r="H44" s="30"/>
      <c r="I44" s="30"/>
      <c r="J44" s="30"/>
      <c r="K44" s="30"/>
      <c r="L44" s="29"/>
      <c r="M44" s="30"/>
      <c r="N44" s="30"/>
      <c r="O44" s="30"/>
      <c r="P44" s="30"/>
      <c r="Q44" s="30"/>
      <c r="R44" s="30"/>
      <c r="S44" s="30"/>
      <c r="T44" s="30"/>
      <c r="U44" s="30"/>
      <c r="V44" s="31"/>
    </row>
    <row r="45" spans="1:22">
      <c r="A45" s="1" t="s">
        <v>66</v>
      </c>
      <c r="B45" s="29">
        <v>0</v>
      </c>
      <c r="C45" s="30">
        <v>0</v>
      </c>
      <c r="D45" s="30">
        <v>0</v>
      </c>
      <c r="E45" s="30">
        <v>0</v>
      </c>
      <c r="F45" s="30">
        <v>0</v>
      </c>
      <c r="G45" s="31">
        <f>SUM(PR_FINANCIAL)</f>
        <v>0</v>
      </c>
      <c r="H45" s="30"/>
      <c r="I45" s="30"/>
      <c r="J45" s="30"/>
      <c r="K45" s="30"/>
      <c r="L45" s="29"/>
      <c r="M45" s="30"/>
      <c r="N45" s="30"/>
      <c r="O45" s="30"/>
      <c r="P45" s="30"/>
      <c r="Q45" s="30"/>
      <c r="R45" s="30"/>
      <c r="S45" s="30"/>
      <c r="T45" s="30"/>
      <c r="U45" s="30"/>
      <c r="V45" s="31"/>
    </row>
    <row r="46" spans="1:22">
      <c r="A46" s="1" t="s">
        <v>67</v>
      </c>
      <c r="B46" s="29">
        <v>0</v>
      </c>
      <c r="C46" s="30">
        <v>0</v>
      </c>
      <c r="D46" s="30">
        <v>0</v>
      </c>
      <c r="E46" s="30">
        <v>0</v>
      </c>
      <c r="F46" s="30">
        <v>0</v>
      </c>
      <c r="G46" s="31">
        <f>SUM(RI_FINANCIAL)</f>
        <v>0</v>
      </c>
      <c r="H46" s="30"/>
      <c r="I46" s="30"/>
      <c r="J46" s="30"/>
      <c r="K46" s="30"/>
      <c r="L46" s="29"/>
      <c r="M46" s="30"/>
      <c r="N46" s="30"/>
      <c r="O46" s="30"/>
      <c r="P46" s="30"/>
      <c r="Q46" s="30"/>
      <c r="R46" s="30"/>
      <c r="S46" s="30"/>
      <c r="T46" s="30"/>
      <c r="U46" s="30"/>
      <c r="V46" s="31"/>
    </row>
    <row r="47" spans="1:22">
      <c r="A47" s="1" t="s">
        <v>68</v>
      </c>
      <c r="B47" s="29">
        <v>0</v>
      </c>
      <c r="C47" s="30">
        <v>0</v>
      </c>
      <c r="D47" s="30">
        <v>0</v>
      </c>
      <c r="E47" s="30">
        <v>0</v>
      </c>
      <c r="F47" s="30">
        <v>0</v>
      </c>
      <c r="G47" s="31">
        <f>SUM(SC_FINANCIAL)</f>
        <v>0</v>
      </c>
      <c r="H47" s="30"/>
      <c r="I47" s="30"/>
      <c r="J47" s="30"/>
      <c r="K47" s="30"/>
      <c r="L47" s="29"/>
      <c r="M47" s="30"/>
      <c r="N47" s="30"/>
      <c r="O47" s="30"/>
      <c r="P47" s="30"/>
      <c r="Q47" s="30"/>
      <c r="R47" s="30"/>
      <c r="S47" s="30"/>
      <c r="T47" s="30"/>
      <c r="U47" s="30"/>
      <c r="V47" s="31"/>
    </row>
    <row r="48" spans="1:22">
      <c r="A48" s="1" t="s">
        <v>69</v>
      </c>
      <c r="B48" s="29">
        <v>0</v>
      </c>
      <c r="C48" s="30">
        <v>0</v>
      </c>
      <c r="D48" s="30">
        <v>0</v>
      </c>
      <c r="E48" s="30">
        <v>0</v>
      </c>
      <c r="F48" s="30">
        <v>0</v>
      </c>
      <c r="G48" s="31">
        <f>SUM(SD_FINANCIAL)</f>
        <v>0</v>
      </c>
      <c r="H48" s="30"/>
      <c r="I48" s="30"/>
      <c r="J48" s="30"/>
      <c r="K48" s="30"/>
      <c r="L48" s="29"/>
      <c r="M48" s="30"/>
      <c r="N48" s="30"/>
      <c r="O48" s="30"/>
      <c r="P48" s="30"/>
      <c r="Q48" s="30"/>
      <c r="R48" s="30"/>
      <c r="S48" s="30"/>
      <c r="T48" s="30"/>
      <c r="U48" s="30"/>
      <c r="V48" s="31"/>
    </row>
    <row r="49" spans="1:22">
      <c r="A49" s="1" t="s">
        <v>70</v>
      </c>
      <c r="B49" s="29">
        <v>0</v>
      </c>
      <c r="C49" s="30">
        <v>0</v>
      </c>
      <c r="D49" s="30">
        <v>0</v>
      </c>
      <c r="E49" s="30">
        <v>0</v>
      </c>
      <c r="F49" s="30">
        <v>0</v>
      </c>
      <c r="G49" s="31">
        <f>SUM(TN_FINANCIAL)</f>
        <v>0</v>
      </c>
      <c r="H49" s="30"/>
      <c r="I49" s="30"/>
      <c r="J49" s="30"/>
      <c r="K49" s="30"/>
      <c r="L49" s="29"/>
      <c r="M49" s="30"/>
      <c r="N49" s="30"/>
      <c r="O49" s="30"/>
      <c r="P49" s="30"/>
      <c r="Q49" s="30"/>
      <c r="R49" s="30"/>
      <c r="S49" s="30"/>
      <c r="T49" s="30"/>
      <c r="U49" s="30"/>
      <c r="V49" s="31"/>
    </row>
    <row r="50" spans="1:22">
      <c r="A50" s="1" t="s">
        <v>71</v>
      </c>
      <c r="B50" s="29">
        <v>0</v>
      </c>
      <c r="C50" s="30">
        <v>0</v>
      </c>
      <c r="D50" s="30">
        <v>0</v>
      </c>
      <c r="E50" s="30">
        <v>0</v>
      </c>
      <c r="F50" s="30">
        <v>0</v>
      </c>
      <c r="G50" s="31">
        <f>SUM(TX_FINANCIAL)</f>
        <v>0</v>
      </c>
      <c r="H50" s="30"/>
      <c r="I50" s="30"/>
      <c r="J50" s="30"/>
      <c r="K50" s="30"/>
      <c r="L50" s="29"/>
      <c r="M50" s="30"/>
      <c r="N50" s="30"/>
      <c r="O50" s="30"/>
      <c r="P50" s="30"/>
      <c r="Q50" s="30"/>
      <c r="R50" s="30"/>
      <c r="S50" s="30"/>
      <c r="T50" s="30"/>
      <c r="U50" s="30"/>
      <c r="V50" s="31"/>
    </row>
    <row r="51" spans="1:22">
      <c r="A51" s="1" t="s">
        <v>72</v>
      </c>
      <c r="B51" s="29">
        <v>0</v>
      </c>
      <c r="C51" s="30">
        <v>0</v>
      </c>
      <c r="D51" s="30">
        <v>0</v>
      </c>
      <c r="E51" s="30">
        <v>0</v>
      </c>
      <c r="F51" s="30">
        <v>0</v>
      </c>
      <c r="G51" s="31">
        <f>SUM(UT_FINANCIAL)</f>
        <v>0</v>
      </c>
      <c r="H51" s="30"/>
      <c r="I51" s="30"/>
      <c r="J51" s="30"/>
      <c r="K51" s="30"/>
      <c r="L51" s="29"/>
      <c r="M51" s="30"/>
      <c r="N51" s="30"/>
      <c r="O51" s="30"/>
      <c r="P51" s="30"/>
      <c r="Q51" s="30"/>
      <c r="R51" s="30"/>
      <c r="S51" s="30"/>
      <c r="T51" s="30"/>
      <c r="U51" s="30"/>
      <c r="V51" s="31"/>
    </row>
    <row r="52" spans="1:22">
      <c r="A52" s="1" t="s">
        <v>73</v>
      </c>
      <c r="B52" s="29">
        <v>0</v>
      </c>
      <c r="C52" s="30">
        <v>0</v>
      </c>
      <c r="D52" s="30">
        <v>0</v>
      </c>
      <c r="E52" s="30">
        <v>0</v>
      </c>
      <c r="F52" s="30">
        <v>0</v>
      </c>
      <c r="G52" s="31">
        <f>SUM(VT_FINANCIAL)</f>
        <v>0</v>
      </c>
      <c r="H52" s="30"/>
      <c r="I52" s="30"/>
      <c r="J52" s="30"/>
      <c r="K52" s="30"/>
      <c r="L52" s="29"/>
      <c r="M52" s="30"/>
      <c r="N52" s="30"/>
      <c r="O52" s="30"/>
      <c r="P52" s="30"/>
      <c r="Q52" s="30"/>
      <c r="R52" s="30"/>
      <c r="S52" s="30"/>
      <c r="T52" s="30"/>
      <c r="U52" s="30"/>
      <c r="V52" s="31"/>
    </row>
    <row r="53" spans="1:22">
      <c r="A53" s="1" t="s">
        <v>74</v>
      </c>
      <c r="B53" s="29">
        <v>0</v>
      </c>
      <c r="C53" s="30">
        <v>0</v>
      </c>
      <c r="D53" s="30">
        <v>0</v>
      </c>
      <c r="E53" s="30">
        <v>0</v>
      </c>
      <c r="F53" s="30">
        <v>0</v>
      </c>
      <c r="G53" s="31">
        <f>SUM(VA_FINANCIAL)</f>
        <v>0</v>
      </c>
      <c r="H53" s="30"/>
      <c r="I53" s="30"/>
      <c r="J53" s="30"/>
      <c r="K53" s="30"/>
      <c r="L53" s="29"/>
      <c r="M53" s="30"/>
      <c r="N53" s="30"/>
      <c r="O53" s="30"/>
      <c r="P53" s="30"/>
      <c r="Q53" s="30"/>
      <c r="R53" s="30"/>
      <c r="S53" s="30"/>
      <c r="T53" s="30"/>
      <c r="U53" s="30"/>
      <c r="V53" s="31"/>
    </row>
    <row r="54" spans="1:22">
      <c r="A54" s="1" t="s">
        <v>75</v>
      </c>
      <c r="B54" s="29">
        <v>101.33371753558548</v>
      </c>
      <c r="C54" s="30">
        <v>0</v>
      </c>
      <c r="D54" s="30">
        <v>0</v>
      </c>
      <c r="E54" s="30">
        <v>0</v>
      </c>
      <c r="F54" s="30">
        <v>0</v>
      </c>
      <c r="G54" s="31">
        <f>SUM(WA_FINANCIAL)</f>
        <v>101.33371753558548</v>
      </c>
      <c r="H54" s="30"/>
      <c r="I54" s="30"/>
      <c r="J54" s="30"/>
      <c r="K54" s="30"/>
      <c r="L54" s="29"/>
      <c r="M54" s="30"/>
      <c r="N54" s="30"/>
      <c r="O54" s="30"/>
      <c r="P54" s="30"/>
      <c r="Q54" s="30"/>
      <c r="R54" s="30"/>
      <c r="S54" s="30"/>
      <c r="T54" s="30"/>
      <c r="U54" s="30"/>
      <c r="V54" s="31"/>
    </row>
    <row r="55" spans="1:22">
      <c r="A55" s="1" t="s">
        <v>76</v>
      </c>
      <c r="B55" s="29">
        <v>0</v>
      </c>
      <c r="C55" s="30">
        <v>0</v>
      </c>
      <c r="D55" s="30">
        <v>0</v>
      </c>
      <c r="E55" s="30">
        <v>0</v>
      </c>
      <c r="F55" s="30">
        <v>0</v>
      </c>
      <c r="G55" s="31">
        <f>SUM(WV_FINANCIAL)</f>
        <v>0</v>
      </c>
      <c r="H55" s="30"/>
      <c r="I55" s="30"/>
      <c r="J55" s="30"/>
      <c r="K55" s="30"/>
      <c r="L55" s="29"/>
      <c r="M55" s="30"/>
      <c r="N55" s="30"/>
      <c r="O55" s="30"/>
      <c r="P55" s="30"/>
      <c r="Q55" s="30"/>
      <c r="R55" s="30"/>
      <c r="S55" s="30"/>
      <c r="T55" s="30"/>
      <c r="U55" s="30"/>
      <c r="V55" s="31"/>
    </row>
    <row r="56" spans="1:22">
      <c r="A56" s="1" t="s">
        <v>77</v>
      </c>
      <c r="B56" s="29">
        <v>2700861.2397903497</v>
      </c>
      <c r="C56" s="30">
        <v>0</v>
      </c>
      <c r="D56" s="30">
        <v>0</v>
      </c>
      <c r="E56" s="30">
        <v>0</v>
      </c>
      <c r="F56" s="30">
        <v>0</v>
      </c>
      <c r="G56" s="31">
        <f>SUM(WI_FINANCIAL)</f>
        <v>2700861.2397903497</v>
      </c>
      <c r="H56" s="30"/>
      <c r="I56" s="30"/>
      <c r="J56" s="30"/>
      <c r="K56" s="30"/>
      <c r="L56" s="29">
        <v>3300000</v>
      </c>
      <c r="M56" s="30">
        <v>0</v>
      </c>
      <c r="N56" s="30"/>
      <c r="O56" s="30">
        <v>0</v>
      </c>
      <c r="P56" s="30">
        <v>0</v>
      </c>
      <c r="Q56" s="30"/>
      <c r="R56" s="30">
        <v>0</v>
      </c>
      <c r="S56" s="30">
        <v>0</v>
      </c>
      <c r="T56" s="30"/>
      <c r="U56" s="30">
        <v>0</v>
      </c>
      <c r="V56" s="31">
        <v>0</v>
      </c>
    </row>
    <row r="57" spans="1:22">
      <c r="A57" s="1" t="s">
        <v>78</v>
      </c>
      <c r="B57" s="29">
        <v>0</v>
      </c>
      <c r="C57" s="30">
        <v>0</v>
      </c>
      <c r="D57" s="30">
        <v>0</v>
      </c>
      <c r="E57" s="30">
        <v>0</v>
      </c>
      <c r="F57" s="30">
        <v>0</v>
      </c>
      <c r="G57" s="31">
        <f>SUM(WY_FINANCIAL)</f>
        <v>0</v>
      </c>
      <c r="H57" s="30"/>
      <c r="I57" s="30"/>
      <c r="J57" s="30"/>
      <c r="K57" s="30"/>
      <c r="L57" s="29"/>
      <c r="M57" s="30"/>
      <c r="N57" s="30"/>
      <c r="O57" s="30"/>
      <c r="P57" s="30"/>
      <c r="Q57" s="30"/>
      <c r="R57" s="30"/>
      <c r="S57" s="30"/>
      <c r="T57" s="30"/>
      <c r="U57" s="30"/>
      <c r="V57" s="31"/>
    </row>
    <row r="58" spans="1:22">
      <c r="A58" s="1" t="s">
        <v>79</v>
      </c>
      <c r="B58" s="29">
        <v>0</v>
      </c>
      <c r="C58" s="30">
        <v>0</v>
      </c>
      <c r="D58" s="30">
        <v>0</v>
      </c>
      <c r="E58" s="30">
        <v>0</v>
      </c>
      <c r="F58" s="30">
        <v>0</v>
      </c>
      <c r="G58" s="31">
        <f>SUM(OT_FINANCIAL)</f>
        <v>0</v>
      </c>
      <c r="H58" s="30"/>
      <c r="I58" s="30"/>
      <c r="J58" s="30"/>
      <c r="K58" s="30"/>
      <c r="L58" s="29"/>
      <c r="M58" s="30"/>
      <c r="N58" s="30"/>
      <c r="O58" s="30"/>
      <c r="P58" s="30"/>
      <c r="Q58" s="30"/>
      <c r="R58" s="30"/>
      <c r="S58" s="30"/>
      <c r="T58" s="30"/>
      <c r="U58" s="30"/>
      <c r="V58" s="31"/>
    </row>
    <row r="59" spans="1:22">
      <c r="B59" s="29"/>
      <c r="C59" s="30"/>
      <c r="D59" s="30"/>
      <c r="E59" s="30"/>
      <c r="F59" s="30"/>
      <c r="G59" s="31"/>
      <c r="H59" s="30"/>
      <c r="I59" s="30"/>
      <c r="J59" s="30"/>
      <c r="K59" s="30"/>
      <c r="L59" s="29"/>
      <c r="M59" s="30"/>
      <c r="N59" s="30"/>
      <c r="O59" s="30"/>
      <c r="P59" s="30"/>
      <c r="Q59" s="30"/>
      <c r="R59" s="30"/>
      <c r="S59" s="30"/>
      <c r="T59" s="30"/>
      <c r="U59" s="30"/>
      <c r="V59" s="31"/>
    </row>
    <row r="60" spans="1:22">
      <c r="A60" s="1" t="s">
        <v>8</v>
      </c>
      <c r="B60" s="29">
        <f>SUM(LIFE)</f>
        <v>8707270.0434274822</v>
      </c>
      <c r="C60" s="30">
        <f>SUM(ALLOCATED)</f>
        <v>151402.52384007059</v>
      </c>
      <c r="D60" s="30">
        <f>SUM(HEALTH)</f>
        <v>24545.817860651736</v>
      </c>
      <c r="E60" s="30">
        <f>SUM(UNALLOCATED)</f>
        <v>0</v>
      </c>
      <c r="F60" s="30">
        <f>SUM(LTC)</f>
        <v>0</v>
      </c>
      <c r="G60" s="31">
        <f>SUM(ALL_BLOCKS)</f>
        <v>8883218.3851282038</v>
      </c>
      <c r="H60" s="30"/>
      <c r="I60" s="30"/>
      <c r="J60" s="30"/>
      <c r="K60" s="30"/>
      <c r="L60" s="29">
        <f>SUM(LIFE_CALLED)</f>
        <v>11271909</v>
      </c>
      <c r="M60" s="30">
        <f>SUM(LIFE_REFUNDED)</f>
        <v>1041272</v>
      </c>
      <c r="N60" s="30"/>
      <c r="O60" s="30">
        <f>SUM(ALLOC_CALLED)</f>
        <v>1401485</v>
      </c>
      <c r="P60" s="30">
        <f>SUM(ALLOC_REFUNDED)</f>
        <v>0</v>
      </c>
      <c r="Q60" s="30"/>
      <c r="R60" s="30">
        <f>SUM(HEALTH_CALLED)</f>
        <v>122000</v>
      </c>
      <c r="S60" s="30">
        <f>SUM(HEALTH_REFUNDED)</f>
        <v>0</v>
      </c>
      <c r="T60" s="30"/>
      <c r="U60" s="30">
        <f>SUM(UNALLOC_CALLED)</f>
        <v>0</v>
      </c>
      <c r="V60" s="31">
        <f>SUM(UNALLOC_REFUNDED)</f>
        <v>0</v>
      </c>
    </row>
    <row r="61" spans="1:22" ht="5.0999999999999996" customHeight="1">
      <c r="B61" s="8"/>
      <c r="G61" s="11"/>
      <c r="L61" s="8"/>
      <c r="V61" s="11"/>
    </row>
    <row r="62" spans="1:22">
      <c r="B62" s="8"/>
      <c r="G62" s="11"/>
      <c r="L62" s="122" t="s">
        <v>80</v>
      </c>
      <c r="M62" s="123"/>
      <c r="N62" s="123"/>
      <c r="O62" s="123"/>
      <c r="P62" s="123"/>
      <c r="Q62" s="123"/>
      <c r="R62" s="123"/>
      <c r="S62" s="123"/>
      <c r="T62" s="123"/>
      <c r="U62" s="123"/>
      <c r="V62" s="124"/>
    </row>
    <row r="63" spans="1:22">
      <c r="B63" s="8"/>
      <c r="G63" s="11"/>
      <c r="L63" s="125"/>
      <c r="M63" s="123"/>
      <c r="N63" s="123"/>
      <c r="O63" s="123"/>
      <c r="P63" s="123"/>
      <c r="Q63" s="123"/>
      <c r="R63" s="123"/>
      <c r="S63" s="123"/>
      <c r="T63" s="123"/>
      <c r="U63" s="123"/>
      <c r="V63" s="124"/>
    </row>
    <row r="64" spans="1:22">
      <c r="B64" s="10"/>
      <c r="C64" s="7"/>
      <c r="D64" s="7"/>
      <c r="E64" s="7"/>
      <c r="F64" s="7"/>
      <c r="G64" s="13"/>
      <c r="L64" s="126"/>
      <c r="M64" s="127"/>
      <c r="N64" s="127"/>
      <c r="O64" s="127"/>
      <c r="P64" s="127"/>
      <c r="Q64" s="127"/>
      <c r="R64" s="127"/>
      <c r="S64" s="127"/>
      <c r="T64" s="127"/>
      <c r="U64" s="127"/>
      <c r="V64" s="128"/>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V64"/>
  <sheetViews>
    <sheetView zoomScale="75" workbookViewId="0">
      <selection sqref="A1:XFD1048576"/>
    </sheetView>
  </sheetViews>
  <sheetFormatPr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129" t="s">
        <v>101</v>
      </c>
      <c r="B1" s="123"/>
      <c r="C1" s="123"/>
      <c r="D1" s="123"/>
      <c r="E1" s="123"/>
      <c r="F1" s="123"/>
      <c r="G1" s="123"/>
    </row>
    <row r="3" spans="1:22">
      <c r="B3" s="130" t="s">
        <v>1</v>
      </c>
      <c r="C3" s="131"/>
      <c r="D3" s="131"/>
      <c r="E3" s="131"/>
      <c r="F3" s="131"/>
      <c r="G3" s="132"/>
      <c r="L3" s="133" t="s">
        <v>2</v>
      </c>
      <c r="M3" s="134"/>
      <c r="N3" s="134"/>
      <c r="O3" s="134"/>
      <c r="P3" s="134"/>
      <c r="Q3" s="134"/>
      <c r="R3" s="134"/>
      <c r="S3" s="134"/>
      <c r="T3" s="134"/>
      <c r="U3" s="134"/>
      <c r="V3" s="135"/>
    </row>
    <row r="4" spans="1:22">
      <c r="B4" s="8"/>
      <c r="G4" s="11"/>
      <c r="L4" s="136" t="s">
        <v>3</v>
      </c>
      <c r="M4" s="137"/>
      <c r="N4" s="4"/>
      <c r="O4" s="138" t="s">
        <v>4</v>
      </c>
      <c r="P4" s="137"/>
      <c r="Q4" s="4"/>
      <c r="R4" s="138" t="s">
        <v>5</v>
      </c>
      <c r="S4" s="137"/>
      <c r="T4" s="4"/>
      <c r="U4" s="138" t="s">
        <v>6</v>
      </c>
      <c r="V4" s="139"/>
    </row>
    <row r="5" spans="1:22" ht="60" customHeight="1">
      <c r="B5" s="9" t="s">
        <v>3</v>
      </c>
      <c r="C5" s="5" t="s">
        <v>4</v>
      </c>
      <c r="D5" s="5" t="s">
        <v>5</v>
      </c>
      <c r="E5" s="5" t="s">
        <v>6</v>
      </c>
      <c r="F5" s="5" t="s">
        <v>7</v>
      </c>
      <c r="G5" s="12" t="s">
        <v>8</v>
      </c>
      <c r="L5" s="15" t="s">
        <v>9</v>
      </c>
      <c r="M5" s="14" t="s">
        <v>10</v>
      </c>
      <c r="N5" s="14"/>
      <c r="O5" s="14" t="s">
        <v>9</v>
      </c>
      <c r="P5" s="14" t="s">
        <v>10</v>
      </c>
      <c r="Q5" s="14"/>
      <c r="R5" s="14" t="s">
        <v>9</v>
      </c>
      <c r="S5" s="14" t="s">
        <v>10</v>
      </c>
      <c r="T5" s="14"/>
      <c r="U5" s="14" t="s">
        <v>9</v>
      </c>
      <c r="V5" s="16" t="s">
        <v>10</v>
      </c>
    </row>
    <row r="6" spans="1:22">
      <c r="A6" s="1" t="s">
        <v>11</v>
      </c>
      <c r="B6" s="29">
        <v>0</v>
      </c>
      <c r="C6" s="30">
        <v>0</v>
      </c>
      <c r="D6" s="30">
        <v>0</v>
      </c>
      <c r="E6" s="30">
        <v>0</v>
      </c>
      <c r="F6" s="30">
        <v>0</v>
      </c>
      <c r="G6" s="31">
        <f>SUM(AL_FINANCIAL)</f>
        <v>0</v>
      </c>
      <c r="H6" s="30"/>
      <c r="I6" s="30"/>
      <c r="J6" s="30"/>
      <c r="K6" s="30"/>
      <c r="L6" s="29"/>
      <c r="M6" s="30"/>
      <c r="N6" s="30"/>
      <c r="O6" s="30"/>
      <c r="P6" s="30"/>
      <c r="Q6" s="30"/>
      <c r="R6" s="30"/>
      <c r="S6" s="30"/>
      <c r="T6" s="30"/>
      <c r="U6" s="30"/>
      <c r="V6" s="31"/>
    </row>
    <row r="7" spans="1:22">
      <c r="A7" s="1" t="s">
        <v>12</v>
      </c>
      <c r="B7" s="29">
        <v>0</v>
      </c>
      <c r="C7" s="30">
        <v>0</v>
      </c>
      <c r="D7" s="30">
        <v>0</v>
      </c>
      <c r="E7" s="30">
        <v>0</v>
      </c>
      <c r="F7" s="30">
        <v>0</v>
      </c>
      <c r="G7" s="31">
        <f>SUM(AK_FINANCIAL)</f>
        <v>0</v>
      </c>
      <c r="H7" s="30"/>
      <c r="I7" s="32"/>
      <c r="J7" s="33"/>
      <c r="K7" s="30"/>
      <c r="L7" s="29"/>
      <c r="M7" s="30"/>
      <c r="N7" s="30"/>
      <c r="O7" s="30"/>
      <c r="P7" s="30"/>
      <c r="Q7" s="30"/>
      <c r="R7" s="30"/>
      <c r="S7" s="30"/>
      <c r="T7" s="30"/>
      <c r="U7" s="30"/>
      <c r="V7" s="31"/>
    </row>
    <row r="8" spans="1:22">
      <c r="A8" s="1" t="s">
        <v>13</v>
      </c>
      <c r="B8" s="29">
        <v>0</v>
      </c>
      <c r="C8" s="30">
        <v>0</v>
      </c>
      <c r="D8" s="30">
        <v>0</v>
      </c>
      <c r="E8" s="30">
        <v>0</v>
      </c>
      <c r="F8" s="30">
        <v>0</v>
      </c>
      <c r="G8" s="31">
        <f>SUM(AZ_FINANCIAL)</f>
        <v>0</v>
      </c>
      <c r="H8" s="30"/>
      <c r="I8" s="34" t="s">
        <v>14</v>
      </c>
      <c r="J8" s="35"/>
      <c r="K8" s="30"/>
      <c r="L8" s="29"/>
      <c r="M8" s="30"/>
      <c r="N8" s="30"/>
      <c r="O8" s="30"/>
      <c r="P8" s="30"/>
      <c r="Q8" s="30"/>
      <c r="R8" s="30"/>
      <c r="S8" s="30"/>
      <c r="T8" s="30"/>
      <c r="U8" s="30"/>
      <c r="V8" s="31"/>
    </row>
    <row r="9" spans="1:22">
      <c r="A9" s="1" t="s">
        <v>15</v>
      </c>
      <c r="B9" s="29">
        <v>0</v>
      </c>
      <c r="C9" s="30">
        <v>0</v>
      </c>
      <c r="D9" s="30">
        <v>0</v>
      </c>
      <c r="E9" s="30">
        <v>0</v>
      </c>
      <c r="F9" s="30">
        <v>0</v>
      </c>
      <c r="G9" s="31">
        <f>SUM(AR_FINANCIAL)</f>
        <v>0</v>
      </c>
      <c r="H9" s="30"/>
      <c r="I9" s="34"/>
      <c r="J9" s="35"/>
      <c r="K9" s="30"/>
      <c r="L9" s="29"/>
      <c r="M9" s="30"/>
      <c r="N9" s="30"/>
      <c r="O9" s="30"/>
      <c r="P9" s="30"/>
      <c r="Q9" s="30"/>
      <c r="R9" s="30"/>
      <c r="S9" s="30"/>
      <c r="T9" s="30"/>
      <c r="U9" s="30"/>
      <c r="V9" s="31"/>
    </row>
    <row r="10" spans="1:22">
      <c r="A10" s="1" t="s">
        <v>16</v>
      </c>
      <c r="B10" s="29">
        <v>0</v>
      </c>
      <c r="C10" s="30">
        <v>0</v>
      </c>
      <c r="D10" s="30">
        <v>0</v>
      </c>
      <c r="E10" s="30">
        <v>0</v>
      </c>
      <c r="F10" s="30">
        <v>0</v>
      </c>
      <c r="G10" s="31">
        <f>SUM(CA_FINANCIAL)</f>
        <v>0</v>
      </c>
      <c r="H10" s="30"/>
      <c r="I10" s="34" t="s">
        <v>17</v>
      </c>
      <c r="J10" s="35">
        <v>37107863.440000005</v>
      </c>
      <c r="K10" s="30"/>
      <c r="L10" s="29"/>
      <c r="M10" s="30"/>
      <c r="N10" s="30"/>
      <c r="O10" s="30"/>
      <c r="P10" s="30"/>
      <c r="Q10" s="30"/>
      <c r="R10" s="30"/>
      <c r="S10" s="30"/>
      <c r="T10" s="30"/>
      <c r="U10" s="30"/>
      <c r="V10" s="31"/>
    </row>
    <row r="11" spans="1:22">
      <c r="A11" s="1" t="s">
        <v>18</v>
      </c>
      <c r="B11" s="29">
        <v>0</v>
      </c>
      <c r="C11" s="30">
        <v>0</v>
      </c>
      <c r="D11" s="30">
        <v>0</v>
      </c>
      <c r="E11" s="30">
        <v>0</v>
      </c>
      <c r="F11" s="30">
        <v>0</v>
      </c>
      <c r="G11" s="31">
        <f>SUM(CO_FINANCIAL)</f>
        <v>0</v>
      </c>
      <c r="H11" s="30"/>
      <c r="I11" s="34"/>
      <c r="J11" s="35"/>
      <c r="K11" s="30"/>
      <c r="L11" s="29"/>
      <c r="M11" s="30"/>
      <c r="N11" s="30"/>
      <c r="O11" s="30"/>
      <c r="P11" s="30"/>
      <c r="Q11" s="30"/>
      <c r="R11" s="30"/>
      <c r="S11" s="30"/>
      <c r="T11" s="30"/>
      <c r="U11" s="30"/>
      <c r="V11" s="31"/>
    </row>
    <row r="12" spans="1:22">
      <c r="A12" s="1" t="s">
        <v>19</v>
      </c>
      <c r="B12" s="29">
        <v>0</v>
      </c>
      <c r="C12" s="30">
        <v>0</v>
      </c>
      <c r="D12" s="30">
        <v>0</v>
      </c>
      <c r="E12" s="30">
        <v>0</v>
      </c>
      <c r="F12" s="30">
        <v>0</v>
      </c>
      <c r="G12" s="31">
        <f>SUM(CT_FINANCIAL)</f>
        <v>0</v>
      </c>
      <c r="H12" s="30"/>
      <c r="I12" s="34" t="s">
        <v>20</v>
      </c>
      <c r="J12" s="35"/>
      <c r="K12" s="30"/>
      <c r="L12" s="29"/>
      <c r="M12" s="30"/>
      <c r="N12" s="30"/>
      <c r="O12" s="30"/>
      <c r="P12" s="30"/>
      <c r="Q12" s="30"/>
      <c r="R12" s="30"/>
      <c r="S12" s="30"/>
      <c r="T12" s="30"/>
      <c r="U12" s="30"/>
      <c r="V12" s="31"/>
    </row>
    <row r="13" spans="1:22">
      <c r="A13" s="1" t="s">
        <v>21</v>
      </c>
      <c r="B13" s="29">
        <v>0</v>
      </c>
      <c r="C13" s="30">
        <v>0</v>
      </c>
      <c r="D13" s="30">
        <v>0</v>
      </c>
      <c r="E13" s="30">
        <v>0</v>
      </c>
      <c r="F13" s="30">
        <v>0</v>
      </c>
      <c r="G13" s="31">
        <f>SUM(DE_FINANCIAL)</f>
        <v>0</v>
      </c>
      <c r="H13" s="30"/>
      <c r="I13" s="34" t="s">
        <v>22</v>
      </c>
      <c r="J13" s="35">
        <v>36211540.130000003</v>
      </c>
      <c r="K13" s="30"/>
      <c r="L13" s="29"/>
      <c r="M13" s="30"/>
      <c r="N13" s="30"/>
      <c r="O13" s="30"/>
      <c r="P13" s="30"/>
      <c r="Q13" s="30"/>
      <c r="R13" s="30"/>
      <c r="S13" s="30"/>
      <c r="T13" s="30"/>
      <c r="U13" s="30"/>
      <c r="V13" s="31"/>
    </row>
    <row r="14" spans="1:22">
      <c r="A14" s="1" t="s">
        <v>23</v>
      </c>
      <c r="B14" s="29">
        <v>0</v>
      </c>
      <c r="C14" s="30">
        <v>0</v>
      </c>
      <c r="D14" s="30">
        <v>0</v>
      </c>
      <c r="E14" s="30">
        <v>0</v>
      </c>
      <c r="F14" s="30">
        <v>0</v>
      </c>
      <c r="G14" s="31">
        <f>SUM(DC_FINANCIAL)</f>
        <v>0</v>
      </c>
      <c r="H14" s="30"/>
      <c r="I14" s="34" t="s">
        <v>24</v>
      </c>
      <c r="J14" s="35">
        <v>4253331.22</v>
      </c>
      <c r="K14" s="30"/>
      <c r="L14" s="29"/>
      <c r="M14" s="30"/>
      <c r="N14" s="30"/>
      <c r="O14" s="30"/>
      <c r="P14" s="30"/>
      <c r="Q14" s="30"/>
      <c r="R14" s="30"/>
      <c r="S14" s="30"/>
      <c r="T14" s="30"/>
      <c r="U14" s="30"/>
      <c r="V14" s="31"/>
    </row>
    <row r="15" spans="1:22">
      <c r="A15" s="1" t="s">
        <v>25</v>
      </c>
      <c r="B15" s="29">
        <v>0</v>
      </c>
      <c r="C15" s="30">
        <v>0</v>
      </c>
      <c r="D15" s="30">
        <v>0</v>
      </c>
      <c r="E15" s="30">
        <v>0</v>
      </c>
      <c r="F15" s="30">
        <v>0</v>
      </c>
      <c r="G15" s="31">
        <f>SUM(FL_FINANCIAL)</f>
        <v>0</v>
      </c>
      <c r="H15" s="30"/>
      <c r="I15" s="34" t="s">
        <v>26</v>
      </c>
      <c r="J15" s="35">
        <v>0</v>
      </c>
      <c r="K15" s="30"/>
      <c r="L15" s="29"/>
      <c r="M15" s="30"/>
      <c r="N15" s="30"/>
      <c r="O15" s="30"/>
      <c r="P15" s="30"/>
      <c r="Q15" s="30"/>
      <c r="R15" s="30"/>
      <c r="S15" s="30"/>
      <c r="T15" s="30"/>
      <c r="U15" s="30"/>
      <c r="V15" s="31"/>
    </row>
    <row r="16" spans="1:22">
      <c r="A16" s="1" t="s">
        <v>27</v>
      </c>
      <c r="B16" s="29">
        <v>0</v>
      </c>
      <c r="C16" s="30">
        <v>0</v>
      </c>
      <c r="D16" s="30">
        <v>0</v>
      </c>
      <c r="E16" s="30">
        <v>0</v>
      </c>
      <c r="F16" s="30">
        <v>0</v>
      </c>
      <c r="G16" s="31">
        <f>SUM(GA_FINANCIAL)</f>
        <v>0</v>
      </c>
      <c r="H16" s="30"/>
      <c r="I16" s="34" t="s">
        <v>28</v>
      </c>
      <c r="J16" s="35">
        <v>300000</v>
      </c>
      <c r="K16" s="30"/>
      <c r="L16" s="29"/>
      <c r="M16" s="30"/>
      <c r="N16" s="30"/>
      <c r="O16" s="30"/>
      <c r="P16" s="30"/>
      <c r="Q16" s="30"/>
      <c r="R16" s="30"/>
      <c r="S16" s="30"/>
      <c r="T16" s="30"/>
      <c r="U16" s="30"/>
      <c r="V16" s="31"/>
    </row>
    <row r="17" spans="1:22">
      <c r="A17" s="1" t="s">
        <v>29</v>
      </c>
      <c r="B17" s="29">
        <v>0</v>
      </c>
      <c r="C17" s="30">
        <v>0</v>
      </c>
      <c r="D17" s="30">
        <v>0</v>
      </c>
      <c r="E17" s="30">
        <v>0</v>
      </c>
      <c r="F17" s="30">
        <v>0</v>
      </c>
      <c r="G17" s="31">
        <f>SUM(HI_FINANCIAL)</f>
        <v>0</v>
      </c>
      <c r="H17" s="30"/>
      <c r="I17" s="34"/>
      <c r="J17" s="35"/>
      <c r="K17" s="30"/>
      <c r="L17" s="29"/>
      <c r="M17" s="30"/>
      <c r="N17" s="30"/>
      <c r="O17" s="30"/>
      <c r="P17" s="30"/>
      <c r="Q17" s="30"/>
      <c r="R17" s="30"/>
      <c r="S17" s="30"/>
      <c r="T17" s="30"/>
      <c r="U17" s="30"/>
      <c r="V17" s="31"/>
    </row>
    <row r="18" spans="1:22">
      <c r="A18" s="1" t="s">
        <v>30</v>
      </c>
      <c r="B18" s="29">
        <v>0</v>
      </c>
      <c r="C18" s="30">
        <v>0</v>
      </c>
      <c r="D18" s="30">
        <v>0</v>
      </c>
      <c r="E18" s="30">
        <v>0</v>
      </c>
      <c r="F18" s="30">
        <v>0</v>
      </c>
      <c r="G18" s="31">
        <f>SUM(ID_FINANCIAL)</f>
        <v>0</v>
      </c>
      <c r="H18" s="30"/>
      <c r="I18" s="34" t="s">
        <v>31</v>
      </c>
      <c r="J18" s="35"/>
      <c r="K18" s="30"/>
      <c r="L18" s="29"/>
      <c r="M18" s="30"/>
      <c r="N18" s="30"/>
      <c r="O18" s="30"/>
      <c r="P18" s="30"/>
      <c r="Q18" s="30"/>
      <c r="R18" s="30"/>
      <c r="S18" s="30"/>
      <c r="T18" s="30"/>
      <c r="U18" s="30"/>
      <c r="V18" s="31"/>
    </row>
    <row r="19" spans="1:22">
      <c r="A19" s="1" t="s">
        <v>32</v>
      </c>
      <c r="B19" s="29">
        <v>0</v>
      </c>
      <c r="C19" s="30">
        <v>0</v>
      </c>
      <c r="D19" s="30">
        <v>0</v>
      </c>
      <c r="E19" s="30">
        <v>0</v>
      </c>
      <c r="F19" s="30">
        <v>0</v>
      </c>
      <c r="G19" s="31">
        <f>SUM(IL_FINANCIAL)</f>
        <v>0</v>
      </c>
      <c r="H19" s="30"/>
      <c r="I19" s="34" t="s">
        <v>33</v>
      </c>
      <c r="J19" s="35">
        <v>0</v>
      </c>
      <c r="K19" s="30"/>
      <c r="L19" s="29"/>
      <c r="M19" s="30"/>
      <c r="N19" s="30"/>
      <c r="O19" s="30"/>
      <c r="P19" s="30"/>
      <c r="Q19" s="30"/>
      <c r="R19" s="30"/>
      <c r="S19" s="30"/>
      <c r="T19" s="30"/>
      <c r="U19" s="30"/>
      <c r="V19" s="31"/>
    </row>
    <row r="20" spans="1:22">
      <c r="A20" s="1" t="s">
        <v>34</v>
      </c>
      <c r="B20" s="29">
        <v>0</v>
      </c>
      <c r="C20" s="30">
        <v>0</v>
      </c>
      <c r="D20" s="30">
        <v>0</v>
      </c>
      <c r="E20" s="30">
        <v>0</v>
      </c>
      <c r="F20" s="30">
        <v>0</v>
      </c>
      <c r="G20" s="31">
        <f>SUM(IN_FINANCIAL)</f>
        <v>0</v>
      </c>
      <c r="H20" s="30"/>
      <c r="I20" s="34" t="s">
        <v>35</v>
      </c>
      <c r="J20" s="35">
        <v>37107863.440000005</v>
      </c>
      <c r="K20" s="30"/>
      <c r="L20" s="29"/>
      <c r="M20" s="30"/>
      <c r="N20" s="30"/>
      <c r="O20" s="30"/>
      <c r="P20" s="30"/>
      <c r="Q20" s="30"/>
      <c r="R20" s="30"/>
      <c r="S20" s="30"/>
      <c r="T20" s="30"/>
      <c r="U20" s="30"/>
      <c r="V20" s="31"/>
    </row>
    <row r="21" spans="1:22">
      <c r="A21" s="1" t="s">
        <v>36</v>
      </c>
      <c r="B21" s="29">
        <v>0</v>
      </c>
      <c r="C21" s="30">
        <v>0</v>
      </c>
      <c r="D21" s="30">
        <v>0</v>
      </c>
      <c r="E21" s="30">
        <v>0</v>
      </c>
      <c r="F21" s="30">
        <v>0</v>
      </c>
      <c r="G21" s="31">
        <f>SUM(IA_FINANCIAL)</f>
        <v>0</v>
      </c>
      <c r="H21" s="30"/>
      <c r="I21" s="34" t="s">
        <v>37</v>
      </c>
      <c r="J21" s="35"/>
      <c r="K21" s="30"/>
      <c r="L21" s="29"/>
      <c r="M21" s="30"/>
      <c r="N21" s="30"/>
      <c r="O21" s="30"/>
      <c r="P21" s="30"/>
      <c r="Q21" s="30"/>
      <c r="R21" s="30"/>
      <c r="S21" s="30"/>
      <c r="T21" s="30"/>
      <c r="U21" s="30"/>
      <c r="V21" s="31"/>
    </row>
    <row r="22" spans="1:22">
      <c r="A22" s="1" t="s">
        <v>38</v>
      </c>
      <c r="B22" s="29">
        <v>0</v>
      </c>
      <c r="C22" s="30">
        <v>0</v>
      </c>
      <c r="D22" s="30">
        <v>0</v>
      </c>
      <c r="E22" s="30">
        <v>0</v>
      </c>
      <c r="F22" s="30">
        <v>0</v>
      </c>
      <c r="G22" s="31">
        <f>SUM(KS_FINANCIAL)</f>
        <v>0</v>
      </c>
      <c r="H22" s="30"/>
      <c r="I22" s="34" t="s">
        <v>39</v>
      </c>
      <c r="J22" s="35">
        <v>0</v>
      </c>
      <c r="K22" s="30"/>
      <c r="L22" s="29"/>
      <c r="M22" s="30"/>
      <c r="N22" s="30"/>
      <c r="O22" s="30"/>
      <c r="P22" s="30"/>
      <c r="Q22" s="30"/>
      <c r="R22" s="30"/>
      <c r="S22" s="30"/>
      <c r="T22" s="30"/>
      <c r="U22" s="30"/>
      <c r="V22" s="31"/>
    </row>
    <row r="23" spans="1:22">
      <c r="A23" s="1" t="s">
        <v>40</v>
      </c>
      <c r="B23" s="29">
        <v>0</v>
      </c>
      <c r="C23" s="30">
        <v>0</v>
      </c>
      <c r="D23" s="30">
        <v>0</v>
      </c>
      <c r="E23" s="30">
        <v>0</v>
      </c>
      <c r="F23" s="30">
        <v>0</v>
      </c>
      <c r="G23" s="31">
        <f>SUM(KY_FINANCIAL)</f>
        <v>0</v>
      </c>
      <c r="H23" s="30"/>
      <c r="I23" s="34" t="s">
        <v>41</v>
      </c>
      <c r="J23" s="35"/>
      <c r="K23" s="30"/>
      <c r="L23" s="29"/>
      <c r="M23" s="30"/>
      <c r="N23" s="30"/>
      <c r="O23" s="30"/>
      <c r="P23" s="30"/>
      <c r="Q23" s="30"/>
      <c r="R23" s="30"/>
      <c r="S23" s="30"/>
      <c r="T23" s="30"/>
      <c r="U23" s="30"/>
      <c r="V23" s="31"/>
    </row>
    <row r="24" spans="1:22">
      <c r="A24" s="1" t="s">
        <v>42</v>
      </c>
      <c r="B24" s="29">
        <v>0</v>
      </c>
      <c r="C24" s="30">
        <v>0</v>
      </c>
      <c r="D24" s="30">
        <v>0</v>
      </c>
      <c r="E24" s="30">
        <v>0</v>
      </c>
      <c r="F24" s="30">
        <v>0</v>
      </c>
      <c r="G24" s="31">
        <f>SUM(LA_FINANCIAL)</f>
        <v>0</v>
      </c>
      <c r="H24" s="30"/>
      <c r="I24" s="34" t="s">
        <v>43</v>
      </c>
      <c r="J24" s="35">
        <v>5980622.3899999997</v>
      </c>
      <c r="K24" s="30"/>
      <c r="L24" s="29"/>
      <c r="M24" s="30"/>
      <c r="N24" s="30"/>
      <c r="O24" s="30"/>
      <c r="P24" s="30"/>
      <c r="Q24" s="30"/>
      <c r="R24" s="30"/>
      <c r="S24" s="30"/>
      <c r="T24" s="30"/>
      <c r="U24" s="30"/>
      <c r="V24" s="31"/>
    </row>
    <row r="25" spans="1:22">
      <c r="A25" s="1" t="s">
        <v>44</v>
      </c>
      <c r="B25" s="29">
        <v>0</v>
      </c>
      <c r="C25" s="30">
        <v>0</v>
      </c>
      <c r="D25" s="30">
        <v>0</v>
      </c>
      <c r="E25" s="30">
        <v>0</v>
      </c>
      <c r="F25" s="30">
        <v>0</v>
      </c>
      <c r="G25" s="31">
        <f>SUM(ME_FINANCIAL)</f>
        <v>0</v>
      </c>
      <c r="H25" s="30"/>
      <c r="I25" s="34"/>
      <c r="J25" s="35"/>
      <c r="K25" s="30"/>
      <c r="L25" s="29"/>
      <c r="M25" s="30"/>
      <c r="N25" s="30"/>
      <c r="O25" s="30"/>
      <c r="P25" s="30"/>
      <c r="Q25" s="30"/>
      <c r="R25" s="30"/>
      <c r="S25" s="30"/>
      <c r="T25" s="30"/>
      <c r="U25" s="30"/>
      <c r="V25" s="31"/>
    </row>
    <row r="26" spans="1:22">
      <c r="A26" s="1" t="s">
        <v>45</v>
      </c>
      <c r="B26" s="29">
        <v>0</v>
      </c>
      <c r="C26" s="30">
        <v>0</v>
      </c>
      <c r="D26" s="30">
        <v>0</v>
      </c>
      <c r="E26" s="30">
        <v>0</v>
      </c>
      <c r="F26" s="30">
        <v>0</v>
      </c>
      <c r="G26" s="31">
        <f>SUM(MD_FINANCIAL)</f>
        <v>0</v>
      </c>
      <c r="H26" s="30"/>
      <c r="I26" s="34" t="s">
        <v>46</v>
      </c>
      <c r="J26" s="35">
        <f>SUM(ADD_FINANCIAL)-SUM(LESS_FINANCIAL)</f>
        <v>34784248.960000001</v>
      </c>
      <c r="K26" s="30"/>
      <c r="L26" s="29"/>
      <c r="M26" s="30"/>
      <c r="N26" s="30"/>
      <c r="O26" s="30"/>
      <c r="P26" s="30"/>
      <c r="Q26" s="30"/>
      <c r="R26" s="30"/>
      <c r="S26" s="30"/>
      <c r="T26" s="30"/>
      <c r="U26" s="30"/>
      <c r="V26" s="31"/>
    </row>
    <row r="27" spans="1:22">
      <c r="A27" s="1" t="s">
        <v>47</v>
      </c>
      <c r="B27" s="29">
        <v>0</v>
      </c>
      <c r="C27" s="30">
        <v>0</v>
      </c>
      <c r="D27" s="30">
        <v>0</v>
      </c>
      <c r="E27" s="30">
        <v>0</v>
      </c>
      <c r="F27" s="30">
        <v>0</v>
      </c>
      <c r="G27" s="31">
        <f>SUM(MA_FINANCIAL)</f>
        <v>0</v>
      </c>
      <c r="H27" s="30"/>
      <c r="I27" s="34" t="s">
        <v>48</v>
      </c>
      <c r="J27" s="35">
        <f>SUM(ALL_BLOCKS)</f>
        <v>34784248.960000001</v>
      </c>
      <c r="K27" s="30"/>
      <c r="L27" s="29"/>
      <c r="M27" s="30"/>
      <c r="N27" s="30"/>
      <c r="O27" s="30"/>
      <c r="P27" s="30"/>
      <c r="Q27" s="30"/>
      <c r="R27" s="30"/>
      <c r="S27" s="30"/>
      <c r="T27" s="30"/>
      <c r="U27" s="30"/>
      <c r="V27" s="31"/>
    </row>
    <row r="28" spans="1:22">
      <c r="A28" s="1" t="s">
        <v>49</v>
      </c>
      <c r="B28" s="29">
        <v>0</v>
      </c>
      <c r="C28" s="30">
        <v>0</v>
      </c>
      <c r="D28" s="30">
        <v>0</v>
      </c>
      <c r="E28" s="30">
        <v>0</v>
      </c>
      <c r="F28" s="30">
        <v>0</v>
      </c>
      <c r="G28" s="31">
        <f>SUM(MI_FINANCIAL)</f>
        <v>0</v>
      </c>
      <c r="H28" s="30"/>
      <c r="I28" s="36"/>
      <c r="J28" s="37"/>
      <c r="K28" s="30"/>
      <c r="L28" s="29"/>
      <c r="M28" s="30"/>
      <c r="N28" s="30"/>
      <c r="O28" s="30"/>
      <c r="P28" s="30"/>
      <c r="Q28" s="30"/>
      <c r="R28" s="30"/>
      <c r="S28" s="30"/>
      <c r="T28" s="30"/>
      <c r="U28" s="30"/>
      <c r="V28" s="31"/>
    </row>
    <row r="29" spans="1:22">
      <c r="A29" s="1" t="s">
        <v>50</v>
      </c>
      <c r="B29" s="29">
        <v>0</v>
      </c>
      <c r="C29" s="30">
        <v>0</v>
      </c>
      <c r="D29" s="30">
        <v>0</v>
      </c>
      <c r="E29" s="30">
        <v>0</v>
      </c>
      <c r="F29" s="30">
        <v>0</v>
      </c>
      <c r="G29" s="31">
        <f>SUM(MN_FINANCIAL)</f>
        <v>0</v>
      </c>
      <c r="H29" s="30"/>
      <c r="I29" s="30"/>
      <c r="J29" s="30"/>
      <c r="K29" s="30"/>
      <c r="L29" s="29"/>
      <c r="M29" s="30"/>
      <c r="N29" s="30"/>
      <c r="O29" s="30"/>
      <c r="P29" s="30"/>
      <c r="Q29" s="30"/>
      <c r="R29" s="30"/>
      <c r="S29" s="30"/>
      <c r="T29" s="30"/>
      <c r="U29" s="30"/>
      <c r="V29" s="31"/>
    </row>
    <row r="30" spans="1:22">
      <c r="A30" s="1" t="s">
        <v>51</v>
      </c>
      <c r="B30" s="29">
        <v>0</v>
      </c>
      <c r="C30" s="30">
        <v>0</v>
      </c>
      <c r="D30" s="30">
        <v>0</v>
      </c>
      <c r="E30" s="30">
        <v>0</v>
      </c>
      <c r="F30" s="30">
        <v>0</v>
      </c>
      <c r="G30" s="31">
        <f>SUM(MS_FINANCIAL)</f>
        <v>0</v>
      </c>
      <c r="H30" s="30"/>
      <c r="I30" s="30"/>
      <c r="J30" s="30"/>
      <c r="K30" s="30"/>
      <c r="L30" s="29"/>
      <c r="M30" s="30"/>
      <c r="N30" s="30"/>
      <c r="O30" s="30"/>
      <c r="P30" s="30"/>
      <c r="Q30" s="30"/>
      <c r="R30" s="30"/>
      <c r="S30" s="30"/>
      <c r="T30" s="30"/>
      <c r="U30" s="30"/>
      <c r="V30" s="31"/>
    </row>
    <row r="31" spans="1:22">
      <c r="A31" s="1" t="s">
        <v>52</v>
      </c>
      <c r="B31" s="29">
        <v>0</v>
      </c>
      <c r="C31" s="30">
        <v>0</v>
      </c>
      <c r="D31" s="30">
        <v>0</v>
      </c>
      <c r="E31" s="30">
        <v>0</v>
      </c>
      <c r="F31" s="30">
        <v>0</v>
      </c>
      <c r="G31" s="31">
        <f>SUM(MO_FINANCIAL)</f>
        <v>0</v>
      </c>
      <c r="H31" s="30"/>
      <c r="I31" s="30"/>
      <c r="J31" s="30"/>
      <c r="K31" s="30"/>
      <c r="L31" s="29"/>
      <c r="M31" s="30"/>
      <c r="N31" s="30"/>
      <c r="O31" s="30"/>
      <c r="P31" s="30"/>
      <c r="Q31" s="30"/>
      <c r="R31" s="30"/>
      <c r="S31" s="30"/>
      <c r="T31" s="30"/>
      <c r="U31" s="30"/>
      <c r="V31" s="31"/>
    </row>
    <row r="32" spans="1:22">
      <c r="A32" s="1" t="s">
        <v>53</v>
      </c>
      <c r="B32" s="29">
        <v>0</v>
      </c>
      <c r="C32" s="30">
        <v>0</v>
      </c>
      <c r="D32" s="30">
        <v>0</v>
      </c>
      <c r="E32" s="30">
        <v>0</v>
      </c>
      <c r="F32" s="30">
        <v>0</v>
      </c>
      <c r="G32" s="31">
        <f>SUM(MT_FINANCIAL)</f>
        <v>0</v>
      </c>
      <c r="H32" s="30"/>
      <c r="I32" s="30"/>
      <c r="J32" s="30"/>
      <c r="K32" s="30"/>
      <c r="L32" s="29"/>
      <c r="M32" s="30"/>
      <c r="N32" s="30"/>
      <c r="O32" s="30"/>
      <c r="P32" s="30"/>
      <c r="Q32" s="30"/>
      <c r="R32" s="30"/>
      <c r="S32" s="30"/>
      <c r="T32" s="30"/>
      <c r="U32" s="30"/>
      <c r="V32" s="31"/>
    </row>
    <row r="33" spans="1:22">
      <c r="A33" s="1" t="s">
        <v>54</v>
      </c>
      <c r="B33" s="29">
        <v>0</v>
      </c>
      <c r="C33" s="30">
        <v>0</v>
      </c>
      <c r="D33" s="30">
        <v>0</v>
      </c>
      <c r="E33" s="30">
        <v>0</v>
      </c>
      <c r="F33" s="30">
        <v>0</v>
      </c>
      <c r="G33" s="31">
        <f>SUM(NE_FINANCIAL)</f>
        <v>0</v>
      </c>
      <c r="H33" s="30"/>
      <c r="I33" s="30"/>
      <c r="J33" s="30"/>
      <c r="K33" s="30"/>
      <c r="L33" s="29"/>
      <c r="M33" s="30"/>
      <c r="N33" s="30"/>
      <c r="O33" s="30"/>
      <c r="P33" s="30"/>
      <c r="Q33" s="30"/>
      <c r="R33" s="30"/>
      <c r="S33" s="30"/>
      <c r="T33" s="30"/>
      <c r="U33" s="30"/>
      <c r="V33" s="31"/>
    </row>
    <row r="34" spans="1:22">
      <c r="A34" s="1" t="s">
        <v>55</v>
      </c>
      <c r="B34" s="29">
        <v>0</v>
      </c>
      <c r="C34" s="30">
        <v>0</v>
      </c>
      <c r="D34" s="30">
        <v>0</v>
      </c>
      <c r="E34" s="30">
        <v>0</v>
      </c>
      <c r="F34" s="30">
        <v>0</v>
      </c>
      <c r="G34" s="31">
        <f>SUM(NV_FINANCIAL)</f>
        <v>0</v>
      </c>
      <c r="H34" s="30"/>
      <c r="I34" s="30"/>
      <c r="J34" s="30"/>
      <c r="K34" s="30"/>
      <c r="L34" s="29"/>
      <c r="M34" s="30"/>
      <c r="N34" s="30"/>
      <c r="O34" s="30"/>
      <c r="P34" s="30"/>
      <c r="Q34" s="30"/>
      <c r="R34" s="30"/>
      <c r="S34" s="30"/>
      <c r="T34" s="30"/>
      <c r="U34" s="30"/>
      <c r="V34" s="31"/>
    </row>
    <row r="35" spans="1:22">
      <c r="A35" s="1" t="s">
        <v>56</v>
      </c>
      <c r="B35" s="29">
        <v>0</v>
      </c>
      <c r="C35" s="30">
        <v>0</v>
      </c>
      <c r="D35" s="30">
        <v>0</v>
      </c>
      <c r="E35" s="30">
        <v>0</v>
      </c>
      <c r="F35" s="30">
        <v>0</v>
      </c>
      <c r="G35" s="31">
        <f>SUM(NH_FINANCIAL)</f>
        <v>0</v>
      </c>
      <c r="H35" s="30"/>
      <c r="I35" s="30"/>
      <c r="J35" s="30"/>
      <c r="K35" s="30"/>
      <c r="L35" s="29"/>
      <c r="M35" s="30"/>
      <c r="N35" s="30"/>
      <c r="O35" s="30"/>
      <c r="P35" s="30"/>
      <c r="Q35" s="30"/>
      <c r="R35" s="30"/>
      <c r="S35" s="30"/>
      <c r="T35" s="30"/>
      <c r="U35" s="30"/>
      <c r="V35" s="31"/>
    </row>
    <row r="36" spans="1:22">
      <c r="A36" s="1" t="s">
        <v>57</v>
      </c>
      <c r="B36" s="29">
        <v>0</v>
      </c>
      <c r="C36" s="30">
        <v>0</v>
      </c>
      <c r="D36" s="30">
        <v>0</v>
      </c>
      <c r="E36" s="30">
        <v>0</v>
      </c>
      <c r="F36" s="30">
        <v>0</v>
      </c>
      <c r="G36" s="31">
        <f>SUM(NJ_FINANCIAL)</f>
        <v>0</v>
      </c>
      <c r="H36" s="30"/>
      <c r="I36" s="30"/>
      <c r="J36" s="30"/>
      <c r="K36" s="30"/>
      <c r="L36" s="29"/>
      <c r="M36" s="30"/>
      <c r="N36" s="30"/>
      <c r="O36" s="30"/>
      <c r="P36" s="30"/>
      <c r="Q36" s="30"/>
      <c r="R36" s="30"/>
      <c r="S36" s="30"/>
      <c r="T36" s="30"/>
      <c r="U36" s="30"/>
      <c r="V36" s="31"/>
    </row>
    <row r="37" spans="1:22">
      <c r="A37" s="1" t="s">
        <v>58</v>
      </c>
      <c r="B37" s="29">
        <v>0</v>
      </c>
      <c r="C37" s="30">
        <v>0</v>
      </c>
      <c r="D37" s="30">
        <v>0</v>
      </c>
      <c r="E37" s="30">
        <v>0</v>
      </c>
      <c r="F37" s="30">
        <v>0</v>
      </c>
      <c r="G37" s="31">
        <f>SUM(NM_FINANCIAL)</f>
        <v>0</v>
      </c>
      <c r="H37" s="30"/>
      <c r="I37" s="30"/>
      <c r="J37" s="30"/>
      <c r="K37" s="30"/>
      <c r="L37" s="29"/>
      <c r="M37" s="30"/>
      <c r="N37" s="30"/>
      <c r="O37" s="30"/>
      <c r="P37" s="30"/>
      <c r="Q37" s="30"/>
      <c r="R37" s="30"/>
      <c r="S37" s="30"/>
      <c r="T37" s="30"/>
      <c r="U37" s="30"/>
      <c r="V37" s="31"/>
    </row>
    <row r="38" spans="1:22">
      <c r="A38" s="1" t="s">
        <v>59</v>
      </c>
      <c r="B38" s="29">
        <v>0</v>
      </c>
      <c r="C38" s="30">
        <v>0</v>
      </c>
      <c r="D38" s="30">
        <v>0</v>
      </c>
      <c r="E38" s="30">
        <v>0</v>
      </c>
      <c r="F38" s="30">
        <v>0</v>
      </c>
      <c r="G38" s="31">
        <f>SUM(NY_FINANCIAL)</f>
        <v>0</v>
      </c>
      <c r="H38" s="30"/>
      <c r="I38" s="30"/>
      <c r="J38" s="30"/>
      <c r="K38" s="30"/>
      <c r="L38" s="29"/>
      <c r="M38" s="30"/>
      <c r="N38" s="30"/>
      <c r="O38" s="30"/>
      <c r="P38" s="30"/>
      <c r="Q38" s="30"/>
      <c r="R38" s="30"/>
      <c r="S38" s="30"/>
      <c r="T38" s="30"/>
      <c r="U38" s="30"/>
      <c r="V38" s="31"/>
    </row>
    <row r="39" spans="1:22">
      <c r="A39" s="1" t="s">
        <v>60</v>
      </c>
      <c r="B39" s="29">
        <v>0</v>
      </c>
      <c r="C39" s="30">
        <v>0</v>
      </c>
      <c r="D39" s="30">
        <v>0</v>
      </c>
      <c r="E39" s="30">
        <v>0</v>
      </c>
      <c r="F39" s="30">
        <v>0</v>
      </c>
      <c r="G39" s="31">
        <f>SUM(NC_FINANCIAL)</f>
        <v>0</v>
      </c>
      <c r="H39" s="30"/>
      <c r="I39" s="30"/>
      <c r="J39" s="30"/>
      <c r="K39" s="30"/>
      <c r="L39" s="29"/>
      <c r="M39" s="30"/>
      <c r="N39" s="30"/>
      <c r="O39" s="30"/>
      <c r="P39" s="30"/>
      <c r="Q39" s="30"/>
      <c r="R39" s="30"/>
      <c r="S39" s="30"/>
      <c r="T39" s="30"/>
      <c r="U39" s="30"/>
      <c r="V39" s="31"/>
    </row>
    <row r="40" spans="1:22">
      <c r="A40" s="1" t="s">
        <v>61</v>
      </c>
      <c r="B40" s="29">
        <v>0</v>
      </c>
      <c r="C40" s="30">
        <v>0</v>
      </c>
      <c r="D40" s="30">
        <v>0</v>
      </c>
      <c r="E40" s="30">
        <v>0</v>
      </c>
      <c r="F40" s="30">
        <v>0</v>
      </c>
      <c r="G40" s="31">
        <f>SUM(ND_FINANCIAL)</f>
        <v>0</v>
      </c>
      <c r="H40" s="30"/>
      <c r="I40" s="30"/>
      <c r="J40" s="30"/>
      <c r="K40" s="30"/>
      <c r="L40" s="29"/>
      <c r="M40" s="30"/>
      <c r="N40" s="30"/>
      <c r="O40" s="30"/>
      <c r="P40" s="30"/>
      <c r="Q40" s="30"/>
      <c r="R40" s="30"/>
      <c r="S40" s="30"/>
      <c r="T40" s="30"/>
      <c r="U40" s="30"/>
      <c r="V40" s="31"/>
    </row>
    <row r="41" spans="1:22">
      <c r="A41" s="1" t="s">
        <v>62</v>
      </c>
      <c r="B41" s="29">
        <v>0</v>
      </c>
      <c r="C41" s="30">
        <v>0</v>
      </c>
      <c r="D41" s="30">
        <v>0</v>
      </c>
      <c r="E41" s="30">
        <v>0</v>
      </c>
      <c r="F41" s="30">
        <v>0</v>
      </c>
      <c r="G41" s="31">
        <f>SUM(OH_FINANCIAL)</f>
        <v>0</v>
      </c>
      <c r="H41" s="30"/>
      <c r="I41" s="30"/>
      <c r="J41" s="30"/>
      <c r="K41" s="30"/>
      <c r="L41" s="29"/>
      <c r="M41" s="30"/>
      <c r="N41" s="30"/>
      <c r="O41" s="30"/>
      <c r="P41" s="30"/>
      <c r="Q41" s="30"/>
      <c r="R41" s="30"/>
      <c r="S41" s="30"/>
      <c r="T41" s="30"/>
      <c r="U41" s="30"/>
      <c r="V41" s="31"/>
    </row>
    <row r="42" spans="1:22">
      <c r="A42" s="1" t="s">
        <v>63</v>
      </c>
      <c r="B42" s="29">
        <v>0</v>
      </c>
      <c r="C42" s="30">
        <v>0</v>
      </c>
      <c r="D42" s="30">
        <v>0</v>
      </c>
      <c r="E42" s="30">
        <v>0</v>
      </c>
      <c r="F42" s="30">
        <v>0</v>
      </c>
      <c r="G42" s="31">
        <f>SUM(OK_FINANCIAL)</f>
        <v>0</v>
      </c>
      <c r="H42" s="30"/>
      <c r="I42" s="30"/>
      <c r="J42" s="30"/>
      <c r="K42" s="30"/>
      <c r="L42" s="29"/>
      <c r="M42" s="30"/>
      <c r="N42" s="30"/>
      <c r="O42" s="30"/>
      <c r="P42" s="30"/>
      <c r="Q42" s="30"/>
      <c r="R42" s="30"/>
      <c r="S42" s="30"/>
      <c r="T42" s="30"/>
      <c r="U42" s="30"/>
      <c r="V42" s="31"/>
    </row>
    <row r="43" spans="1:22">
      <c r="A43" s="1" t="s">
        <v>64</v>
      </c>
      <c r="B43" s="29">
        <v>0</v>
      </c>
      <c r="C43" s="30">
        <v>0</v>
      </c>
      <c r="D43" s="30">
        <v>0</v>
      </c>
      <c r="E43" s="30">
        <v>0</v>
      </c>
      <c r="F43" s="30">
        <v>0</v>
      </c>
      <c r="G43" s="31">
        <f>SUM(OR_FINANCIAL)</f>
        <v>0</v>
      </c>
      <c r="H43" s="30"/>
      <c r="I43" s="30"/>
      <c r="J43" s="30"/>
      <c r="K43" s="30"/>
      <c r="L43" s="29"/>
      <c r="M43" s="30"/>
      <c r="N43" s="30"/>
      <c r="O43" s="30"/>
      <c r="P43" s="30"/>
      <c r="Q43" s="30"/>
      <c r="R43" s="30"/>
      <c r="S43" s="30"/>
      <c r="T43" s="30"/>
      <c r="U43" s="30"/>
      <c r="V43" s="31"/>
    </row>
    <row r="44" spans="1:22">
      <c r="A44" s="1" t="s">
        <v>65</v>
      </c>
      <c r="B44" s="29">
        <v>0</v>
      </c>
      <c r="C44" s="30">
        <v>0</v>
      </c>
      <c r="D44" s="30">
        <v>0</v>
      </c>
      <c r="E44" s="30">
        <v>0</v>
      </c>
      <c r="F44" s="30">
        <v>0</v>
      </c>
      <c r="G44" s="31">
        <f>SUM(PA_FINANCIAL)</f>
        <v>0</v>
      </c>
      <c r="H44" s="30"/>
      <c r="I44" s="30"/>
      <c r="J44" s="30"/>
      <c r="K44" s="30"/>
      <c r="L44" s="29"/>
      <c r="M44" s="30"/>
      <c r="N44" s="30"/>
      <c r="O44" s="30"/>
      <c r="P44" s="30"/>
      <c r="Q44" s="30"/>
      <c r="R44" s="30"/>
      <c r="S44" s="30"/>
      <c r="T44" s="30"/>
      <c r="U44" s="30"/>
      <c r="V44" s="31"/>
    </row>
    <row r="45" spans="1:22">
      <c r="A45" s="1" t="s">
        <v>66</v>
      </c>
      <c r="B45" s="29">
        <v>0</v>
      </c>
      <c r="C45" s="30">
        <v>0</v>
      </c>
      <c r="D45" s="30">
        <v>0</v>
      </c>
      <c r="E45" s="30">
        <v>0</v>
      </c>
      <c r="F45" s="30">
        <v>0</v>
      </c>
      <c r="G45" s="31">
        <f>SUM(PR_FINANCIAL)</f>
        <v>0</v>
      </c>
      <c r="H45" s="30"/>
      <c r="I45" s="30"/>
      <c r="J45" s="30"/>
      <c r="K45" s="30"/>
      <c r="L45" s="29"/>
      <c r="M45" s="30"/>
      <c r="N45" s="30"/>
      <c r="O45" s="30"/>
      <c r="P45" s="30"/>
      <c r="Q45" s="30"/>
      <c r="R45" s="30"/>
      <c r="S45" s="30"/>
      <c r="T45" s="30"/>
      <c r="U45" s="30"/>
      <c r="V45" s="31"/>
    </row>
    <row r="46" spans="1:22">
      <c r="A46" s="1" t="s">
        <v>67</v>
      </c>
      <c r="B46" s="29">
        <v>0</v>
      </c>
      <c r="C46" s="30">
        <v>0</v>
      </c>
      <c r="D46" s="30">
        <v>0</v>
      </c>
      <c r="E46" s="30">
        <v>0</v>
      </c>
      <c r="F46" s="30">
        <v>0</v>
      </c>
      <c r="G46" s="31">
        <f>SUM(RI_FINANCIAL)</f>
        <v>0</v>
      </c>
      <c r="H46" s="30"/>
      <c r="I46" s="30"/>
      <c r="J46" s="30"/>
      <c r="K46" s="30"/>
      <c r="L46" s="29"/>
      <c r="M46" s="30"/>
      <c r="N46" s="30"/>
      <c r="O46" s="30"/>
      <c r="P46" s="30"/>
      <c r="Q46" s="30"/>
      <c r="R46" s="30"/>
      <c r="S46" s="30"/>
      <c r="T46" s="30"/>
      <c r="U46" s="30"/>
      <c r="V46" s="31"/>
    </row>
    <row r="47" spans="1:22">
      <c r="A47" s="1" t="s">
        <v>68</v>
      </c>
      <c r="B47" s="29">
        <v>0</v>
      </c>
      <c r="C47" s="30">
        <v>0</v>
      </c>
      <c r="D47" s="30">
        <v>34784248.960000001</v>
      </c>
      <c r="E47" s="30">
        <v>0</v>
      </c>
      <c r="F47" s="30">
        <v>0</v>
      </c>
      <c r="G47" s="31">
        <f>SUM(SC_FINANCIAL)</f>
        <v>34784248.960000001</v>
      </c>
      <c r="H47" s="30"/>
      <c r="I47" s="30"/>
      <c r="J47" s="30"/>
      <c r="K47" s="30"/>
      <c r="L47" s="29">
        <v>0</v>
      </c>
      <c r="M47" s="30">
        <v>0</v>
      </c>
      <c r="N47" s="30"/>
      <c r="O47" s="30">
        <v>0</v>
      </c>
      <c r="P47" s="30">
        <v>0</v>
      </c>
      <c r="Q47" s="30"/>
      <c r="R47" s="30">
        <v>48506698</v>
      </c>
      <c r="S47" s="30">
        <v>12548122</v>
      </c>
      <c r="T47" s="30"/>
      <c r="U47" s="30">
        <v>0</v>
      </c>
      <c r="V47" s="31">
        <v>0</v>
      </c>
    </row>
    <row r="48" spans="1:22">
      <c r="A48" s="1" t="s">
        <v>69</v>
      </c>
      <c r="B48" s="29">
        <v>0</v>
      </c>
      <c r="C48" s="30">
        <v>0</v>
      </c>
      <c r="D48" s="30">
        <v>0</v>
      </c>
      <c r="E48" s="30">
        <v>0</v>
      </c>
      <c r="F48" s="30">
        <v>0</v>
      </c>
      <c r="G48" s="31">
        <f>SUM(SD_FINANCIAL)</f>
        <v>0</v>
      </c>
      <c r="H48" s="30"/>
      <c r="I48" s="30"/>
      <c r="J48" s="30"/>
      <c r="K48" s="30"/>
      <c r="L48" s="29"/>
      <c r="M48" s="30"/>
      <c r="N48" s="30"/>
      <c r="O48" s="30"/>
      <c r="P48" s="30"/>
      <c r="Q48" s="30"/>
      <c r="R48" s="30"/>
      <c r="S48" s="30"/>
      <c r="T48" s="30"/>
      <c r="U48" s="30"/>
      <c r="V48" s="31"/>
    </row>
    <row r="49" spans="1:22">
      <c r="A49" s="1" t="s">
        <v>70</v>
      </c>
      <c r="B49" s="29">
        <v>0</v>
      </c>
      <c r="C49" s="30">
        <v>0</v>
      </c>
      <c r="D49" s="30">
        <v>0</v>
      </c>
      <c r="E49" s="30">
        <v>0</v>
      </c>
      <c r="F49" s="30">
        <v>0</v>
      </c>
      <c r="G49" s="31">
        <f>SUM(TN_FINANCIAL)</f>
        <v>0</v>
      </c>
      <c r="H49" s="30"/>
      <c r="I49" s="30"/>
      <c r="J49" s="30"/>
      <c r="K49" s="30"/>
      <c r="L49" s="29"/>
      <c r="M49" s="30"/>
      <c r="N49" s="30"/>
      <c r="O49" s="30"/>
      <c r="P49" s="30"/>
      <c r="Q49" s="30"/>
      <c r="R49" s="30"/>
      <c r="S49" s="30"/>
      <c r="T49" s="30"/>
      <c r="U49" s="30"/>
      <c r="V49" s="31"/>
    </row>
    <row r="50" spans="1:22">
      <c r="A50" s="1" t="s">
        <v>71</v>
      </c>
      <c r="B50" s="29">
        <v>0</v>
      </c>
      <c r="C50" s="30">
        <v>0</v>
      </c>
      <c r="D50" s="30">
        <v>0</v>
      </c>
      <c r="E50" s="30">
        <v>0</v>
      </c>
      <c r="F50" s="30">
        <v>0</v>
      </c>
      <c r="G50" s="31">
        <f>SUM(TX_FINANCIAL)</f>
        <v>0</v>
      </c>
      <c r="H50" s="30"/>
      <c r="I50" s="30"/>
      <c r="J50" s="30"/>
      <c r="K50" s="30"/>
      <c r="L50" s="29"/>
      <c r="M50" s="30"/>
      <c r="N50" s="30"/>
      <c r="O50" s="30"/>
      <c r="P50" s="30"/>
      <c r="Q50" s="30"/>
      <c r="R50" s="30"/>
      <c r="S50" s="30"/>
      <c r="T50" s="30"/>
      <c r="U50" s="30"/>
      <c r="V50" s="31"/>
    </row>
    <row r="51" spans="1:22">
      <c r="A51" s="1" t="s">
        <v>72</v>
      </c>
      <c r="B51" s="29">
        <v>0</v>
      </c>
      <c r="C51" s="30">
        <v>0</v>
      </c>
      <c r="D51" s="30">
        <v>0</v>
      </c>
      <c r="E51" s="30">
        <v>0</v>
      </c>
      <c r="F51" s="30">
        <v>0</v>
      </c>
      <c r="G51" s="31">
        <f>SUM(UT_FINANCIAL)</f>
        <v>0</v>
      </c>
      <c r="H51" s="30"/>
      <c r="I51" s="30"/>
      <c r="J51" s="30"/>
      <c r="K51" s="30"/>
      <c r="L51" s="29"/>
      <c r="M51" s="30"/>
      <c r="N51" s="30"/>
      <c r="O51" s="30"/>
      <c r="P51" s="30"/>
      <c r="Q51" s="30"/>
      <c r="R51" s="30"/>
      <c r="S51" s="30"/>
      <c r="T51" s="30"/>
      <c r="U51" s="30"/>
      <c r="V51" s="31"/>
    </row>
    <row r="52" spans="1:22">
      <c r="A52" s="1" t="s">
        <v>73</v>
      </c>
      <c r="B52" s="29">
        <v>0</v>
      </c>
      <c r="C52" s="30">
        <v>0</v>
      </c>
      <c r="D52" s="30">
        <v>0</v>
      </c>
      <c r="E52" s="30">
        <v>0</v>
      </c>
      <c r="F52" s="30">
        <v>0</v>
      </c>
      <c r="G52" s="31">
        <f>SUM(VT_FINANCIAL)</f>
        <v>0</v>
      </c>
      <c r="H52" s="30"/>
      <c r="I52" s="30"/>
      <c r="J52" s="30"/>
      <c r="K52" s="30"/>
      <c r="L52" s="29"/>
      <c r="M52" s="30"/>
      <c r="N52" s="30"/>
      <c r="O52" s="30"/>
      <c r="P52" s="30"/>
      <c r="Q52" s="30"/>
      <c r="R52" s="30"/>
      <c r="S52" s="30"/>
      <c r="T52" s="30"/>
      <c r="U52" s="30"/>
      <c r="V52" s="31"/>
    </row>
    <row r="53" spans="1:22">
      <c r="A53" s="1" t="s">
        <v>74</v>
      </c>
      <c r="B53" s="29">
        <v>0</v>
      </c>
      <c r="C53" s="30">
        <v>0</v>
      </c>
      <c r="D53" s="30">
        <v>0</v>
      </c>
      <c r="E53" s="30">
        <v>0</v>
      </c>
      <c r="F53" s="30">
        <v>0</v>
      </c>
      <c r="G53" s="31">
        <f>SUM(VA_FINANCIAL)</f>
        <v>0</v>
      </c>
      <c r="H53" s="30"/>
      <c r="I53" s="30"/>
      <c r="J53" s="30"/>
      <c r="K53" s="30"/>
      <c r="L53" s="29"/>
      <c r="M53" s="30"/>
      <c r="N53" s="30"/>
      <c r="O53" s="30"/>
      <c r="P53" s="30"/>
      <c r="Q53" s="30"/>
      <c r="R53" s="30"/>
      <c r="S53" s="30"/>
      <c r="T53" s="30"/>
      <c r="U53" s="30"/>
      <c r="V53" s="31"/>
    </row>
    <row r="54" spans="1:22">
      <c r="A54" s="1" t="s">
        <v>75</v>
      </c>
      <c r="B54" s="29">
        <v>0</v>
      </c>
      <c r="C54" s="30">
        <v>0</v>
      </c>
      <c r="D54" s="30">
        <v>0</v>
      </c>
      <c r="E54" s="30">
        <v>0</v>
      </c>
      <c r="F54" s="30">
        <v>0</v>
      </c>
      <c r="G54" s="31">
        <f>SUM(WA_FINANCIAL)</f>
        <v>0</v>
      </c>
      <c r="H54" s="30"/>
      <c r="I54" s="30"/>
      <c r="J54" s="30"/>
      <c r="K54" s="30"/>
      <c r="L54" s="29"/>
      <c r="M54" s="30"/>
      <c r="N54" s="30"/>
      <c r="O54" s="30"/>
      <c r="P54" s="30"/>
      <c r="Q54" s="30"/>
      <c r="R54" s="30"/>
      <c r="S54" s="30"/>
      <c r="T54" s="30"/>
      <c r="U54" s="30"/>
      <c r="V54" s="31"/>
    </row>
    <row r="55" spans="1:22">
      <c r="A55" s="1" t="s">
        <v>76</v>
      </c>
      <c r="B55" s="29">
        <v>0</v>
      </c>
      <c r="C55" s="30">
        <v>0</v>
      </c>
      <c r="D55" s="30">
        <v>0</v>
      </c>
      <c r="E55" s="30">
        <v>0</v>
      </c>
      <c r="F55" s="30">
        <v>0</v>
      </c>
      <c r="G55" s="31">
        <f>SUM(WV_FINANCIAL)</f>
        <v>0</v>
      </c>
      <c r="H55" s="30"/>
      <c r="I55" s="30"/>
      <c r="J55" s="30"/>
      <c r="K55" s="30"/>
      <c r="L55" s="29"/>
      <c r="M55" s="30"/>
      <c r="N55" s="30"/>
      <c r="O55" s="30"/>
      <c r="P55" s="30"/>
      <c r="Q55" s="30"/>
      <c r="R55" s="30"/>
      <c r="S55" s="30"/>
      <c r="T55" s="30"/>
      <c r="U55" s="30"/>
      <c r="V55" s="31"/>
    </row>
    <row r="56" spans="1:22">
      <c r="A56" s="1" t="s">
        <v>77</v>
      </c>
      <c r="B56" s="29">
        <v>0</v>
      </c>
      <c r="C56" s="30">
        <v>0</v>
      </c>
      <c r="D56" s="30">
        <v>0</v>
      </c>
      <c r="E56" s="30">
        <v>0</v>
      </c>
      <c r="F56" s="30">
        <v>0</v>
      </c>
      <c r="G56" s="31">
        <f>SUM(WI_FINANCIAL)</f>
        <v>0</v>
      </c>
      <c r="H56" s="30"/>
      <c r="I56" s="30"/>
      <c r="J56" s="30"/>
      <c r="K56" s="30"/>
      <c r="L56" s="29"/>
      <c r="M56" s="30"/>
      <c r="N56" s="30"/>
      <c r="O56" s="30"/>
      <c r="P56" s="30"/>
      <c r="Q56" s="30"/>
      <c r="R56" s="30"/>
      <c r="S56" s="30"/>
      <c r="T56" s="30"/>
      <c r="U56" s="30"/>
      <c r="V56" s="31"/>
    </row>
    <row r="57" spans="1:22">
      <c r="A57" s="1" t="s">
        <v>78</v>
      </c>
      <c r="B57" s="29">
        <v>0</v>
      </c>
      <c r="C57" s="30">
        <v>0</v>
      </c>
      <c r="D57" s="30">
        <v>0</v>
      </c>
      <c r="E57" s="30">
        <v>0</v>
      </c>
      <c r="F57" s="30">
        <v>0</v>
      </c>
      <c r="G57" s="31">
        <f>SUM(WY_FINANCIAL)</f>
        <v>0</v>
      </c>
      <c r="H57" s="30"/>
      <c r="I57" s="30"/>
      <c r="J57" s="30"/>
      <c r="K57" s="30"/>
      <c r="L57" s="29"/>
      <c r="M57" s="30"/>
      <c r="N57" s="30"/>
      <c r="O57" s="30"/>
      <c r="P57" s="30"/>
      <c r="Q57" s="30"/>
      <c r="R57" s="30"/>
      <c r="S57" s="30"/>
      <c r="T57" s="30"/>
      <c r="U57" s="30"/>
      <c r="V57" s="31"/>
    </row>
    <row r="58" spans="1:22">
      <c r="A58" s="1" t="s">
        <v>79</v>
      </c>
      <c r="B58" s="29">
        <v>0</v>
      </c>
      <c r="C58" s="30">
        <v>0</v>
      </c>
      <c r="D58" s="30">
        <v>0</v>
      </c>
      <c r="E58" s="30">
        <v>0</v>
      </c>
      <c r="F58" s="30">
        <v>0</v>
      </c>
      <c r="G58" s="31">
        <f>SUM(OT_FINANCIAL)</f>
        <v>0</v>
      </c>
      <c r="H58" s="30"/>
      <c r="I58" s="30"/>
      <c r="J58" s="30"/>
      <c r="K58" s="30"/>
      <c r="L58" s="29"/>
      <c r="M58" s="30"/>
      <c r="N58" s="30"/>
      <c r="O58" s="30"/>
      <c r="P58" s="30"/>
      <c r="Q58" s="30"/>
      <c r="R58" s="30"/>
      <c r="S58" s="30"/>
      <c r="T58" s="30"/>
      <c r="U58" s="30"/>
      <c r="V58" s="31"/>
    </row>
    <row r="59" spans="1:22">
      <c r="B59" s="29"/>
      <c r="C59" s="30"/>
      <c r="D59" s="30"/>
      <c r="E59" s="30"/>
      <c r="F59" s="30"/>
      <c r="G59" s="31"/>
      <c r="H59" s="30"/>
      <c r="I59" s="30"/>
      <c r="J59" s="30"/>
      <c r="K59" s="30"/>
      <c r="L59" s="29"/>
      <c r="M59" s="30"/>
      <c r="N59" s="30"/>
      <c r="O59" s="30"/>
      <c r="P59" s="30"/>
      <c r="Q59" s="30"/>
      <c r="R59" s="30"/>
      <c r="S59" s="30"/>
      <c r="T59" s="30"/>
      <c r="U59" s="30"/>
      <c r="V59" s="31"/>
    </row>
    <row r="60" spans="1:22">
      <c r="A60" s="1" t="s">
        <v>8</v>
      </c>
      <c r="B60" s="29">
        <f>SUM(LIFE)</f>
        <v>0</v>
      </c>
      <c r="C60" s="30">
        <f>SUM(ALLOCATED)</f>
        <v>0</v>
      </c>
      <c r="D60" s="30">
        <f>SUM(HEALTH)</f>
        <v>34784248.960000001</v>
      </c>
      <c r="E60" s="30">
        <f>SUM(UNALLOCATED)</f>
        <v>0</v>
      </c>
      <c r="F60" s="30">
        <f>SUM(LTC)</f>
        <v>0</v>
      </c>
      <c r="G60" s="31">
        <f>SUM(ALL_BLOCKS)</f>
        <v>34784248.960000001</v>
      </c>
      <c r="H60" s="30"/>
      <c r="I60" s="30"/>
      <c r="J60" s="30"/>
      <c r="K60" s="30"/>
      <c r="L60" s="29">
        <f>SUM(LIFE_CALLED)</f>
        <v>0</v>
      </c>
      <c r="M60" s="30">
        <f>SUM(LIFE_REFUNDED)</f>
        <v>0</v>
      </c>
      <c r="N60" s="30"/>
      <c r="O60" s="30">
        <f>SUM(ALLOC_CALLED)</f>
        <v>0</v>
      </c>
      <c r="P60" s="30">
        <f>SUM(ALLOC_REFUNDED)</f>
        <v>0</v>
      </c>
      <c r="Q60" s="30"/>
      <c r="R60" s="30">
        <f>SUM(HEALTH_CALLED)</f>
        <v>48506698</v>
      </c>
      <c r="S60" s="30">
        <f>SUM(HEALTH_REFUNDED)</f>
        <v>12548122</v>
      </c>
      <c r="T60" s="30"/>
      <c r="U60" s="30">
        <f>SUM(UNALLOC_CALLED)</f>
        <v>0</v>
      </c>
      <c r="V60" s="31">
        <f>SUM(UNALLOC_REFUNDED)</f>
        <v>0</v>
      </c>
    </row>
    <row r="61" spans="1:22" ht="5.0999999999999996" customHeight="1">
      <c r="B61" s="8"/>
      <c r="G61" s="11"/>
      <c r="L61" s="8"/>
      <c r="V61" s="11"/>
    </row>
    <row r="62" spans="1:22">
      <c r="B62" s="8"/>
      <c r="G62" s="11"/>
      <c r="L62" s="122" t="s">
        <v>80</v>
      </c>
      <c r="M62" s="123"/>
      <c r="N62" s="123"/>
      <c r="O62" s="123"/>
      <c r="P62" s="123"/>
      <c r="Q62" s="123"/>
      <c r="R62" s="123"/>
      <c r="S62" s="123"/>
      <c r="T62" s="123"/>
      <c r="U62" s="123"/>
      <c r="V62" s="124"/>
    </row>
    <row r="63" spans="1:22">
      <c r="B63" s="8"/>
      <c r="G63" s="11"/>
      <c r="L63" s="125"/>
      <c r="M63" s="123"/>
      <c r="N63" s="123"/>
      <c r="O63" s="123"/>
      <c r="P63" s="123"/>
      <c r="Q63" s="123"/>
      <c r="R63" s="123"/>
      <c r="S63" s="123"/>
      <c r="T63" s="123"/>
      <c r="U63" s="123"/>
      <c r="V63" s="124"/>
    </row>
    <row r="64" spans="1:22">
      <c r="B64" s="10"/>
      <c r="C64" s="7"/>
      <c r="D64" s="7"/>
      <c r="E64" s="7"/>
      <c r="F64" s="7"/>
      <c r="G64" s="13"/>
      <c r="L64" s="126"/>
      <c r="M64" s="127"/>
      <c r="N64" s="127"/>
      <c r="O64" s="127"/>
      <c r="P64" s="127"/>
      <c r="Q64" s="127"/>
      <c r="R64" s="127"/>
      <c r="S64" s="127"/>
      <c r="T64" s="127"/>
      <c r="U64" s="127"/>
      <c r="V64" s="128"/>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pageSetUpPr fitToPage="1"/>
  </sheetPr>
  <dimension ref="A1:V64"/>
  <sheetViews>
    <sheetView zoomScale="75" workbookViewId="0">
      <selection sqref="A1:XFD1048576"/>
    </sheetView>
  </sheetViews>
  <sheetFormatPr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129" t="s">
        <v>102</v>
      </c>
      <c r="B1" s="123"/>
      <c r="C1" s="123"/>
      <c r="D1" s="123"/>
      <c r="E1" s="123"/>
      <c r="F1" s="123"/>
      <c r="G1" s="123"/>
    </row>
    <row r="3" spans="1:22">
      <c r="B3" s="130" t="s">
        <v>1</v>
      </c>
      <c r="C3" s="131"/>
      <c r="D3" s="131"/>
      <c r="E3" s="131"/>
      <c r="F3" s="131"/>
      <c r="G3" s="132"/>
      <c r="L3" s="133" t="s">
        <v>2</v>
      </c>
      <c r="M3" s="134"/>
      <c r="N3" s="134"/>
      <c r="O3" s="134"/>
      <c r="P3" s="134"/>
      <c r="Q3" s="134"/>
      <c r="R3" s="134"/>
      <c r="S3" s="134"/>
      <c r="T3" s="134"/>
      <c r="U3" s="134"/>
      <c r="V3" s="135"/>
    </row>
    <row r="4" spans="1:22">
      <c r="B4" s="8"/>
      <c r="G4" s="11"/>
      <c r="L4" s="136" t="s">
        <v>3</v>
      </c>
      <c r="M4" s="137"/>
      <c r="N4" s="4"/>
      <c r="O4" s="138" t="s">
        <v>4</v>
      </c>
      <c r="P4" s="137"/>
      <c r="Q4" s="4"/>
      <c r="R4" s="138" t="s">
        <v>5</v>
      </c>
      <c r="S4" s="137"/>
      <c r="T4" s="4"/>
      <c r="U4" s="138" t="s">
        <v>6</v>
      </c>
      <c r="V4" s="139"/>
    </row>
    <row r="5" spans="1:22" ht="60" customHeight="1">
      <c r="B5" s="9" t="s">
        <v>3</v>
      </c>
      <c r="C5" s="5" t="s">
        <v>4</v>
      </c>
      <c r="D5" s="5" t="s">
        <v>5</v>
      </c>
      <c r="E5" s="5" t="s">
        <v>6</v>
      </c>
      <c r="F5" s="5" t="s">
        <v>7</v>
      </c>
      <c r="G5" s="12" t="s">
        <v>8</v>
      </c>
      <c r="L5" s="15" t="s">
        <v>9</v>
      </c>
      <c r="M5" s="14" t="s">
        <v>10</v>
      </c>
      <c r="N5" s="14"/>
      <c r="O5" s="14" t="s">
        <v>9</v>
      </c>
      <c r="P5" s="14" t="s">
        <v>10</v>
      </c>
      <c r="Q5" s="14"/>
      <c r="R5" s="14" t="s">
        <v>9</v>
      </c>
      <c r="S5" s="14" t="s">
        <v>10</v>
      </c>
      <c r="T5" s="14"/>
      <c r="U5" s="14" t="s">
        <v>9</v>
      </c>
      <c r="V5" s="16" t="s">
        <v>10</v>
      </c>
    </row>
    <row r="6" spans="1:22">
      <c r="A6" s="1" t="s">
        <v>11</v>
      </c>
      <c r="B6" s="29">
        <v>0</v>
      </c>
      <c r="C6" s="30">
        <v>0</v>
      </c>
      <c r="D6" s="30">
        <v>0</v>
      </c>
      <c r="E6" s="30">
        <v>0</v>
      </c>
      <c r="F6" s="30">
        <v>0</v>
      </c>
      <c r="G6" s="31">
        <f>SUM(AL_FINANCIAL)</f>
        <v>0</v>
      </c>
      <c r="H6" s="30"/>
      <c r="I6" s="30"/>
      <c r="J6" s="30"/>
      <c r="K6" s="30"/>
      <c r="L6" s="29"/>
      <c r="M6" s="30"/>
      <c r="N6" s="30"/>
      <c r="O6" s="30"/>
      <c r="P6" s="30"/>
      <c r="Q6" s="30"/>
      <c r="R6" s="30"/>
      <c r="S6" s="30"/>
      <c r="T6" s="30"/>
      <c r="U6" s="30"/>
      <c r="V6" s="31"/>
    </row>
    <row r="7" spans="1:22">
      <c r="A7" s="1" t="s">
        <v>12</v>
      </c>
      <c r="B7" s="29">
        <v>0</v>
      </c>
      <c r="C7" s="30">
        <v>0</v>
      </c>
      <c r="D7" s="30">
        <v>0</v>
      </c>
      <c r="E7" s="30">
        <v>0</v>
      </c>
      <c r="F7" s="30">
        <v>0</v>
      </c>
      <c r="G7" s="31">
        <f>SUM(AK_FINANCIAL)</f>
        <v>0</v>
      </c>
      <c r="H7" s="30"/>
      <c r="I7" s="32"/>
      <c r="J7" s="33"/>
      <c r="K7" s="30"/>
      <c r="L7" s="29"/>
      <c r="M7" s="30"/>
      <c r="N7" s="30"/>
      <c r="O7" s="30"/>
      <c r="P7" s="30"/>
      <c r="Q7" s="30"/>
      <c r="R7" s="30"/>
      <c r="S7" s="30"/>
      <c r="T7" s="30"/>
      <c r="U7" s="30"/>
      <c r="V7" s="31"/>
    </row>
    <row r="8" spans="1:22">
      <c r="A8" s="1" t="s">
        <v>13</v>
      </c>
      <c r="B8" s="29">
        <v>0</v>
      </c>
      <c r="C8" s="30">
        <v>0</v>
      </c>
      <c r="D8" s="30">
        <v>0</v>
      </c>
      <c r="E8" s="30">
        <v>0</v>
      </c>
      <c r="F8" s="30">
        <v>0</v>
      </c>
      <c r="G8" s="31">
        <f>SUM(AZ_FINANCIAL)</f>
        <v>0</v>
      </c>
      <c r="H8" s="30"/>
      <c r="I8" s="34" t="s">
        <v>14</v>
      </c>
      <c r="J8" s="35"/>
      <c r="K8" s="30"/>
      <c r="L8" s="29"/>
      <c r="M8" s="30"/>
      <c r="N8" s="30"/>
      <c r="O8" s="30"/>
      <c r="P8" s="30"/>
      <c r="Q8" s="30"/>
      <c r="R8" s="30"/>
      <c r="S8" s="30"/>
      <c r="T8" s="30"/>
      <c r="U8" s="30"/>
      <c r="V8" s="31"/>
    </row>
    <row r="9" spans="1:22">
      <c r="A9" s="1" t="s">
        <v>15</v>
      </c>
      <c r="B9" s="29">
        <v>0</v>
      </c>
      <c r="C9" s="30">
        <v>0</v>
      </c>
      <c r="D9" s="30">
        <v>0</v>
      </c>
      <c r="E9" s="30">
        <v>0</v>
      </c>
      <c r="F9" s="30">
        <v>0</v>
      </c>
      <c r="G9" s="31">
        <f>SUM(AR_FINANCIAL)</f>
        <v>0</v>
      </c>
      <c r="H9" s="30"/>
      <c r="I9" s="34"/>
      <c r="J9" s="35"/>
      <c r="K9" s="30"/>
      <c r="L9" s="29"/>
      <c r="M9" s="30"/>
      <c r="N9" s="30"/>
      <c r="O9" s="30"/>
      <c r="P9" s="30"/>
      <c r="Q9" s="30"/>
      <c r="R9" s="30"/>
      <c r="S9" s="30"/>
      <c r="T9" s="30"/>
      <c r="U9" s="30"/>
      <c r="V9" s="31"/>
    </row>
    <row r="10" spans="1:22">
      <c r="A10" s="1" t="s">
        <v>16</v>
      </c>
      <c r="B10" s="29">
        <v>0</v>
      </c>
      <c r="C10" s="30">
        <v>0</v>
      </c>
      <c r="D10" s="30">
        <v>0</v>
      </c>
      <c r="E10" s="30">
        <v>0</v>
      </c>
      <c r="F10" s="30">
        <v>0</v>
      </c>
      <c r="G10" s="31">
        <f>SUM(CA_FINANCIAL)</f>
        <v>0</v>
      </c>
      <c r="H10" s="30"/>
      <c r="I10" s="34" t="s">
        <v>17</v>
      </c>
      <c r="J10" s="35">
        <v>14352000</v>
      </c>
      <c r="K10" s="30"/>
      <c r="L10" s="29"/>
      <c r="M10" s="30"/>
      <c r="N10" s="30"/>
      <c r="O10" s="30"/>
      <c r="P10" s="30"/>
      <c r="Q10" s="30"/>
      <c r="R10" s="30"/>
      <c r="S10" s="30"/>
      <c r="T10" s="30"/>
      <c r="U10" s="30"/>
      <c r="V10" s="31"/>
    </row>
    <row r="11" spans="1:22">
      <c r="A11" s="1" t="s">
        <v>18</v>
      </c>
      <c r="B11" s="29">
        <v>0</v>
      </c>
      <c r="C11" s="30">
        <v>0</v>
      </c>
      <c r="D11" s="30">
        <v>0</v>
      </c>
      <c r="E11" s="30">
        <v>0</v>
      </c>
      <c r="F11" s="30">
        <v>0</v>
      </c>
      <c r="G11" s="31">
        <f>SUM(CO_FINANCIAL)</f>
        <v>0</v>
      </c>
      <c r="H11" s="30"/>
      <c r="I11" s="34"/>
      <c r="J11" s="35"/>
      <c r="K11" s="30"/>
      <c r="L11" s="29"/>
      <c r="M11" s="30"/>
      <c r="N11" s="30"/>
      <c r="O11" s="30"/>
      <c r="P11" s="30"/>
      <c r="Q11" s="30"/>
      <c r="R11" s="30"/>
      <c r="S11" s="30"/>
      <c r="T11" s="30"/>
      <c r="U11" s="30"/>
      <c r="V11" s="31"/>
    </row>
    <row r="12" spans="1:22">
      <c r="A12" s="1" t="s">
        <v>19</v>
      </c>
      <c r="B12" s="29">
        <v>0</v>
      </c>
      <c r="C12" s="30">
        <v>0</v>
      </c>
      <c r="D12" s="30">
        <v>0</v>
      </c>
      <c r="E12" s="30">
        <v>0</v>
      </c>
      <c r="F12" s="30">
        <v>0</v>
      </c>
      <c r="G12" s="31">
        <f>SUM(CT_FINANCIAL)</f>
        <v>0</v>
      </c>
      <c r="H12" s="30"/>
      <c r="I12" s="34" t="s">
        <v>20</v>
      </c>
      <c r="J12" s="35"/>
      <c r="K12" s="30"/>
      <c r="L12" s="29"/>
      <c r="M12" s="30"/>
      <c r="N12" s="30"/>
      <c r="O12" s="30"/>
      <c r="P12" s="30"/>
      <c r="Q12" s="30"/>
      <c r="R12" s="30"/>
      <c r="S12" s="30"/>
      <c r="T12" s="30"/>
      <c r="U12" s="30"/>
      <c r="V12" s="31"/>
    </row>
    <row r="13" spans="1:22">
      <c r="A13" s="1" t="s">
        <v>21</v>
      </c>
      <c r="B13" s="29">
        <v>0</v>
      </c>
      <c r="C13" s="30">
        <v>0</v>
      </c>
      <c r="D13" s="30">
        <v>0</v>
      </c>
      <c r="E13" s="30">
        <v>0</v>
      </c>
      <c r="F13" s="30">
        <v>0</v>
      </c>
      <c r="G13" s="31">
        <f>SUM(DE_FINANCIAL)</f>
        <v>0</v>
      </c>
      <c r="H13" s="30"/>
      <c r="I13" s="34" t="s">
        <v>22</v>
      </c>
      <c r="J13" s="35">
        <v>14352000</v>
      </c>
      <c r="K13" s="30"/>
      <c r="L13" s="29"/>
      <c r="M13" s="30"/>
      <c r="N13" s="30"/>
      <c r="O13" s="30"/>
      <c r="P13" s="30"/>
      <c r="Q13" s="30"/>
      <c r="R13" s="30"/>
      <c r="S13" s="30"/>
      <c r="T13" s="30"/>
      <c r="U13" s="30"/>
      <c r="V13" s="31"/>
    </row>
    <row r="14" spans="1:22">
      <c r="A14" s="1" t="s">
        <v>23</v>
      </c>
      <c r="B14" s="29">
        <v>0</v>
      </c>
      <c r="C14" s="30">
        <v>0</v>
      </c>
      <c r="D14" s="30">
        <v>0</v>
      </c>
      <c r="E14" s="30">
        <v>0</v>
      </c>
      <c r="F14" s="30">
        <v>0</v>
      </c>
      <c r="G14" s="31">
        <f>SUM(DC_FINANCIAL)</f>
        <v>0</v>
      </c>
      <c r="H14" s="30"/>
      <c r="I14" s="34" t="s">
        <v>24</v>
      </c>
      <c r="J14" s="35">
        <v>541077</v>
      </c>
      <c r="K14" s="30"/>
      <c r="L14" s="29"/>
      <c r="M14" s="30"/>
      <c r="N14" s="30"/>
      <c r="O14" s="30"/>
      <c r="P14" s="30"/>
      <c r="Q14" s="30"/>
      <c r="R14" s="30"/>
      <c r="S14" s="30"/>
      <c r="T14" s="30"/>
      <c r="U14" s="30"/>
      <c r="V14" s="31"/>
    </row>
    <row r="15" spans="1:22">
      <c r="A15" s="1" t="s">
        <v>25</v>
      </c>
      <c r="B15" s="29">
        <v>0</v>
      </c>
      <c r="C15" s="30">
        <v>0</v>
      </c>
      <c r="D15" s="30">
        <v>0</v>
      </c>
      <c r="E15" s="30">
        <v>0</v>
      </c>
      <c r="F15" s="30">
        <v>0</v>
      </c>
      <c r="G15" s="31">
        <f>SUM(FL_FINANCIAL)</f>
        <v>0</v>
      </c>
      <c r="H15" s="30"/>
      <c r="I15" s="34" t="s">
        <v>26</v>
      </c>
      <c r="J15" s="35">
        <v>0</v>
      </c>
      <c r="K15" s="30"/>
      <c r="L15" s="29"/>
      <c r="M15" s="30"/>
      <c r="N15" s="30"/>
      <c r="O15" s="30"/>
      <c r="P15" s="30"/>
      <c r="Q15" s="30"/>
      <c r="R15" s="30"/>
      <c r="S15" s="30"/>
      <c r="T15" s="30"/>
      <c r="U15" s="30"/>
      <c r="V15" s="31"/>
    </row>
    <row r="16" spans="1:22">
      <c r="A16" s="1" t="s">
        <v>27</v>
      </c>
      <c r="B16" s="29">
        <v>0</v>
      </c>
      <c r="C16" s="30">
        <v>0</v>
      </c>
      <c r="D16" s="30">
        <v>0</v>
      </c>
      <c r="E16" s="30">
        <v>0</v>
      </c>
      <c r="F16" s="30">
        <v>0</v>
      </c>
      <c r="G16" s="31">
        <f>SUM(GA_FINANCIAL)</f>
        <v>0</v>
      </c>
      <c r="H16" s="30"/>
      <c r="I16" s="34" t="s">
        <v>28</v>
      </c>
      <c r="J16" s="35">
        <v>0</v>
      </c>
      <c r="K16" s="30"/>
      <c r="L16" s="29"/>
      <c r="M16" s="30"/>
      <c r="N16" s="30"/>
      <c r="O16" s="30"/>
      <c r="P16" s="30"/>
      <c r="Q16" s="30"/>
      <c r="R16" s="30"/>
      <c r="S16" s="30"/>
      <c r="T16" s="30"/>
      <c r="U16" s="30"/>
      <c r="V16" s="31"/>
    </row>
    <row r="17" spans="1:22">
      <c r="A17" s="1" t="s">
        <v>29</v>
      </c>
      <c r="B17" s="29">
        <v>0</v>
      </c>
      <c r="C17" s="30">
        <v>0</v>
      </c>
      <c r="D17" s="30">
        <v>0</v>
      </c>
      <c r="E17" s="30">
        <v>0</v>
      </c>
      <c r="F17" s="30">
        <v>0</v>
      </c>
      <c r="G17" s="31">
        <f>SUM(HI_FINANCIAL)</f>
        <v>0</v>
      </c>
      <c r="H17" s="30"/>
      <c r="I17" s="34"/>
      <c r="J17" s="35"/>
      <c r="K17" s="30"/>
      <c r="L17" s="29"/>
      <c r="M17" s="30"/>
      <c r="N17" s="30"/>
      <c r="O17" s="30"/>
      <c r="P17" s="30"/>
      <c r="Q17" s="30"/>
      <c r="R17" s="30"/>
      <c r="S17" s="30"/>
      <c r="T17" s="30"/>
      <c r="U17" s="30"/>
      <c r="V17" s="31"/>
    </row>
    <row r="18" spans="1:22">
      <c r="A18" s="1" t="s">
        <v>30</v>
      </c>
      <c r="B18" s="29">
        <v>0</v>
      </c>
      <c r="C18" s="30">
        <v>0</v>
      </c>
      <c r="D18" s="30">
        <v>0</v>
      </c>
      <c r="E18" s="30">
        <v>0</v>
      </c>
      <c r="F18" s="30">
        <v>0</v>
      </c>
      <c r="G18" s="31">
        <f>SUM(ID_FINANCIAL)</f>
        <v>0</v>
      </c>
      <c r="H18" s="30"/>
      <c r="I18" s="34" t="s">
        <v>31</v>
      </c>
      <c r="J18" s="35"/>
      <c r="K18" s="30"/>
      <c r="L18" s="29"/>
      <c r="M18" s="30"/>
      <c r="N18" s="30"/>
      <c r="O18" s="30"/>
      <c r="P18" s="30"/>
      <c r="Q18" s="30"/>
      <c r="R18" s="30"/>
      <c r="S18" s="30"/>
      <c r="T18" s="30"/>
      <c r="U18" s="30"/>
      <c r="V18" s="31"/>
    </row>
    <row r="19" spans="1:22">
      <c r="A19" s="1" t="s">
        <v>32</v>
      </c>
      <c r="B19" s="29">
        <v>0</v>
      </c>
      <c r="C19" s="30">
        <v>0</v>
      </c>
      <c r="D19" s="30">
        <v>0</v>
      </c>
      <c r="E19" s="30">
        <v>0</v>
      </c>
      <c r="F19" s="30">
        <v>0</v>
      </c>
      <c r="G19" s="31">
        <f>SUM(IL_FINANCIAL)</f>
        <v>0</v>
      </c>
      <c r="H19" s="30"/>
      <c r="I19" s="34" t="s">
        <v>33</v>
      </c>
      <c r="J19" s="35">
        <v>0</v>
      </c>
      <c r="K19" s="30"/>
      <c r="L19" s="29"/>
      <c r="M19" s="30"/>
      <c r="N19" s="30"/>
      <c r="O19" s="30"/>
      <c r="P19" s="30"/>
      <c r="Q19" s="30"/>
      <c r="R19" s="30"/>
      <c r="S19" s="30"/>
      <c r="T19" s="30"/>
      <c r="U19" s="30"/>
      <c r="V19" s="31"/>
    </row>
    <row r="20" spans="1:22">
      <c r="A20" s="1" t="s">
        <v>34</v>
      </c>
      <c r="B20" s="29">
        <v>0</v>
      </c>
      <c r="C20" s="30">
        <v>0</v>
      </c>
      <c r="D20" s="30">
        <v>0</v>
      </c>
      <c r="E20" s="30">
        <v>0</v>
      </c>
      <c r="F20" s="30">
        <v>0</v>
      </c>
      <c r="G20" s="31">
        <f>SUM(IN_FINANCIAL)</f>
        <v>0</v>
      </c>
      <c r="H20" s="30"/>
      <c r="I20" s="34" t="s">
        <v>35</v>
      </c>
      <c r="J20" s="35">
        <v>14352000</v>
      </c>
      <c r="K20" s="30"/>
      <c r="L20" s="29"/>
      <c r="M20" s="30"/>
      <c r="N20" s="30"/>
      <c r="O20" s="30"/>
      <c r="P20" s="30"/>
      <c r="Q20" s="30"/>
      <c r="R20" s="30"/>
      <c r="S20" s="30"/>
      <c r="T20" s="30"/>
      <c r="U20" s="30"/>
      <c r="V20" s="31"/>
    </row>
    <row r="21" spans="1:22">
      <c r="A21" s="1" t="s">
        <v>36</v>
      </c>
      <c r="B21" s="29">
        <v>0</v>
      </c>
      <c r="C21" s="30">
        <v>0</v>
      </c>
      <c r="D21" s="30">
        <v>0</v>
      </c>
      <c r="E21" s="30">
        <v>0</v>
      </c>
      <c r="F21" s="30">
        <v>0</v>
      </c>
      <c r="G21" s="31">
        <f>SUM(IA_FINANCIAL)</f>
        <v>0</v>
      </c>
      <c r="H21" s="30"/>
      <c r="I21" s="34" t="s">
        <v>37</v>
      </c>
      <c r="J21" s="35"/>
      <c r="K21" s="30"/>
      <c r="L21" s="29"/>
      <c r="M21" s="30"/>
      <c r="N21" s="30"/>
      <c r="O21" s="30"/>
      <c r="P21" s="30"/>
      <c r="Q21" s="30"/>
      <c r="R21" s="30"/>
      <c r="S21" s="30"/>
      <c r="T21" s="30"/>
      <c r="U21" s="30"/>
      <c r="V21" s="31"/>
    </row>
    <row r="22" spans="1:22">
      <c r="A22" s="1" t="s">
        <v>38</v>
      </c>
      <c r="B22" s="29">
        <v>0</v>
      </c>
      <c r="C22" s="30">
        <v>0</v>
      </c>
      <c r="D22" s="30">
        <v>0</v>
      </c>
      <c r="E22" s="30">
        <v>0</v>
      </c>
      <c r="F22" s="30">
        <v>0</v>
      </c>
      <c r="G22" s="31">
        <f>SUM(KS_FINANCIAL)</f>
        <v>0</v>
      </c>
      <c r="H22" s="30"/>
      <c r="I22" s="34" t="s">
        <v>39</v>
      </c>
      <c r="J22" s="35">
        <v>0</v>
      </c>
      <c r="K22" s="30"/>
      <c r="L22" s="29"/>
      <c r="M22" s="30"/>
      <c r="N22" s="30"/>
      <c r="O22" s="30"/>
      <c r="P22" s="30"/>
      <c r="Q22" s="30"/>
      <c r="R22" s="30"/>
      <c r="S22" s="30"/>
      <c r="T22" s="30"/>
      <c r="U22" s="30"/>
      <c r="V22" s="31"/>
    </row>
    <row r="23" spans="1:22">
      <c r="A23" s="1" t="s">
        <v>40</v>
      </c>
      <c r="B23" s="29">
        <v>0</v>
      </c>
      <c r="C23" s="30">
        <v>0</v>
      </c>
      <c r="D23" s="30">
        <v>0</v>
      </c>
      <c r="E23" s="30">
        <v>0</v>
      </c>
      <c r="F23" s="30">
        <v>0</v>
      </c>
      <c r="G23" s="31">
        <f>SUM(KY_FINANCIAL)</f>
        <v>0</v>
      </c>
      <c r="H23" s="30"/>
      <c r="I23" s="34" t="s">
        <v>41</v>
      </c>
      <c r="J23" s="35"/>
      <c r="K23" s="30"/>
      <c r="L23" s="29"/>
      <c r="M23" s="30"/>
      <c r="N23" s="30"/>
      <c r="O23" s="30"/>
      <c r="P23" s="30"/>
      <c r="Q23" s="30"/>
      <c r="R23" s="30"/>
      <c r="S23" s="30"/>
      <c r="T23" s="30"/>
      <c r="U23" s="30"/>
      <c r="V23" s="31"/>
    </row>
    <row r="24" spans="1:22">
      <c r="A24" s="1" t="s">
        <v>42</v>
      </c>
      <c r="B24" s="29">
        <v>0</v>
      </c>
      <c r="C24" s="30">
        <v>0</v>
      </c>
      <c r="D24" s="30">
        <v>0</v>
      </c>
      <c r="E24" s="30">
        <v>0</v>
      </c>
      <c r="F24" s="30">
        <v>0</v>
      </c>
      <c r="G24" s="31">
        <f>SUM(LA_FINANCIAL)</f>
        <v>0</v>
      </c>
      <c r="H24" s="30"/>
      <c r="I24" s="34" t="s">
        <v>43</v>
      </c>
      <c r="J24" s="35">
        <v>9323678</v>
      </c>
      <c r="K24" s="30"/>
      <c r="L24" s="29"/>
      <c r="M24" s="30"/>
      <c r="N24" s="30"/>
      <c r="O24" s="30"/>
      <c r="P24" s="30"/>
      <c r="Q24" s="30"/>
      <c r="R24" s="30"/>
      <c r="S24" s="30"/>
      <c r="T24" s="30"/>
      <c r="U24" s="30"/>
      <c r="V24" s="31"/>
    </row>
    <row r="25" spans="1:22">
      <c r="A25" s="1" t="s">
        <v>44</v>
      </c>
      <c r="B25" s="29">
        <v>0</v>
      </c>
      <c r="C25" s="30">
        <v>0</v>
      </c>
      <c r="D25" s="30">
        <v>0</v>
      </c>
      <c r="E25" s="30">
        <v>0</v>
      </c>
      <c r="F25" s="30">
        <v>0</v>
      </c>
      <c r="G25" s="31">
        <f>SUM(ME_FINANCIAL)</f>
        <v>0</v>
      </c>
      <c r="H25" s="30"/>
      <c r="I25" s="34"/>
      <c r="J25" s="35"/>
      <c r="K25" s="30"/>
      <c r="L25" s="29"/>
      <c r="M25" s="30"/>
      <c r="N25" s="30"/>
      <c r="O25" s="30"/>
      <c r="P25" s="30"/>
      <c r="Q25" s="30"/>
      <c r="R25" s="30"/>
      <c r="S25" s="30"/>
      <c r="T25" s="30"/>
      <c r="U25" s="30"/>
      <c r="V25" s="31"/>
    </row>
    <row r="26" spans="1:22">
      <c r="A26" s="1" t="s">
        <v>45</v>
      </c>
      <c r="B26" s="29">
        <v>0</v>
      </c>
      <c r="C26" s="30">
        <v>0</v>
      </c>
      <c r="D26" s="30">
        <v>0</v>
      </c>
      <c r="E26" s="30">
        <v>0</v>
      </c>
      <c r="F26" s="30">
        <v>0</v>
      </c>
      <c r="G26" s="31">
        <f>SUM(MD_FINANCIAL)</f>
        <v>0</v>
      </c>
      <c r="H26" s="30"/>
      <c r="I26" s="34" t="s">
        <v>46</v>
      </c>
      <c r="J26" s="35">
        <f>SUM(ADD_FINANCIAL)-SUM(LESS_FINANCIAL)</f>
        <v>5569399</v>
      </c>
      <c r="K26" s="30"/>
      <c r="L26" s="29"/>
      <c r="M26" s="30"/>
      <c r="N26" s="30"/>
      <c r="O26" s="30"/>
      <c r="P26" s="30"/>
      <c r="Q26" s="30"/>
      <c r="R26" s="30"/>
      <c r="S26" s="30"/>
      <c r="T26" s="30"/>
      <c r="U26" s="30"/>
      <c r="V26" s="31"/>
    </row>
    <row r="27" spans="1:22">
      <c r="A27" s="1" t="s">
        <v>47</v>
      </c>
      <c r="B27" s="29">
        <v>0</v>
      </c>
      <c r="C27" s="30">
        <v>0</v>
      </c>
      <c r="D27" s="30">
        <v>0</v>
      </c>
      <c r="E27" s="30">
        <v>0</v>
      </c>
      <c r="F27" s="30">
        <v>0</v>
      </c>
      <c r="G27" s="31">
        <f>SUM(MA_FINANCIAL)</f>
        <v>0</v>
      </c>
      <c r="H27" s="30"/>
      <c r="I27" s="34" t="s">
        <v>48</v>
      </c>
      <c r="J27" s="35">
        <f>SUM(ALL_BLOCKS)</f>
        <v>5569399</v>
      </c>
      <c r="K27" s="30"/>
      <c r="L27" s="29"/>
      <c r="M27" s="30"/>
      <c r="N27" s="30"/>
      <c r="O27" s="30"/>
      <c r="P27" s="30"/>
      <c r="Q27" s="30"/>
      <c r="R27" s="30"/>
      <c r="S27" s="30"/>
      <c r="T27" s="30"/>
      <c r="U27" s="30"/>
      <c r="V27" s="31"/>
    </row>
    <row r="28" spans="1:22">
      <c r="A28" s="1" t="s">
        <v>49</v>
      </c>
      <c r="B28" s="29">
        <v>0</v>
      </c>
      <c r="C28" s="30">
        <v>0</v>
      </c>
      <c r="D28" s="30">
        <v>5569399</v>
      </c>
      <c r="E28" s="30">
        <v>0</v>
      </c>
      <c r="F28" s="30">
        <v>0</v>
      </c>
      <c r="G28" s="31">
        <f>SUM(MI_FINANCIAL)</f>
        <v>5569399</v>
      </c>
      <c r="H28" s="30"/>
      <c r="I28" s="36"/>
      <c r="J28" s="37"/>
      <c r="K28" s="30"/>
      <c r="L28" s="29">
        <v>0</v>
      </c>
      <c r="M28" s="30">
        <v>0</v>
      </c>
      <c r="N28" s="30"/>
      <c r="O28" s="30">
        <v>0</v>
      </c>
      <c r="P28" s="30">
        <v>0</v>
      </c>
      <c r="Q28" s="30"/>
      <c r="R28" s="30">
        <v>10800000</v>
      </c>
      <c r="S28" s="30">
        <v>4998893</v>
      </c>
      <c r="T28" s="30"/>
      <c r="U28" s="30">
        <v>0</v>
      </c>
      <c r="V28" s="31">
        <v>0</v>
      </c>
    </row>
    <row r="29" spans="1:22">
      <c r="A29" s="1" t="s">
        <v>50</v>
      </c>
      <c r="B29" s="29">
        <v>0</v>
      </c>
      <c r="C29" s="30">
        <v>0</v>
      </c>
      <c r="D29" s="30">
        <v>0</v>
      </c>
      <c r="E29" s="30">
        <v>0</v>
      </c>
      <c r="F29" s="30">
        <v>0</v>
      </c>
      <c r="G29" s="31">
        <f>SUM(MN_FINANCIAL)</f>
        <v>0</v>
      </c>
      <c r="H29" s="30"/>
      <c r="I29" s="30"/>
      <c r="J29" s="30"/>
      <c r="K29" s="30"/>
      <c r="L29" s="29"/>
      <c r="M29" s="30"/>
      <c r="N29" s="30"/>
      <c r="O29" s="30"/>
      <c r="P29" s="30"/>
      <c r="Q29" s="30"/>
      <c r="R29" s="30"/>
      <c r="S29" s="30"/>
      <c r="T29" s="30"/>
      <c r="U29" s="30"/>
      <c r="V29" s="31"/>
    </row>
    <row r="30" spans="1:22">
      <c r="A30" s="1" t="s">
        <v>51</v>
      </c>
      <c r="B30" s="29">
        <v>0</v>
      </c>
      <c r="C30" s="30">
        <v>0</v>
      </c>
      <c r="D30" s="30">
        <v>0</v>
      </c>
      <c r="E30" s="30">
        <v>0</v>
      </c>
      <c r="F30" s="30">
        <v>0</v>
      </c>
      <c r="G30" s="31">
        <f>SUM(MS_FINANCIAL)</f>
        <v>0</v>
      </c>
      <c r="H30" s="30"/>
      <c r="I30" s="30"/>
      <c r="J30" s="30"/>
      <c r="K30" s="30"/>
      <c r="L30" s="29"/>
      <c r="M30" s="30"/>
      <c r="N30" s="30"/>
      <c r="O30" s="30"/>
      <c r="P30" s="30"/>
      <c r="Q30" s="30"/>
      <c r="R30" s="30"/>
      <c r="S30" s="30"/>
      <c r="T30" s="30"/>
      <c r="U30" s="30"/>
      <c r="V30" s="31"/>
    </row>
    <row r="31" spans="1:22">
      <c r="A31" s="1" t="s">
        <v>52</v>
      </c>
      <c r="B31" s="29">
        <v>0</v>
      </c>
      <c r="C31" s="30">
        <v>0</v>
      </c>
      <c r="D31" s="30">
        <v>0</v>
      </c>
      <c r="E31" s="30">
        <v>0</v>
      </c>
      <c r="F31" s="30">
        <v>0</v>
      </c>
      <c r="G31" s="31">
        <f>SUM(MO_FINANCIAL)</f>
        <v>0</v>
      </c>
      <c r="H31" s="30"/>
      <c r="I31" s="30"/>
      <c r="J31" s="30"/>
      <c r="K31" s="30"/>
      <c r="L31" s="29"/>
      <c r="M31" s="30"/>
      <c r="N31" s="30"/>
      <c r="O31" s="30"/>
      <c r="P31" s="30"/>
      <c r="Q31" s="30"/>
      <c r="R31" s="30"/>
      <c r="S31" s="30"/>
      <c r="T31" s="30"/>
      <c r="U31" s="30"/>
      <c r="V31" s="31"/>
    </row>
    <row r="32" spans="1:22">
      <c r="A32" s="1" t="s">
        <v>53</v>
      </c>
      <c r="B32" s="29">
        <v>0</v>
      </c>
      <c r="C32" s="30">
        <v>0</v>
      </c>
      <c r="D32" s="30">
        <v>0</v>
      </c>
      <c r="E32" s="30">
        <v>0</v>
      </c>
      <c r="F32" s="30">
        <v>0</v>
      </c>
      <c r="G32" s="31">
        <f>SUM(MT_FINANCIAL)</f>
        <v>0</v>
      </c>
      <c r="H32" s="30"/>
      <c r="I32" s="30"/>
      <c r="J32" s="30"/>
      <c r="K32" s="30"/>
      <c r="L32" s="29"/>
      <c r="M32" s="30"/>
      <c r="N32" s="30"/>
      <c r="O32" s="30"/>
      <c r="P32" s="30"/>
      <c r="Q32" s="30"/>
      <c r="R32" s="30"/>
      <c r="S32" s="30"/>
      <c r="T32" s="30"/>
      <c r="U32" s="30"/>
      <c r="V32" s="31"/>
    </row>
    <row r="33" spans="1:22">
      <c r="A33" s="1" t="s">
        <v>54</v>
      </c>
      <c r="B33" s="29">
        <v>0</v>
      </c>
      <c r="C33" s="30">
        <v>0</v>
      </c>
      <c r="D33" s="30">
        <v>0</v>
      </c>
      <c r="E33" s="30">
        <v>0</v>
      </c>
      <c r="F33" s="30">
        <v>0</v>
      </c>
      <c r="G33" s="31">
        <f>SUM(NE_FINANCIAL)</f>
        <v>0</v>
      </c>
      <c r="H33" s="30"/>
      <c r="I33" s="30"/>
      <c r="J33" s="30"/>
      <c r="K33" s="30"/>
      <c r="L33" s="29"/>
      <c r="M33" s="30"/>
      <c r="N33" s="30"/>
      <c r="O33" s="30"/>
      <c r="P33" s="30"/>
      <c r="Q33" s="30"/>
      <c r="R33" s="30"/>
      <c r="S33" s="30"/>
      <c r="T33" s="30"/>
      <c r="U33" s="30"/>
      <c r="V33" s="31"/>
    </row>
    <row r="34" spans="1:22">
      <c r="A34" s="1" t="s">
        <v>55</v>
      </c>
      <c r="B34" s="29">
        <v>0</v>
      </c>
      <c r="C34" s="30">
        <v>0</v>
      </c>
      <c r="D34" s="30">
        <v>0</v>
      </c>
      <c r="E34" s="30">
        <v>0</v>
      </c>
      <c r="F34" s="30">
        <v>0</v>
      </c>
      <c r="G34" s="31">
        <f>SUM(NV_FINANCIAL)</f>
        <v>0</v>
      </c>
      <c r="H34" s="30"/>
      <c r="I34" s="30"/>
      <c r="J34" s="30"/>
      <c r="K34" s="30"/>
      <c r="L34" s="29"/>
      <c r="M34" s="30"/>
      <c r="N34" s="30"/>
      <c r="O34" s="30"/>
      <c r="P34" s="30"/>
      <c r="Q34" s="30"/>
      <c r="R34" s="30"/>
      <c r="S34" s="30"/>
      <c r="T34" s="30"/>
      <c r="U34" s="30"/>
      <c r="V34" s="31"/>
    </row>
    <row r="35" spans="1:22">
      <c r="A35" s="1" t="s">
        <v>56</v>
      </c>
      <c r="B35" s="29">
        <v>0</v>
      </c>
      <c r="C35" s="30">
        <v>0</v>
      </c>
      <c r="D35" s="30">
        <v>0</v>
      </c>
      <c r="E35" s="30">
        <v>0</v>
      </c>
      <c r="F35" s="30">
        <v>0</v>
      </c>
      <c r="G35" s="31">
        <f>SUM(NH_FINANCIAL)</f>
        <v>0</v>
      </c>
      <c r="H35" s="30"/>
      <c r="I35" s="30"/>
      <c r="J35" s="30"/>
      <c r="K35" s="30"/>
      <c r="L35" s="29"/>
      <c r="M35" s="30"/>
      <c r="N35" s="30"/>
      <c r="O35" s="30"/>
      <c r="P35" s="30"/>
      <c r="Q35" s="30"/>
      <c r="R35" s="30"/>
      <c r="S35" s="30"/>
      <c r="T35" s="30"/>
      <c r="U35" s="30"/>
      <c r="V35" s="31"/>
    </row>
    <row r="36" spans="1:22">
      <c r="A36" s="1" t="s">
        <v>57</v>
      </c>
      <c r="B36" s="29">
        <v>0</v>
      </c>
      <c r="C36" s="30">
        <v>0</v>
      </c>
      <c r="D36" s="30">
        <v>0</v>
      </c>
      <c r="E36" s="30">
        <v>0</v>
      </c>
      <c r="F36" s="30">
        <v>0</v>
      </c>
      <c r="G36" s="31">
        <f>SUM(NJ_FINANCIAL)</f>
        <v>0</v>
      </c>
      <c r="H36" s="30"/>
      <c r="I36" s="30"/>
      <c r="J36" s="30"/>
      <c r="K36" s="30"/>
      <c r="L36" s="29"/>
      <c r="M36" s="30"/>
      <c r="N36" s="30"/>
      <c r="O36" s="30"/>
      <c r="P36" s="30"/>
      <c r="Q36" s="30"/>
      <c r="R36" s="30"/>
      <c r="S36" s="30"/>
      <c r="T36" s="30"/>
      <c r="U36" s="30"/>
      <c r="V36" s="31"/>
    </row>
    <row r="37" spans="1:22">
      <c r="A37" s="1" t="s">
        <v>58</v>
      </c>
      <c r="B37" s="29">
        <v>0</v>
      </c>
      <c r="C37" s="30">
        <v>0</v>
      </c>
      <c r="D37" s="30">
        <v>0</v>
      </c>
      <c r="E37" s="30">
        <v>0</v>
      </c>
      <c r="F37" s="30">
        <v>0</v>
      </c>
      <c r="G37" s="31">
        <f>SUM(NM_FINANCIAL)</f>
        <v>0</v>
      </c>
      <c r="H37" s="30"/>
      <c r="I37" s="30"/>
      <c r="J37" s="30"/>
      <c r="K37" s="30"/>
      <c r="L37" s="29"/>
      <c r="M37" s="30"/>
      <c r="N37" s="30"/>
      <c r="O37" s="30"/>
      <c r="P37" s="30"/>
      <c r="Q37" s="30"/>
      <c r="R37" s="30"/>
      <c r="S37" s="30"/>
      <c r="T37" s="30"/>
      <c r="U37" s="30"/>
      <c r="V37" s="31"/>
    </row>
    <row r="38" spans="1:22">
      <c r="A38" s="1" t="s">
        <v>59</v>
      </c>
      <c r="B38" s="29">
        <v>0</v>
      </c>
      <c r="C38" s="30">
        <v>0</v>
      </c>
      <c r="D38" s="30">
        <v>0</v>
      </c>
      <c r="E38" s="30">
        <v>0</v>
      </c>
      <c r="F38" s="30">
        <v>0</v>
      </c>
      <c r="G38" s="31">
        <f>SUM(NY_FINANCIAL)</f>
        <v>0</v>
      </c>
      <c r="H38" s="30"/>
      <c r="I38" s="30"/>
      <c r="J38" s="30"/>
      <c r="K38" s="30"/>
      <c r="L38" s="29"/>
      <c r="M38" s="30"/>
      <c r="N38" s="30"/>
      <c r="O38" s="30"/>
      <c r="P38" s="30"/>
      <c r="Q38" s="30"/>
      <c r="R38" s="30"/>
      <c r="S38" s="30"/>
      <c r="T38" s="30"/>
      <c r="U38" s="30"/>
      <c r="V38" s="31"/>
    </row>
    <row r="39" spans="1:22">
      <c r="A39" s="1" t="s">
        <v>60</v>
      </c>
      <c r="B39" s="29">
        <v>0</v>
      </c>
      <c r="C39" s="30">
        <v>0</v>
      </c>
      <c r="D39" s="30">
        <v>0</v>
      </c>
      <c r="E39" s="30">
        <v>0</v>
      </c>
      <c r="F39" s="30">
        <v>0</v>
      </c>
      <c r="G39" s="31">
        <f>SUM(NC_FINANCIAL)</f>
        <v>0</v>
      </c>
      <c r="H39" s="30"/>
      <c r="I39" s="30"/>
      <c r="J39" s="30"/>
      <c r="K39" s="30"/>
      <c r="L39" s="29"/>
      <c r="M39" s="30"/>
      <c r="N39" s="30"/>
      <c r="O39" s="30"/>
      <c r="P39" s="30"/>
      <c r="Q39" s="30"/>
      <c r="R39" s="30"/>
      <c r="S39" s="30"/>
      <c r="T39" s="30"/>
      <c r="U39" s="30"/>
      <c r="V39" s="31"/>
    </row>
    <row r="40" spans="1:22">
      <c r="A40" s="1" t="s">
        <v>61</v>
      </c>
      <c r="B40" s="29">
        <v>0</v>
      </c>
      <c r="C40" s="30">
        <v>0</v>
      </c>
      <c r="D40" s="30">
        <v>0</v>
      </c>
      <c r="E40" s="30">
        <v>0</v>
      </c>
      <c r="F40" s="30">
        <v>0</v>
      </c>
      <c r="G40" s="31">
        <f>SUM(ND_FINANCIAL)</f>
        <v>0</v>
      </c>
      <c r="H40" s="30"/>
      <c r="I40" s="30"/>
      <c r="J40" s="30"/>
      <c r="K40" s="30"/>
      <c r="L40" s="29"/>
      <c r="M40" s="30"/>
      <c r="N40" s="30"/>
      <c r="O40" s="30"/>
      <c r="P40" s="30"/>
      <c r="Q40" s="30"/>
      <c r="R40" s="30"/>
      <c r="S40" s="30"/>
      <c r="T40" s="30"/>
      <c r="U40" s="30"/>
      <c r="V40" s="31"/>
    </row>
    <row r="41" spans="1:22">
      <c r="A41" s="1" t="s">
        <v>62</v>
      </c>
      <c r="B41" s="29">
        <v>0</v>
      </c>
      <c r="C41" s="30">
        <v>0</v>
      </c>
      <c r="D41" s="30">
        <v>0</v>
      </c>
      <c r="E41" s="30">
        <v>0</v>
      </c>
      <c r="F41" s="30">
        <v>0</v>
      </c>
      <c r="G41" s="31">
        <f>SUM(OH_FINANCIAL)</f>
        <v>0</v>
      </c>
      <c r="H41" s="30"/>
      <c r="I41" s="30"/>
      <c r="J41" s="30"/>
      <c r="K41" s="30"/>
      <c r="L41" s="29"/>
      <c r="M41" s="30"/>
      <c r="N41" s="30"/>
      <c r="O41" s="30"/>
      <c r="P41" s="30"/>
      <c r="Q41" s="30"/>
      <c r="R41" s="30"/>
      <c r="S41" s="30"/>
      <c r="T41" s="30"/>
      <c r="U41" s="30"/>
      <c r="V41" s="31"/>
    </row>
    <row r="42" spans="1:22">
      <c r="A42" s="1" t="s">
        <v>63</v>
      </c>
      <c r="B42" s="29">
        <v>0</v>
      </c>
      <c r="C42" s="30">
        <v>0</v>
      </c>
      <c r="D42" s="30">
        <v>0</v>
      </c>
      <c r="E42" s="30">
        <v>0</v>
      </c>
      <c r="F42" s="30">
        <v>0</v>
      </c>
      <c r="G42" s="31">
        <f>SUM(OK_FINANCIAL)</f>
        <v>0</v>
      </c>
      <c r="H42" s="30"/>
      <c r="I42" s="30"/>
      <c r="J42" s="30"/>
      <c r="K42" s="30"/>
      <c r="L42" s="29"/>
      <c r="M42" s="30"/>
      <c r="N42" s="30"/>
      <c r="O42" s="30"/>
      <c r="P42" s="30"/>
      <c r="Q42" s="30"/>
      <c r="R42" s="30"/>
      <c r="S42" s="30"/>
      <c r="T42" s="30"/>
      <c r="U42" s="30"/>
      <c r="V42" s="31"/>
    </row>
    <row r="43" spans="1:22">
      <c r="A43" s="1" t="s">
        <v>64</v>
      </c>
      <c r="B43" s="29">
        <v>0</v>
      </c>
      <c r="C43" s="30">
        <v>0</v>
      </c>
      <c r="D43" s="30">
        <v>0</v>
      </c>
      <c r="E43" s="30">
        <v>0</v>
      </c>
      <c r="F43" s="30">
        <v>0</v>
      </c>
      <c r="G43" s="31">
        <f>SUM(OR_FINANCIAL)</f>
        <v>0</v>
      </c>
      <c r="H43" s="30"/>
      <c r="I43" s="30"/>
      <c r="J43" s="30"/>
      <c r="K43" s="30"/>
      <c r="L43" s="29"/>
      <c r="M43" s="30"/>
      <c r="N43" s="30"/>
      <c r="O43" s="30"/>
      <c r="P43" s="30"/>
      <c r="Q43" s="30"/>
      <c r="R43" s="30"/>
      <c r="S43" s="30"/>
      <c r="T43" s="30"/>
      <c r="U43" s="30"/>
      <c r="V43" s="31"/>
    </row>
    <row r="44" spans="1:22">
      <c r="A44" s="1" t="s">
        <v>65</v>
      </c>
      <c r="B44" s="29">
        <v>0</v>
      </c>
      <c r="C44" s="30">
        <v>0</v>
      </c>
      <c r="D44" s="30">
        <v>0</v>
      </c>
      <c r="E44" s="30">
        <v>0</v>
      </c>
      <c r="F44" s="30">
        <v>0</v>
      </c>
      <c r="G44" s="31">
        <f>SUM(PA_FINANCIAL)</f>
        <v>0</v>
      </c>
      <c r="H44" s="30"/>
      <c r="I44" s="30"/>
      <c r="J44" s="30"/>
      <c r="K44" s="30"/>
      <c r="L44" s="29"/>
      <c r="M44" s="30"/>
      <c r="N44" s="30"/>
      <c r="O44" s="30"/>
      <c r="P44" s="30"/>
      <c r="Q44" s="30"/>
      <c r="R44" s="30"/>
      <c r="S44" s="30"/>
      <c r="T44" s="30"/>
      <c r="U44" s="30"/>
      <c r="V44" s="31"/>
    </row>
    <row r="45" spans="1:22">
      <c r="A45" s="1" t="s">
        <v>66</v>
      </c>
      <c r="B45" s="29">
        <v>0</v>
      </c>
      <c r="C45" s="30">
        <v>0</v>
      </c>
      <c r="D45" s="30">
        <v>0</v>
      </c>
      <c r="E45" s="30">
        <v>0</v>
      </c>
      <c r="F45" s="30">
        <v>0</v>
      </c>
      <c r="G45" s="31">
        <f>SUM(PR_FINANCIAL)</f>
        <v>0</v>
      </c>
      <c r="H45" s="30"/>
      <c r="I45" s="30"/>
      <c r="J45" s="30"/>
      <c r="K45" s="30"/>
      <c r="L45" s="29"/>
      <c r="M45" s="30"/>
      <c r="N45" s="30"/>
      <c r="O45" s="30"/>
      <c r="P45" s="30"/>
      <c r="Q45" s="30"/>
      <c r="R45" s="30"/>
      <c r="S45" s="30"/>
      <c r="T45" s="30"/>
      <c r="U45" s="30"/>
      <c r="V45" s="31"/>
    </row>
    <row r="46" spans="1:22">
      <c r="A46" s="1" t="s">
        <v>67</v>
      </c>
      <c r="B46" s="29">
        <v>0</v>
      </c>
      <c r="C46" s="30">
        <v>0</v>
      </c>
      <c r="D46" s="30">
        <v>0</v>
      </c>
      <c r="E46" s="30">
        <v>0</v>
      </c>
      <c r="F46" s="30">
        <v>0</v>
      </c>
      <c r="G46" s="31">
        <f>SUM(RI_FINANCIAL)</f>
        <v>0</v>
      </c>
      <c r="H46" s="30"/>
      <c r="I46" s="30"/>
      <c r="J46" s="30"/>
      <c r="K46" s="30"/>
      <c r="L46" s="29"/>
      <c r="M46" s="30"/>
      <c r="N46" s="30"/>
      <c r="O46" s="30"/>
      <c r="P46" s="30"/>
      <c r="Q46" s="30"/>
      <c r="R46" s="30"/>
      <c r="S46" s="30"/>
      <c r="T46" s="30"/>
      <c r="U46" s="30"/>
      <c r="V46" s="31"/>
    </row>
    <row r="47" spans="1:22">
      <c r="A47" s="1" t="s">
        <v>68</v>
      </c>
      <c r="B47" s="29">
        <v>0</v>
      </c>
      <c r="C47" s="30">
        <v>0</v>
      </c>
      <c r="D47" s="30">
        <v>0</v>
      </c>
      <c r="E47" s="30">
        <v>0</v>
      </c>
      <c r="F47" s="30">
        <v>0</v>
      </c>
      <c r="G47" s="31">
        <f>SUM(SC_FINANCIAL)</f>
        <v>0</v>
      </c>
      <c r="H47" s="30"/>
      <c r="I47" s="30"/>
      <c r="J47" s="30"/>
      <c r="K47" s="30"/>
      <c r="L47" s="29"/>
      <c r="M47" s="30"/>
      <c r="N47" s="30"/>
      <c r="O47" s="30"/>
      <c r="P47" s="30"/>
      <c r="Q47" s="30"/>
      <c r="R47" s="30"/>
      <c r="S47" s="30"/>
      <c r="T47" s="30"/>
      <c r="U47" s="30"/>
      <c r="V47" s="31"/>
    </row>
    <row r="48" spans="1:22">
      <c r="A48" s="1" t="s">
        <v>69</v>
      </c>
      <c r="B48" s="29">
        <v>0</v>
      </c>
      <c r="C48" s="30">
        <v>0</v>
      </c>
      <c r="D48" s="30">
        <v>0</v>
      </c>
      <c r="E48" s="30">
        <v>0</v>
      </c>
      <c r="F48" s="30">
        <v>0</v>
      </c>
      <c r="G48" s="31">
        <f>SUM(SD_FINANCIAL)</f>
        <v>0</v>
      </c>
      <c r="H48" s="30"/>
      <c r="I48" s="30"/>
      <c r="J48" s="30"/>
      <c r="K48" s="30"/>
      <c r="L48" s="29"/>
      <c r="M48" s="30"/>
      <c r="N48" s="30"/>
      <c r="O48" s="30"/>
      <c r="P48" s="30"/>
      <c r="Q48" s="30"/>
      <c r="R48" s="30"/>
      <c r="S48" s="30"/>
      <c r="T48" s="30"/>
      <c r="U48" s="30"/>
      <c r="V48" s="31"/>
    </row>
    <row r="49" spans="1:22">
      <c r="A49" s="1" t="s">
        <v>70</v>
      </c>
      <c r="B49" s="29">
        <v>0</v>
      </c>
      <c r="C49" s="30">
        <v>0</v>
      </c>
      <c r="D49" s="30">
        <v>0</v>
      </c>
      <c r="E49" s="30">
        <v>0</v>
      </c>
      <c r="F49" s="30">
        <v>0</v>
      </c>
      <c r="G49" s="31">
        <f>SUM(TN_FINANCIAL)</f>
        <v>0</v>
      </c>
      <c r="H49" s="30"/>
      <c r="I49" s="30"/>
      <c r="J49" s="30"/>
      <c r="K49" s="30"/>
      <c r="L49" s="29"/>
      <c r="M49" s="30"/>
      <c r="N49" s="30"/>
      <c r="O49" s="30"/>
      <c r="P49" s="30"/>
      <c r="Q49" s="30"/>
      <c r="R49" s="30"/>
      <c r="S49" s="30"/>
      <c r="T49" s="30"/>
      <c r="U49" s="30"/>
      <c r="V49" s="31"/>
    </row>
    <row r="50" spans="1:22">
      <c r="A50" s="1" t="s">
        <v>71</v>
      </c>
      <c r="B50" s="29">
        <v>0</v>
      </c>
      <c r="C50" s="30">
        <v>0</v>
      </c>
      <c r="D50" s="30">
        <v>0</v>
      </c>
      <c r="E50" s="30">
        <v>0</v>
      </c>
      <c r="F50" s="30">
        <v>0</v>
      </c>
      <c r="G50" s="31">
        <f>SUM(TX_FINANCIAL)</f>
        <v>0</v>
      </c>
      <c r="H50" s="30"/>
      <c r="I50" s="30"/>
      <c r="J50" s="30"/>
      <c r="K50" s="30"/>
      <c r="L50" s="29"/>
      <c r="M50" s="30"/>
      <c r="N50" s="30"/>
      <c r="O50" s="30"/>
      <c r="P50" s="30"/>
      <c r="Q50" s="30"/>
      <c r="R50" s="30"/>
      <c r="S50" s="30"/>
      <c r="T50" s="30"/>
      <c r="U50" s="30"/>
      <c r="V50" s="31"/>
    </row>
    <row r="51" spans="1:22">
      <c r="A51" s="1" t="s">
        <v>72</v>
      </c>
      <c r="B51" s="29">
        <v>0</v>
      </c>
      <c r="C51" s="30">
        <v>0</v>
      </c>
      <c r="D51" s="30">
        <v>0</v>
      </c>
      <c r="E51" s="30">
        <v>0</v>
      </c>
      <c r="F51" s="30">
        <v>0</v>
      </c>
      <c r="G51" s="31">
        <f>SUM(UT_FINANCIAL)</f>
        <v>0</v>
      </c>
      <c r="H51" s="30"/>
      <c r="I51" s="30"/>
      <c r="J51" s="30"/>
      <c r="K51" s="30"/>
      <c r="L51" s="29"/>
      <c r="M51" s="30"/>
      <c r="N51" s="30"/>
      <c r="O51" s="30"/>
      <c r="P51" s="30"/>
      <c r="Q51" s="30"/>
      <c r="R51" s="30"/>
      <c r="S51" s="30"/>
      <c r="T51" s="30"/>
      <c r="U51" s="30"/>
      <c r="V51" s="31"/>
    </row>
    <row r="52" spans="1:22">
      <c r="A52" s="1" t="s">
        <v>73</v>
      </c>
      <c r="B52" s="29">
        <v>0</v>
      </c>
      <c r="C52" s="30">
        <v>0</v>
      </c>
      <c r="D52" s="30">
        <v>0</v>
      </c>
      <c r="E52" s="30">
        <v>0</v>
      </c>
      <c r="F52" s="30">
        <v>0</v>
      </c>
      <c r="G52" s="31">
        <f>SUM(VT_FINANCIAL)</f>
        <v>0</v>
      </c>
      <c r="H52" s="30"/>
      <c r="I52" s="30"/>
      <c r="J52" s="30"/>
      <c r="K52" s="30"/>
      <c r="L52" s="29"/>
      <c r="M52" s="30"/>
      <c r="N52" s="30"/>
      <c r="O52" s="30"/>
      <c r="P52" s="30"/>
      <c r="Q52" s="30"/>
      <c r="R52" s="30"/>
      <c r="S52" s="30"/>
      <c r="T52" s="30"/>
      <c r="U52" s="30"/>
      <c r="V52" s="31"/>
    </row>
    <row r="53" spans="1:22">
      <c r="A53" s="1" t="s">
        <v>74</v>
      </c>
      <c r="B53" s="29">
        <v>0</v>
      </c>
      <c r="C53" s="30">
        <v>0</v>
      </c>
      <c r="D53" s="30">
        <v>0</v>
      </c>
      <c r="E53" s="30">
        <v>0</v>
      </c>
      <c r="F53" s="30">
        <v>0</v>
      </c>
      <c r="G53" s="31">
        <f>SUM(VA_FINANCIAL)</f>
        <v>0</v>
      </c>
      <c r="H53" s="30"/>
      <c r="I53" s="30"/>
      <c r="J53" s="30"/>
      <c r="K53" s="30"/>
      <c r="L53" s="29"/>
      <c r="M53" s="30"/>
      <c r="N53" s="30"/>
      <c r="O53" s="30"/>
      <c r="P53" s="30"/>
      <c r="Q53" s="30"/>
      <c r="R53" s="30"/>
      <c r="S53" s="30"/>
      <c r="T53" s="30"/>
      <c r="U53" s="30"/>
      <c r="V53" s="31"/>
    </row>
    <row r="54" spans="1:22">
      <c r="A54" s="1" t="s">
        <v>75</v>
      </c>
      <c r="B54" s="29">
        <v>0</v>
      </c>
      <c r="C54" s="30">
        <v>0</v>
      </c>
      <c r="D54" s="30">
        <v>0</v>
      </c>
      <c r="E54" s="30">
        <v>0</v>
      </c>
      <c r="F54" s="30">
        <v>0</v>
      </c>
      <c r="G54" s="31">
        <f>SUM(WA_FINANCIAL)</f>
        <v>0</v>
      </c>
      <c r="H54" s="30"/>
      <c r="I54" s="30"/>
      <c r="J54" s="30"/>
      <c r="K54" s="30"/>
      <c r="L54" s="29"/>
      <c r="M54" s="30"/>
      <c r="N54" s="30"/>
      <c r="O54" s="30"/>
      <c r="P54" s="30"/>
      <c r="Q54" s="30"/>
      <c r="R54" s="30"/>
      <c r="S54" s="30"/>
      <c r="T54" s="30"/>
      <c r="U54" s="30"/>
      <c r="V54" s="31"/>
    </row>
    <row r="55" spans="1:22">
      <c r="A55" s="1" t="s">
        <v>76</v>
      </c>
      <c r="B55" s="29">
        <v>0</v>
      </c>
      <c r="C55" s="30">
        <v>0</v>
      </c>
      <c r="D55" s="30">
        <v>0</v>
      </c>
      <c r="E55" s="30">
        <v>0</v>
      </c>
      <c r="F55" s="30">
        <v>0</v>
      </c>
      <c r="G55" s="31">
        <f>SUM(WV_FINANCIAL)</f>
        <v>0</v>
      </c>
      <c r="H55" s="30"/>
      <c r="I55" s="30"/>
      <c r="J55" s="30"/>
      <c r="K55" s="30"/>
      <c r="L55" s="29"/>
      <c r="M55" s="30"/>
      <c r="N55" s="30"/>
      <c r="O55" s="30"/>
      <c r="P55" s="30"/>
      <c r="Q55" s="30"/>
      <c r="R55" s="30"/>
      <c r="S55" s="30"/>
      <c r="T55" s="30"/>
      <c r="U55" s="30"/>
      <c r="V55" s="31"/>
    </row>
    <row r="56" spans="1:22">
      <c r="A56" s="1" t="s">
        <v>77</v>
      </c>
      <c r="B56" s="29">
        <v>0</v>
      </c>
      <c r="C56" s="30">
        <v>0</v>
      </c>
      <c r="D56" s="30">
        <v>0</v>
      </c>
      <c r="E56" s="30">
        <v>0</v>
      </c>
      <c r="F56" s="30">
        <v>0</v>
      </c>
      <c r="G56" s="31">
        <f>SUM(WI_FINANCIAL)</f>
        <v>0</v>
      </c>
      <c r="H56" s="30"/>
      <c r="I56" s="30"/>
      <c r="J56" s="30"/>
      <c r="K56" s="30"/>
      <c r="L56" s="29"/>
      <c r="M56" s="30"/>
      <c r="N56" s="30"/>
      <c r="O56" s="30"/>
      <c r="P56" s="30"/>
      <c r="Q56" s="30"/>
      <c r="R56" s="30"/>
      <c r="S56" s="30"/>
      <c r="T56" s="30"/>
      <c r="U56" s="30"/>
      <c r="V56" s="31"/>
    </row>
    <row r="57" spans="1:22">
      <c r="A57" s="1" t="s">
        <v>78</v>
      </c>
      <c r="B57" s="29">
        <v>0</v>
      </c>
      <c r="C57" s="30">
        <v>0</v>
      </c>
      <c r="D57" s="30">
        <v>0</v>
      </c>
      <c r="E57" s="30">
        <v>0</v>
      </c>
      <c r="F57" s="30">
        <v>0</v>
      </c>
      <c r="G57" s="31">
        <f>SUM(WY_FINANCIAL)</f>
        <v>0</v>
      </c>
      <c r="H57" s="30"/>
      <c r="I57" s="30"/>
      <c r="J57" s="30"/>
      <c r="K57" s="30"/>
      <c r="L57" s="29"/>
      <c r="M57" s="30"/>
      <c r="N57" s="30"/>
      <c r="O57" s="30"/>
      <c r="P57" s="30"/>
      <c r="Q57" s="30"/>
      <c r="R57" s="30"/>
      <c r="S57" s="30"/>
      <c r="T57" s="30"/>
      <c r="U57" s="30"/>
      <c r="V57" s="31"/>
    </row>
    <row r="58" spans="1:22">
      <c r="A58" s="1" t="s">
        <v>79</v>
      </c>
      <c r="B58" s="29">
        <v>0</v>
      </c>
      <c r="C58" s="30">
        <v>0</v>
      </c>
      <c r="D58" s="30">
        <v>0</v>
      </c>
      <c r="E58" s="30">
        <v>0</v>
      </c>
      <c r="F58" s="30">
        <v>0</v>
      </c>
      <c r="G58" s="31">
        <f>SUM(OT_FINANCIAL)</f>
        <v>0</v>
      </c>
      <c r="H58" s="30"/>
      <c r="I58" s="30"/>
      <c r="J58" s="30"/>
      <c r="K58" s="30"/>
      <c r="L58" s="29"/>
      <c r="M58" s="30"/>
      <c r="N58" s="30"/>
      <c r="O58" s="30"/>
      <c r="P58" s="30"/>
      <c r="Q58" s="30"/>
      <c r="R58" s="30"/>
      <c r="S58" s="30"/>
      <c r="T58" s="30"/>
      <c r="U58" s="30"/>
      <c r="V58" s="31"/>
    </row>
    <row r="59" spans="1:22">
      <c r="B59" s="29"/>
      <c r="C59" s="30"/>
      <c r="D59" s="30"/>
      <c r="E59" s="30"/>
      <c r="F59" s="30"/>
      <c r="G59" s="31"/>
      <c r="H59" s="30"/>
      <c r="I59" s="30"/>
      <c r="J59" s="30"/>
      <c r="K59" s="30"/>
      <c r="L59" s="29"/>
      <c r="M59" s="30"/>
      <c r="N59" s="30"/>
      <c r="O59" s="30"/>
      <c r="P59" s="30"/>
      <c r="Q59" s="30"/>
      <c r="R59" s="30"/>
      <c r="S59" s="30"/>
      <c r="T59" s="30"/>
      <c r="U59" s="30"/>
      <c r="V59" s="31"/>
    </row>
    <row r="60" spans="1:22">
      <c r="A60" s="1" t="s">
        <v>8</v>
      </c>
      <c r="B60" s="29">
        <f>SUM(LIFE)</f>
        <v>0</v>
      </c>
      <c r="C60" s="30">
        <f>SUM(ALLOCATED)</f>
        <v>0</v>
      </c>
      <c r="D60" s="30">
        <f>SUM(HEALTH)</f>
        <v>5569399</v>
      </c>
      <c r="E60" s="30">
        <f>SUM(UNALLOCATED)</f>
        <v>0</v>
      </c>
      <c r="F60" s="30">
        <f>SUM(LTC)</f>
        <v>0</v>
      </c>
      <c r="G60" s="31">
        <f>SUM(ALL_BLOCKS)</f>
        <v>5569399</v>
      </c>
      <c r="H60" s="30"/>
      <c r="I60" s="30"/>
      <c r="J60" s="30"/>
      <c r="K60" s="30"/>
      <c r="L60" s="29">
        <f>SUM(LIFE_CALLED)</f>
        <v>0</v>
      </c>
      <c r="M60" s="30">
        <f>SUM(LIFE_REFUNDED)</f>
        <v>0</v>
      </c>
      <c r="N60" s="30"/>
      <c r="O60" s="30">
        <f>SUM(ALLOC_CALLED)</f>
        <v>0</v>
      </c>
      <c r="P60" s="30">
        <f>SUM(ALLOC_REFUNDED)</f>
        <v>0</v>
      </c>
      <c r="Q60" s="30"/>
      <c r="R60" s="30">
        <f>SUM(HEALTH_CALLED)</f>
        <v>10800000</v>
      </c>
      <c r="S60" s="30">
        <f>SUM(HEALTH_REFUNDED)</f>
        <v>4998893</v>
      </c>
      <c r="T60" s="30"/>
      <c r="U60" s="30">
        <f>SUM(UNALLOC_CALLED)</f>
        <v>0</v>
      </c>
      <c r="V60" s="31">
        <f>SUM(UNALLOC_REFUNDED)</f>
        <v>0</v>
      </c>
    </row>
    <row r="61" spans="1:22" ht="5.0999999999999996" customHeight="1">
      <c r="B61" s="8"/>
      <c r="G61" s="11"/>
      <c r="L61" s="8"/>
      <c r="V61" s="11"/>
    </row>
    <row r="62" spans="1:22">
      <c r="B62" s="8"/>
      <c r="G62" s="11"/>
      <c r="L62" s="122" t="s">
        <v>80</v>
      </c>
      <c r="M62" s="123"/>
      <c r="N62" s="123"/>
      <c r="O62" s="123"/>
      <c r="P62" s="123"/>
      <c r="Q62" s="123"/>
      <c r="R62" s="123"/>
      <c r="S62" s="123"/>
      <c r="T62" s="123"/>
      <c r="U62" s="123"/>
      <c r="V62" s="124"/>
    </row>
    <row r="63" spans="1:22">
      <c r="B63" s="8"/>
      <c r="G63" s="11"/>
      <c r="L63" s="125"/>
      <c r="M63" s="123"/>
      <c r="N63" s="123"/>
      <c r="O63" s="123"/>
      <c r="P63" s="123"/>
      <c r="Q63" s="123"/>
      <c r="R63" s="123"/>
      <c r="S63" s="123"/>
      <c r="T63" s="123"/>
      <c r="U63" s="123"/>
      <c r="V63" s="124"/>
    </row>
    <row r="64" spans="1:22">
      <c r="B64" s="10"/>
      <c r="C64" s="7"/>
      <c r="D64" s="7"/>
      <c r="E64" s="7"/>
      <c r="F64" s="7"/>
      <c r="G64" s="13"/>
      <c r="L64" s="126"/>
      <c r="M64" s="127"/>
      <c r="N64" s="127"/>
      <c r="O64" s="127"/>
      <c r="P64" s="127"/>
      <c r="Q64" s="127"/>
      <c r="R64" s="127"/>
      <c r="S64" s="127"/>
      <c r="T64" s="127"/>
      <c r="U64" s="127"/>
      <c r="V64" s="128"/>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V64"/>
  <sheetViews>
    <sheetView zoomScale="75" workbookViewId="0">
      <selection sqref="A1:XFD1048576"/>
    </sheetView>
  </sheetViews>
  <sheetFormatPr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129" t="s">
        <v>103</v>
      </c>
      <c r="B1" s="123"/>
      <c r="C1" s="123"/>
      <c r="D1" s="123"/>
      <c r="E1" s="123"/>
      <c r="F1" s="123"/>
      <c r="G1" s="123"/>
    </row>
    <row r="3" spans="1:22">
      <c r="B3" s="130" t="s">
        <v>1</v>
      </c>
      <c r="C3" s="131"/>
      <c r="D3" s="131"/>
      <c r="E3" s="131"/>
      <c r="F3" s="131"/>
      <c r="G3" s="132"/>
      <c r="L3" s="133" t="s">
        <v>2</v>
      </c>
      <c r="M3" s="134"/>
      <c r="N3" s="134"/>
      <c r="O3" s="134"/>
      <c r="P3" s="134"/>
      <c r="Q3" s="134"/>
      <c r="R3" s="134"/>
      <c r="S3" s="134"/>
      <c r="T3" s="134"/>
      <c r="U3" s="134"/>
      <c r="V3" s="135"/>
    </row>
    <row r="4" spans="1:22">
      <c r="B4" s="8"/>
      <c r="G4" s="11"/>
      <c r="L4" s="136" t="s">
        <v>3</v>
      </c>
      <c r="M4" s="137"/>
      <c r="N4" s="4"/>
      <c r="O4" s="138" t="s">
        <v>4</v>
      </c>
      <c r="P4" s="137"/>
      <c r="Q4" s="4"/>
      <c r="R4" s="138" t="s">
        <v>5</v>
      </c>
      <c r="S4" s="137"/>
      <c r="T4" s="4"/>
      <c r="U4" s="138" t="s">
        <v>6</v>
      </c>
      <c r="V4" s="139"/>
    </row>
    <row r="5" spans="1:22" ht="60" customHeight="1">
      <c r="B5" s="9" t="s">
        <v>3</v>
      </c>
      <c r="C5" s="5" t="s">
        <v>4</v>
      </c>
      <c r="D5" s="5" t="s">
        <v>5</v>
      </c>
      <c r="E5" s="5" t="s">
        <v>6</v>
      </c>
      <c r="F5" s="5" t="s">
        <v>7</v>
      </c>
      <c r="G5" s="12" t="s">
        <v>8</v>
      </c>
      <c r="L5" s="15" t="s">
        <v>9</v>
      </c>
      <c r="M5" s="14" t="s">
        <v>10</v>
      </c>
      <c r="N5" s="14"/>
      <c r="O5" s="14" t="s">
        <v>9</v>
      </c>
      <c r="P5" s="14" t="s">
        <v>10</v>
      </c>
      <c r="Q5" s="14"/>
      <c r="R5" s="14" t="s">
        <v>9</v>
      </c>
      <c r="S5" s="14" t="s">
        <v>10</v>
      </c>
      <c r="T5" s="14"/>
      <c r="U5" s="14" t="s">
        <v>9</v>
      </c>
      <c r="V5" s="16" t="s">
        <v>10</v>
      </c>
    </row>
    <row r="6" spans="1:22">
      <c r="A6" s="1" t="s">
        <v>11</v>
      </c>
      <c r="B6" s="29">
        <v>10770.217937444266</v>
      </c>
      <c r="C6" s="30">
        <v>40544.559974380958</v>
      </c>
      <c r="D6" s="30">
        <v>0</v>
      </c>
      <c r="E6" s="30">
        <v>0</v>
      </c>
      <c r="F6" s="30">
        <v>0</v>
      </c>
      <c r="G6" s="31">
        <f>SUM(AL_FINANCIAL)</f>
        <v>51314.777911825222</v>
      </c>
      <c r="H6" s="30"/>
      <c r="I6" s="30"/>
      <c r="J6" s="30"/>
      <c r="K6" s="30"/>
      <c r="L6" s="29">
        <v>41000</v>
      </c>
      <c r="M6" s="30">
        <v>0</v>
      </c>
      <c r="N6" s="30"/>
      <c r="O6" s="30">
        <v>16288</v>
      </c>
      <c r="P6" s="30">
        <v>0</v>
      </c>
      <c r="Q6" s="30"/>
      <c r="R6" s="30">
        <v>4000</v>
      </c>
      <c r="S6" s="30">
        <v>0</v>
      </c>
      <c r="T6" s="30"/>
      <c r="U6" s="30">
        <v>0</v>
      </c>
      <c r="V6" s="31">
        <v>0</v>
      </c>
    </row>
    <row r="7" spans="1:22">
      <c r="A7" s="1" t="s">
        <v>12</v>
      </c>
      <c r="B7" s="29">
        <v>1233.0089681852314</v>
      </c>
      <c r="C7" s="30">
        <v>21206.142046263201</v>
      </c>
      <c r="D7" s="30">
        <v>8217.2192335518866</v>
      </c>
      <c r="E7" s="30">
        <v>0</v>
      </c>
      <c r="F7" s="30">
        <v>0</v>
      </c>
      <c r="G7" s="31">
        <f>SUM(AK_FINANCIAL)</f>
        <v>30656.370248000319</v>
      </c>
      <c r="H7" s="30"/>
      <c r="I7" s="32"/>
      <c r="J7" s="33"/>
      <c r="K7" s="30"/>
      <c r="L7" s="29">
        <v>3200</v>
      </c>
      <c r="M7" s="30">
        <v>0</v>
      </c>
      <c r="N7" s="30"/>
      <c r="O7" s="30">
        <v>27000</v>
      </c>
      <c r="P7" s="30">
        <v>0</v>
      </c>
      <c r="Q7" s="30"/>
      <c r="R7" s="30">
        <v>12400</v>
      </c>
      <c r="S7" s="30">
        <v>0</v>
      </c>
      <c r="T7" s="30"/>
      <c r="U7" s="30">
        <v>40</v>
      </c>
      <c r="V7" s="31">
        <v>4</v>
      </c>
    </row>
    <row r="8" spans="1:22">
      <c r="A8" s="1" t="s">
        <v>13</v>
      </c>
      <c r="B8" s="29">
        <v>12377.882179430973</v>
      </c>
      <c r="C8" s="30">
        <v>267520.53635516338</v>
      </c>
      <c r="D8" s="30">
        <v>0</v>
      </c>
      <c r="E8" s="30">
        <v>0</v>
      </c>
      <c r="F8" s="30">
        <v>0</v>
      </c>
      <c r="G8" s="31">
        <f>SUM(AZ_FINANCIAL)</f>
        <v>279898.41853459436</v>
      </c>
      <c r="H8" s="30"/>
      <c r="I8" s="34" t="s">
        <v>14</v>
      </c>
      <c r="J8" s="35"/>
      <c r="K8" s="30"/>
      <c r="L8" s="29">
        <v>14519</v>
      </c>
      <c r="M8" s="30">
        <v>0</v>
      </c>
      <c r="N8" s="30"/>
      <c r="O8" s="30">
        <v>147070</v>
      </c>
      <c r="P8" s="30">
        <v>0</v>
      </c>
      <c r="Q8" s="30"/>
      <c r="R8" s="30">
        <v>36314</v>
      </c>
      <c r="S8" s="30">
        <v>0</v>
      </c>
      <c r="T8" s="30"/>
      <c r="U8" s="30">
        <v>0</v>
      </c>
      <c r="V8" s="31">
        <v>0</v>
      </c>
    </row>
    <row r="9" spans="1:22">
      <c r="A9" s="1" t="s">
        <v>15</v>
      </c>
      <c r="B9" s="29">
        <v>28032.350042922204</v>
      </c>
      <c r="C9" s="30">
        <v>21684.263401337364</v>
      </c>
      <c r="D9" s="30">
        <v>0</v>
      </c>
      <c r="E9" s="30">
        <v>0</v>
      </c>
      <c r="F9" s="30">
        <v>0</v>
      </c>
      <c r="G9" s="31">
        <f>SUM(AR_FINANCIAL)</f>
        <v>49716.613444259565</v>
      </c>
      <c r="H9" s="30"/>
      <c r="I9" s="34"/>
      <c r="J9" s="35"/>
      <c r="K9" s="30"/>
      <c r="L9" s="29">
        <v>0</v>
      </c>
      <c r="M9" s="30">
        <v>0</v>
      </c>
      <c r="N9" s="30"/>
      <c r="O9" s="30">
        <v>0</v>
      </c>
      <c r="P9" s="30">
        <v>0</v>
      </c>
      <c r="Q9" s="30"/>
      <c r="R9" s="30">
        <v>96472</v>
      </c>
      <c r="S9" s="30">
        <v>0</v>
      </c>
      <c r="T9" s="30"/>
      <c r="U9" s="30">
        <v>0</v>
      </c>
      <c r="V9" s="31">
        <v>0</v>
      </c>
    </row>
    <row r="10" spans="1:22">
      <c r="A10" s="1" t="s">
        <v>16</v>
      </c>
      <c r="B10" s="29">
        <v>91997.62988190641</v>
      </c>
      <c r="C10" s="30">
        <v>782311.25516173732</v>
      </c>
      <c r="D10" s="30">
        <v>1458469.4761874815</v>
      </c>
      <c r="E10" s="30">
        <v>0</v>
      </c>
      <c r="F10" s="30">
        <v>0</v>
      </c>
      <c r="G10" s="31">
        <f>SUM(CA_FINANCIAL)</f>
        <v>2332778.3612311254</v>
      </c>
      <c r="H10" s="30"/>
      <c r="I10" s="34" t="s">
        <v>17</v>
      </c>
      <c r="J10" s="35">
        <v>17669766.800000001</v>
      </c>
      <c r="K10" s="30"/>
      <c r="L10" s="29">
        <v>96300</v>
      </c>
      <c r="M10" s="30">
        <v>0</v>
      </c>
      <c r="N10" s="30"/>
      <c r="O10" s="30">
        <v>1091400</v>
      </c>
      <c r="P10" s="30">
        <v>275000</v>
      </c>
      <c r="Q10" s="30"/>
      <c r="R10" s="30">
        <v>2022300</v>
      </c>
      <c r="S10" s="30">
        <v>400000</v>
      </c>
      <c r="T10" s="30"/>
      <c r="U10" s="30">
        <v>0</v>
      </c>
      <c r="V10" s="31">
        <v>0</v>
      </c>
    </row>
    <row r="11" spans="1:22">
      <c r="A11" s="1" t="s">
        <v>18</v>
      </c>
      <c r="B11" s="29">
        <v>11655.300784299843</v>
      </c>
      <c r="C11" s="30">
        <v>46511.800154535114</v>
      </c>
      <c r="D11" s="30">
        <v>116889.59928804255</v>
      </c>
      <c r="E11" s="30">
        <v>0</v>
      </c>
      <c r="F11" s="30">
        <v>0</v>
      </c>
      <c r="G11" s="31">
        <f>SUM(CO_FINANCIAL)</f>
        <v>175056.7002268775</v>
      </c>
      <c r="H11" s="30"/>
      <c r="I11" s="34"/>
      <c r="J11" s="35"/>
      <c r="K11" s="30"/>
      <c r="L11" s="29">
        <v>0</v>
      </c>
      <c r="M11" s="30">
        <v>0</v>
      </c>
      <c r="N11" s="30"/>
      <c r="O11" s="30">
        <v>0</v>
      </c>
      <c r="P11" s="30">
        <v>0</v>
      </c>
      <c r="Q11" s="30"/>
      <c r="R11" s="30">
        <v>2000000</v>
      </c>
      <c r="S11" s="30">
        <v>1884084</v>
      </c>
      <c r="T11" s="30"/>
      <c r="U11" s="30">
        <v>0</v>
      </c>
      <c r="V11" s="31">
        <v>0</v>
      </c>
    </row>
    <row r="12" spans="1:22">
      <c r="A12" s="1" t="s">
        <v>19</v>
      </c>
      <c r="B12" s="29">
        <v>0</v>
      </c>
      <c r="C12" s="30">
        <v>0</v>
      </c>
      <c r="D12" s="30">
        <v>0</v>
      </c>
      <c r="E12" s="30">
        <v>0</v>
      </c>
      <c r="F12" s="30">
        <v>0</v>
      </c>
      <c r="G12" s="31">
        <f>SUM(CT_FINANCIAL)</f>
        <v>0</v>
      </c>
      <c r="H12" s="30"/>
      <c r="I12" s="34" t="s">
        <v>20</v>
      </c>
      <c r="J12" s="35"/>
      <c r="K12" s="30"/>
      <c r="L12" s="29"/>
      <c r="M12" s="30"/>
      <c r="N12" s="30"/>
      <c r="O12" s="30"/>
      <c r="P12" s="30"/>
      <c r="Q12" s="30"/>
      <c r="R12" s="30"/>
      <c r="S12" s="30"/>
      <c r="T12" s="30"/>
      <c r="U12" s="30"/>
      <c r="V12" s="31"/>
    </row>
    <row r="13" spans="1:22">
      <c r="A13" s="1" t="s">
        <v>21</v>
      </c>
      <c r="B13" s="29">
        <v>245307.06126209249</v>
      </c>
      <c r="C13" s="30">
        <v>2638421.782914523</v>
      </c>
      <c r="D13" s="30">
        <v>1431129.8887586533</v>
      </c>
      <c r="E13" s="30">
        <v>0</v>
      </c>
      <c r="F13" s="30">
        <v>0</v>
      </c>
      <c r="G13" s="31">
        <f>SUM(DE_FINANCIAL)</f>
        <v>4314858.7329352684</v>
      </c>
      <c r="H13" s="30"/>
      <c r="I13" s="34" t="s">
        <v>22</v>
      </c>
      <c r="J13" s="35">
        <v>9335960.7999999989</v>
      </c>
      <c r="K13" s="30"/>
      <c r="L13" s="29">
        <v>148000</v>
      </c>
      <c r="M13" s="30">
        <v>0</v>
      </c>
      <c r="N13" s="30"/>
      <c r="O13" s="30">
        <v>1702000</v>
      </c>
      <c r="P13" s="30">
        <v>0</v>
      </c>
      <c r="Q13" s="30"/>
      <c r="R13" s="30">
        <v>1850000</v>
      </c>
      <c r="S13" s="30">
        <v>0</v>
      </c>
      <c r="T13" s="30"/>
      <c r="U13" s="30">
        <v>0</v>
      </c>
      <c r="V13" s="31">
        <v>0</v>
      </c>
    </row>
    <row r="14" spans="1:22">
      <c r="A14" s="1" t="s">
        <v>23</v>
      </c>
      <c r="B14" s="29">
        <v>1677.3265396510028</v>
      </c>
      <c r="C14" s="30">
        <v>36791.554686723961</v>
      </c>
      <c r="D14" s="30">
        <v>0</v>
      </c>
      <c r="E14" s="30">
        <v>0</v>
      </c>
      <c r="F14" s="30">
        <v>0</v>
      </c>
      <c r="G14" s="31">
        <f>SUM(DC_FINANCIAL)</f>
        <v>38468.881226374964</v>
      </c>
      <c r="H14" s="30"/>
      <c r="I14" s="34" t="s">
        <v>24</v>
      </c>
      <c r="J14" s="35">
        <v>1230967.8400000001</v>
      </c>
      <c r="K14" s="30"/>
      <c r="L14" s="29">
        <v>100000</v>
      </c>
      <c r="M14" s="30">
        <v>102326</v>
      </c>
      <c r="N14" s="30"/>
      <c r="O14" s="30">
        <v>31672</v>
      </c>
      <c r="P14" s="30">
        <v>0</v>
      </c>
      <c r="Q14" s="30"/>
      <c r="R14" s="30">
        <v>600000</v>
      </c>
      <c r="S14" s="30">
        <v>232606</v>
      </c>
      <c r="T14" s="30"/>
      <c r="U14" s="30">
        <v>0</v>
      </c>
      <c r="V14" s="31">
        <v>0</v>
      </c>
    </row>
    <row r="15" spans="1:22">
      <c r="A15" s="1" t="s">
        <v>25</v>
      </c>
      <c r="B15" s="29">
        <v>55871.210051537804</v>
      </c>
      <c r="C15" s="30">
        <v>398191.60982441413</v>
      </c>
      <c r="D15" s="30">
        <v>0</v>
      </c>
      <c r="E15" s="30">
        <v>0</v>
      </c>
      <c r="F15" s="30">
        <v>0</v>
      </c>
      <c r="G15" s="31">
        <f>SUM(FL_FINANCIAL)</f>
        <v>454062.81987595191</v>
      </c>
      <c r="H15" s="30"/>
      <c r="I15" s="34" t="s">
        <v>26</v>
      </c>
      <c r="J15" s="35">
        <v>1290905.6199999996</v>
      </c>
      <c r="K15" s="30"/>
      <c r="L15" s="29">
        <v>107000</v>
      </c>
      <c r="M15" s="30">
        <v>0</v>
      </c>
      <c r="N15" s="30"/>
      <c r="O15" s="30">
        <v>252000</v>
      </c>
      <c r="P15" s="30">
        <v>0</v>
      </c>
      <c r="Q15" s="30"/>
      <c r="R15" s="30">
        <v>750000</v>
      </c>
      <c r="S15" s="30">
        <v>0</v>
      </c>
      <c r="T15" s="30"/>
      <c r="U15" s="30">
        <v>0</v>
      </c>
      <c r="V15" s="31">
        <v>0</v>
      </c>
    </row>
    <row r="16" spans="1:22">
      <c r="A16" s="1" t="s">
        <v>27</v>
      </c>
      <c r="B16" s="29">
        <v>20625.073608786151</v>
      </c>
      <c r="C16" s="30">
        <v>59808.197396385571</v>
      </c>
      <c r="D16" s="30">
        <v>78364.699933542943</v>
      </c>
      <c r="E16" s="30">
        <v>0</v>
      </c>
      <c r="F16" s="30">
        <v>0</v>
      </c>
      <c r="G16" s="31">
        <f>SUM(GA_FINANCIAL)</f>
        <v>158797.97093871469</v>
      </c>
      <c r="H16" s="30"/>
      <c r="I16" s="34" t="s">
        <v>28</v>
      </c>
      <c r="J16" s="35">
        <v>0</v>
      </c>
      <c r="K16" s="30"/>
      <c r="L16" s="29">
        <v>25000</v>
      </c>
      <c r="M16" s="30">
        <v>0</v>
      </c>
      <c r="N16" s="30"/>
      <c r="O16" s="30">
        <v>0</v>
      </c>
      <c r="P16" s="30">
        <v>0</v>
      </c>
      <c r="Q16" s="30"/>
      <c r="R16" s="30">
        <v>0</v>
      </c>
      <c r="S16" s="30">
        <v>64528</v>
      </c>
      <c r="T16" s="30"/>
      <c r="U16" s="30">
        <v>0</v>
      </c>
      <c r="V16" s="31">
        <v>0</v>
      </c>
    </row>
    <row r="17" spans="1:22">
      <c r="A17" s="1" t="s">
        <v>29</v>
      </c>
      <c r="B17" s="29">
        <v>0</v>
      </c>
      <c r="C17" s="30">
        <v>0</v>
      </c>
      <c r="D17" s="30">
        <v>0</v>
      </c>
      <c r="E17" s="30">
        <v>0</v>
      </c>
      <c r="F17" s="30">
        <v>0</v>
      </c>
      <c r="G17" s="31">
        <f>SUM(HI_FINANCIAL)</f>
        <v>0</v>
      </c>
      <c r="H17" s="30"/>
      <c r="I17" s="34"/>
      <c r="J17" s="35"/>
      <c r="K17" s="30"/>
      <c r="L17" s="29"/>
      <c r="M17" s="30"/>
      <c r="N17" s="30"/>
      <c r="O17" s="30"/>
      <c r="P17" s="30"/>
      <c r="Q17" s="30"/>
      <c r="R17" s="30"/>
      <c r="S17" s="30"/>
      <c r="T17" s="30"/>
      <c r="U17" s="30"/>
      <c r="V17" s="31"/>
    </row>
    <row r="18" spans="1:22">
      <c r="A18" s="1" t="s">
        <v>30</v>
      </c>
      <c r="B18" s="29">
        <v>8584.2349475043047</v>
      </c>
      <c r="C18" s="30">
        <v>71945.75001133245</v>
      </c>
      <c r="D18" s="30">
        <v>944.76042285907852</v>
      </c>
      <c r="E18" s="30">
        <v>0</v>
      </c>
      <c r="F18" s="30">
        <v>0</v>
      </c>
      <c r="G18" s="31">
        <f>SUM(ID_FINANCIAL)</f>
        <v>81474.74538169583</v>
      </c>
      <c r="H18" s="30"/>
      <c r="I18" s="34" t="s">
        <v>31</v>
      </c>
      <c r="J18" s="35"/>
      <c r="K18" s="30"/>
      <c r="L18" s="29">
        <v>5200</v>
      </c>
      <c r="M18" s="30">
        <v>0</v>
      </c>
      <c r="N18" s="30"/>
      <c r="O18" s="30">
        <v>44000</v>
      </c>
      <c r="P18" s="30">
        <v>0</v>
      </c>
      <c r="Q18" s="30"/>
      <c r="R18" s="30">
        <v>60800</v>
      </c>
      <c r="S18" s="30">
        <v>0</v>
      </c>
      <c r="T18" s="30"/>
      <c r="U18" s="30">
        <v>0</v>
      </c>
      <c r="V18" s="31">
        <v>0</v>
      </c>
    </row>
    <row r="19" spans="1:22">
      <c r="A19" s="1" t="s">
        <v>32</v>
      </c>
      <c r="B19" s="29">
        <v>10614.34899136395</v>
      </c>
      <c r="C19" s="30">
        <v>255725.97287720913</v>
      </c>
      <c r="D19" s="30">
        <v>121072.90848985797</v>
      </c>
      <c r="E19" s="30">
        <v>0</v>
      </c>
      <c r="F19" s="30">
        <v>0</v>
      </c>
      <c r="G19" s="31">
        <f>SUM(IL_FINANCIAL)</f>
        <v>387413.23035843106</v>
      </c>
      <c r="H19" s="30"/>
      <c r="I19" s="34" t="s">
        <v>33</v>
      </c>
      <c r="J19" s="35">
        <v>0</v>
      </c>
      <c r="K19" s="30"/>
      <c r="L19" s="29">
        <v>55000</v>
      </c>
      <c r="M19" s="30">
        <v>0</v>
      </c>
      <c r="N19" s="30"/>
      <c r="O19" s="30">
        <v>300000</v>
      </c>
      <c r="P19" s="30">
        <v>0</v>
      </c>
      <c r="Q19" s="30"/>
      <c r="R19" s="30">
        <v>295000</v>
      </c>
      <c r="S19" s="30">
        <v>0</v>
      </c>
      <c r="T19" s="30"/>
      <c r="U19" s="30">
        <v>0</v>
      </c>
      <c r="V19" s="31">
        <v>0</v>
      </c>
    </row>
    <row r="20" spans="1:22">
      <c r="A20" s="1" t="s">
        <v>34</v>
      </c>
      <c r="B20" s="29">
        <v>10924.188324565252</v>
      </c>
      <c r="C20" s="30">
        <v>85854.062757073698</v>
      </c>
      <c r="D20" s="30">
        <v>95460.878959276073</v>
      </c>
      <c r="E20" s="30">
        <v>0</v>
      </c>
      <c r="F20" s="30">
        <v>0</v>
      </c>
      <c r="G20" s="31">
        <f>SUM(IN_FINANCIAL)</f>
        <v>192239.13004091504</v>
      </c>
      <c r="H20" s="30"/>
      <c r="I20" s="34" t="s">
        <v>35</v>
      </c>
      <c r="J20" s="35">
        <v>9387292.4799999986</v>
      </c>
      <c r="K20" s="30"/>
      <c r="L20" s="29"/>
      <c r="M20" s="30"/>
      <c r="N20" s="30"/>
      <c r="O20" s="30"/>
      <c r="P20" s="30"/>
      <c r="Q20" s="30"/>
      <c r="R20" s="30"/>
      <c r="S20" s="30"/>
      <c r="T20" s="30"/>
      <c r="U20" s="30"/>
      <c r="V20" s="31"/>
    </row>
    <row r="21" spans="1:22">
      <c r="A21" s="1" t="s">
        <v>36</v>
      </c>
      <c r="B21" s="29">
        <v>1964.5044055690164</v>
      </c>
      <c r="C21" s="30">
        <v>66818.476446917295</v>
      </c>
      <c r="D21" s="30">
        <v>2365.0032839540363</v>
      </c>
      <c r="E21" s="30">
        <v>0</v>
      </c>
      <c r="F21" s="30">
        <v>0</v>
      </c>
      <c r="G21" s="31">
        <f>SUM(IA_FINANCIAL)</f>
        <v>71147.984136440355</v>
      </c>
      <c r="H21" s="30"/>
      <c r="I21" s="34" t="s">
        <v>37</v>
      </c>
      <c r="J21" s="35"/>
      <c r="K21" s="30"/>
      <c r="L21" s="29"/>
      <c r="M21" s="30"/>
      <c r="N21" s="30"/>
      <c r="O21" s="30"/>
      <c r="P21" s="30"/>
      <c r="Q21" s="30"/>
      <c r="R21" s="30"/>
      <c r="S21" s="30"/>
      <c r="T21" s="30"/>
      <c r="U21" s="30"/>
      <c r="V21" s="31"/>
    </row>
    <row r="22" spans="1:22">
      <c r="A22" s="1" t="s">
        <v>38</v>
      </c>
      <c r="B22" s="29">
        <v>0</v>
      </c>
      <c r="C22" s="30">
        <v>0</v>
      </c>
      <c r="D22" s="30">
        <v>0</v>
      </c>
      <c r="E22" s="30">
        <v>0</v>
      </c>
      <c r="F22" s="30">
        <v>0</v>
      </c>
      <c r="G22" s="31">
        <f>SUM(KS_FINANCIAL)</f>
        <v>0</v>
      </c>
      <c r="H22" s="30"/>
      <c r="I22" s="34" t="s">
        <v>39</v>
      </c>
      <c r="J22" s="35">
        <v>-125003</v>
      </c>
      <c r="K22" s="30"/>
      <c r="L22" s="29"/>
      <c r="M22" s="30"/>
      <c r="N22" s="30"/>
      <c r="O22" s="30"/>
      <c r="P22" s="30"/>
      <c r="Q22" s="30"/>
      <c r="R22" s="30"/>
      <c r="S22" s="30"/>
      <c r="T22" s="30"/>
      <c r="U22" s="30"/>
      <c r="V22" s="31"/>
    </row>
    <row r="23" spans="1:22">
      <c r="A23" s="1" t="s">
        <v>40</v>
      </c>
      <c r="B23" s="29">
        <v>8929.1501091480968</v>
      </c>
      <c r="C23" s="30">
        <v>49545.61140002359</v>
      </c>
      <c r="D23" s="30">
        <v>53886.63231771475</v>
      </c>
      <c r="E23" s="30">
        <v>0</v>
      </c>
      <c r="F23" s="30">
        <v>0</v>
      </c>
      <c r="G23" s="31">
        <f>SUM(KY_FINANCIAL)</f>
        <v>112361.39382688643</v>
      </c>
      <c r="H23" s="30"/>
      <c r="I23" s="34" t="s">
        <v>41</v>
      </c>
      <c r="J23" s="35"/>
      <c r="K23" s="30"/>
      <c r="L23" s="29">
        <v>26779</v>
      </c>
      <c r="M23" s="30">
        <v>0</v>
      </c>
      <c r="N23" s="30"/>
      <c r="O23" s="30">
        <v>76788</v>
      </c>
      <c r="P23" s="30">
        <v>0</v>
      </c>
      <c r="Q23" s="30"/>
      <c r="R23" s="30">
        <v>82494</v>
      </c>
      <c r="S23" s="30">
        <v>0</v>
      </c>
      <c r="T23" s="30"/>
      <c r="U23" s="30">
        <v>0</v>
      </c>
      <c r="V23" s="31">
        <v>0</v>
      </c>
    </row>
    <row r="24" spans="1:22">
      <c r="A24" s="1" t="s">
        <v>42</v>
      </c>
      <c r="B24" s="29">
        <v>5106.6018043942131</v>
      </c>
      <c r="C24" s="30">
        <v>26396.475364421876</v>
      </c>
      <c r="D24" s="30">
        <v>0</v>
      </c>
      <c r="E24" s="30">
        <v>0</v>
      </c>
      <c r="F24" s="30">
        <v>0</v>
      </c>
      <c r="G24" s="31">
        <f>SUM(LA_FINANCIAL)</f>
        <v>31503.077168816089</v>
      </c>
      <c r="H24" s="30"/>
      <c r="I24" s="34" t="s">
        <v>43</v>
      </c>
      <c r="J24" s="35">
        <v>5160779.8499999987</v>
      </c>
      <c r="K24" s="30"/>
      <c r="L24" s="29">
        <v>0</v>
      </c>
      <c r="M24" s="30">
        <v>0</v>
      </c>
      <c r="N24" s="30"/>
      <c r="O24" s="30">
        <v>0</v>
      </c>
      <c r="P24" s="30">
        <v>0</v>
      </c>
      <c r="Q24" s="30"/>
      <c r="R24" s="30">
        <v>180000</v>
      </c>
      <c r="S24" s="30">
        <v>0</v>
      </c>
      <c r="T24" s="30"/>
      <c r="U24" s="30">
        <v>0</v>
      </c>
      <c r="V24" s="31">
        <v>0</v>
      </c>
    </row>
    <row r="25" spans="1:22">
      <c r="A25" s="1" t="s">
        <v>44</v>
      </c>
      <c r="B25" s="29">
        <v>0</v>
      </c>
      <c r="C25" s="30">
        <v>0</v>
      </c>
      <c r="D25" s="30">
        <v>0</v>
      </c>
      <c r="E25" s="30">
        <v>0</v>
      </c>
      <c r="F25" s="30">
        <v>0</v>
      </c>
      <c r="G25" s="31">
        <f>SUM(ME_FINANCIAL)</f>
        <v>0</v>
      </c>
      <c r="H25" s="30"/>
      <c r="I25" s="34"/>
      <c r="J25" s="35"/>
      <c r="K25" s="30"/>
      <c r="L25" s="29"/>
      <c r="M25" s="30"/>
      <c r="N25" s="30"/>
      <c r="O25" s="30"/>
      <c r="P25" s="30"/>
      <c r="Q25" s="30"/>
      <c r="R25" s="30"/>
      <c r="S25" s="30"/>
      <c r="T25" s="30"/>
      <c r="U25" s="30"/>
      <c r="V25" s="31"/>
    </row>
    <row r="26" spans="1:22">
      <c r="A26" s="1" t="s">
        <v>45</v>
      </c>
      <c r="B26" s="29">
        <v>0</v>
      </c>
      <c r="C26" s="30">
        <v>0</v>
      </c>
      <c r="D26" s="30">
        <v>0</v>
      </c>
      <c r="E26" s="30">
        <v>0</v>
      </c>
      <c r="F26" s="30">
        <v>0</v>
      </c>
      <c r="G26" s="31">
        <f>SUM(MD_FINANCIAL)</f>
        <v>0</v>
      </c>
      <c r="H26" s="30"/>
      <c r="I26" s="34" t="s">
        <v>46</v>
      </c>
      <c r="J26" s="35">
        <f>SUM(ADD_FINANCIAL)-SUM(LESS_FINANCIAL)</f>
        <v>15104531.730000004</v>
      </c>
      <c r="K26" s="30"/>
      <c r="L26" s="29"/>
      <c r="M26" s="30"/>
      <c r="N26" s="30"/>
      <c r="O26" s="30"/>
      <c r="P26" s="30"/>
      <c r="Q26" s="30"/>
      <c r="R26" s="30"/>
      <c r="S26" s="30"/>
      <c r="T26" s="30"/>
      <c r="U26" s="30"/>
      <c r="V26" s="31"/>
    </row>
    <row r="27" spans="1:22">
      <c r="A27" s="1" t="s">
        <v>47</v>
      </c>
      <c r="B27" s="29">
        <v>0</v>
      </c>
      <c r="C27" s="30">
        <v>0</v>
      </c>
      <c r="D27" s="30">
        <v>0</v>
      </c>
      <c r="E27" s="30">
        <v>0</v>
      </c>
      <c r="F27" s="30">
        <v>0</v>
      </c>
      <c r="G27" s="31">
        <f>SUM(MA_FINANCIAL)</f>
        <v>0</v>
      </c>
      <c r="H27" s="30"/>
      <c r="I27" s="34" t="s">
        <v>48</v>
      </c>
      <c r="J27" s="35">
        <f>SUM(ALL_BLOCKS)</f>
        <v>15104531.730000004</v>
      </c>
      <c r="K27" s="30"/>
      <c r="L27" s="29"/>
      <c r="M27" s="30"/>
      <c r="N27" s="30"/>
      <c r="O27" s="30"/>
      <c r="P27" s="30"/>
      <c r="Q27" s="30"/>
      <c r="R27" s="30"/>
      <c r="S27" s="30"/>
      <c r="T27" s="30"/>
      <c r="U27" s="30"/>
      <c r="V27" s="31"/>
    </row>
    <row r="28" spans="1:22">
      <c r="A28" s="1" t="s">
        <v>49</v>
      </c>
      <c r="B28" s="29">
        <v>18283.239892346457</v>
      </c>
      <c r="C28" s="30">
        <v>457940.11149334145</v>
      </c>
      <c r="D28" s="30">
        <v>172596.87872087414</v>
      </c>
      <c r="E28" s="30">
        <v>0</v>
      </c>
      <c r="F28" s="30">
        <v>0</v>
      </c>
      <c r="G28" s="31">
        <f>SUM(MI_FINANCIAL)</f>
        <v>648820.23010656203</v>
      </c>
      <c r="H28" s="30"/>
      <c r="I28" s="36"/>
      <c r="J28" s="37"/>
      <c r="K28" s="30"/>
      <c r="L28" s="29"/>
      <c r="M28" s="30"/>
      <c r="N28" s="30"/>
      <c r="O28" s="30"/>
      <c r="P28" s="30"/>
      <c r="Q28" s="30"/>
      <c r="R28" s="30"/>
      <c r="S28" s="30"/>
      <c r="T28" s="30"/>
      <c r="U28" s="30"/>
      <c r="V28" s="31"/>
    </row>
    <row r="29" spans="1:22">
      <c r="A29" s="1" t="s">
        <v>50</v>
      </c>
      <c r="B29" s="29">
        <v>8171.9936581693373</v>
      </c>
      <c r="C29" s="30">
        <v>152233.53622273158</v>
      </c>
      <c r="D29" s="30">
        <v>225421.02306658457</v>
      </c>
      <c r="E29" s="30">
        <v>0</v>
      </c>
      <c r="F29" s="30">
        <v>0</v>
      </c>
      <c r="G29" s="31">
        <f>SUM(MN_FINANCIAL)</f>
        <v>385826.55294748547</v>
      </c>
      <c r="H29" s="30"/>
      <c r="I29" s="30"/>
      <c r="J29" s="30"/>
      <c r="K29" s="30"/>
      <c r="L29" s="29">
        <v>10500</v>
      </c>
      <c r="M29" s="30">
        <v>0</v>
      </c>
      <c r="N29" s="30"/>
      <c r="O29" s="30">
        <v>210000</v>
      </c>
      <c r="P29" s="30">
        <v>0</v>
      </c>
      <c r="Q29" s="30"/>
      <c r="R29" s="30">
        <v>85000</v>
      </c>
      <c r="S29" s="30">
        <v>0</v>
      </c>
      <c r="T29" s="30"/>
      <c r="U29" s="30">
        <v>0</v>
      </c>
      <c r="V29" s="31">
        <v>0</v>
      </c>
    </row>
    <row r="30" spans="1:22">
      <c r="A30" s="1" t="s">
        <v>51</v>
      </c>
      <c r="B30" s="29">
        <v>2454.329439244756</v>
      </c>
      <c r="C30" s="30">
        <v>5242.0319651882292</v>
      </c>
      <c r="D30" s="30">
        <v>90094.124647679055</v>
      </c>
      <c r="E30" s="30">
        <v>0</v>
      </c>
      <c r="F30" s="30">
        <v>0</v>
      </c>
      <c r="G30" s="31">
        <f>SUM(MS_FINANCIAL)</f>
        <v>97790.486052112043</v>
      </c>
      <c r="H30" s="30"/>
      <c r="I30" s="30"/>
      <c r="J30" s="30"/>
      <c r="K30" s="30"/>
      <c r="L30" s="29">
        <v>12150</v>
      </c>
      <c r="M30" s="30">
        <v>0</v>
      </c>
      <c r="N30" s="30"/>
      <c r="O30" s="30">
        <v>122850</v>
      </c>
      <c r="P30" s="30">
        <v>0</v>
      </c>
      <c r="Q30" s="30"/>
      <c r="R30" s="30">
        <v>0</v>
      </c>
      <c r="S30" s="30">
        <v>0</v>
      </c>
      <c r="T30" s="30"/>
      <c r="U30" s="30">
        <v>0</v>
      </c>
      <c r="V30" s="31">
        <v>0</v>
      </c>
    </row>
    <row r="31" spans="1:22">
      <c r="A31" s="1" t="s">
        <v>52</v>
      </c>
      <c r="B31" s="29">
        <v>10377.592584856107</v>
      </c>
      <c r="C31" s="30">
        <v>154209.75488190912</v>
      </c>
      <c r="D31" s="30">
        <v>46852.542017657965</v>
      </c>
      <c r="E31" s="30">
        <v>0</v>
      </c>
      <c r="F31" s="30">
        <v>0</v>
      </c>
      <c r="G31" s="31">
        <f>SUM(MO_FINANCIAL)</f>
        <v>211439.88948442321</v>
      </c>
      <c r="H31" s="30"/>
      <c r="I31" s="30"/>
      <c r="J31" s="30"/>
      <c r="K31" s="30"/>
      <c r="L31" s="29"/>
      <c r="M31" s="30"/>
      <c r="N31" s="30"/>
      <c r="O31" s="30"/>
      <c r="P31" s="30"/>
      <c r="Q31" s="30"/>
      <c r="R31" s="30"/>
      <c r="S31" s="30"/>
      <c r="T31" s="30"/>
      <c r="U31" s="30"/>
      <c r="V31" s="31"/>
    </row>
    <row r="32" spans="1:22">
      <c r="A32" s="1" t="s">
        <v>53</v>
      </c>
      <c r="B32" s="29">
        <v>1339.1619934633902</v>
      </c>
      <c r="C32" s="30">
        <v>21097.691448040052</v>
      </c>
      <c r="D32" s="30">
        <v>25077.481102083613</v>
      </c>
      <c r="E32" s="30">
        <v>0</v>
      </c>
      <c r="F32" s="30">
        <v>0</v>
      </c>
      <c r="G32" s="31">
        <f>SUM(MT_FINANCIAL)</f>
        <v>47514.334543587058</v>
      </c>
      <c r="H32" s="30"/>
      <c r="I32" s="30"/>
      <c r="J32" s="30"/>
      <c r="K32" s="30"/>
      <c r="L32" s="29">
        <v>0</v>
      </c>
      <c r="M32" s="30">
        <v>0</v>
      </c>
      <c r="N32" s="30"/>
      <c r="O32" s="30">
        <v>0</v>
      </c>
      <c r="P32" s="30">
        <v>0</v>
      </c>
      <c r="Q32" s="30"/>
      <c r="R32" s="30">
        <v>50000</v>
      </c>
      <c r="S32" s="30">
        <v>0</v>
      </c>
      <c r="T32" s="30"/>
      <c r="U32" s="30">
        <v>0</v>
      </c>
      <c r="V32" s="31">
        <v>0</v>
      </c>
    </row>
    <row r="33" spans="1:22">
      <c r="A33" s="1" t="s">
        <v>54</v>
      </c>
      <c r="B33" s="29">
        <v>3023.2997161794101</v>
      </c>
      <c r="C33" s="30">
        <v>73400.968841583759</v>
      </c>
      <c r="D33" s="30">
        <v>0</v>
      </c>
      <c r="E33" s="30">
        <v>0</v>
      </c>
      <c r="F33" s="30">
        <v>0</v>
      </c>
      <c r="G33" s="31">
        <f>SUM(NE_FINANCIAL)</f>
        <v>76424.268557763164</v>
      </c>
      <c r="H33" s="30"/>
      <c r="I33" s="30"/>
      <c r="J33" s="30"/>
      <c r="K33" s="30"/>
      <c r="L33" s="29">
        <v>16650</v>
      </c>
      <c r="M33" s="30">
        <v>0</v>
      </c>
      <c r="N33" s="30"/>
      <c r="O33" s="30">
        <v>17218</v>
      </c>
      <c r="P33" s="30">
        <v>0</v>
      </c>
      <c r="Q33" s="30"/>
      <c r="R33" s="30">
        <v>3700</v>
      </c>
      <c r="S33" s="30">
        <v>0</v>
      </c>
      <c r="T33" s="30"/>
      <c r="U33" s="30">
        <v>0</v>
      </c>
      <c r="V33" s="31">
        <v>0</v>
      </c>
    </row>
    <row r="34" spans="1:22">
      <c r="A34" s="1" t="s">
        <v>55</v>
      </c>
      <c r="B34" s="29">
        <v>3153.5176249922315</v>
      </c>
      <c r="C34" s="30">
        <v>57898.748577094877</v>
      </c>
      <c r="D34" s="30">
        <v>0</v>
      </c>
      <c r="E34" s="30">
        <v>0</v>
      </c>
      <c r="F34" s="30">
        <v>0</v>
      </c>
      <c r="G34" s="31">
        <f>SUM(NV_FINANCIAL)</f>
        <v>61052.266202087107</v>
      </c>
      <c r="H34" s="30"/>
      <c r="I34" s="30"/>
      <c r="J34" s="30"/>
      <c r="K34" s="30"/>
      <c r="L34" s="29">
        <v>4600</v>
      </c>
      <c r="M34" s="30">
        <v>0</v>
      </c>
      <c r="N34" s="30"/>
      <c r="O34" s="30">
        <v>78800</v>
      </c>
      <c r="P34" s="30">
        <v>0</v>
      </c>
      <c r="Q34" s="30"/>
      <c r="R34" s="30">
        <v>39600</v>
      </c>
      <c r="S34" s="30">
        <v>0</v>
      </c>
      <c r="T34" s="30"/>
      <c r="U34" s="30">
        <v>0</v>
      </c>
      <c r="V34" s="31">
        <v>0</v>
      </c>
    </row>
    <row r="35" spans="1:22">
      <c r="A35" s="1" t="s">
        <v>56</v>
      </c>
      <c r="B35" s="29">
        <v>3043.6297318656461</v>
      </c>
      <c r="C35" s="30">
        <v>2798.8615522655864</v>
      </c>
      <c r="D35" s="30">
        <v>147063.80101363381</v>
      </c>
      <c r="E35" s="30">
        <v>0</v>
      </c>
      <c r="F35" s="30">
        <v>0</v>
      </c>
      <c r="G35" s="31">
        <f>SUM(NH_FINANCIAL)</f>
        <v>152906.29229776503</v>
      </c>
      <c r="H35" s="30"/>
      <c r="I35" s="30"/>
      <c r="J35" s="30"/>
      <c r="K35" s="30"/>
      <c r="L35" s="29">
        <v>0</v>
      </c>
      <c r="M35" s="30">
        <v>0</v>
      </c>
      <c r="N35" s="30"/>
      <c r="O35" s="30">
        <v>0</v>
      </c>
      <c r="P35" s="30">
        <v>0</v>
      </c>
      <c r="Q35" s="30"/>
      <c r="R35" s="30">
        <v>210000</v>
      </c>
      <c r="S35" s="30">
        <v>0</v>
      </c>
      <c r="T35" s="30"/>
      <c r="U35" s="30">
        <v>0</v>
      </c>
      <c r="V35" s="31">
        <v>0</v>
      </c>
    </row>
    <row r="36" spans="1:22">
      <c r="A36" s="1" t="s">
        <v>57</v>
      </c>
      <c r="B36" s="29">
        <v>0</v>
      </c>
      <c r="C36" s="30">
        <v>0</v>
      </c>
      <c r="D36" s="30">
        <v>0</v>
      </c>
      <c r="E36" s="30">
        <v>0</v>
      </c>
      <c r="F36" s="30">
        <v>0</v>
      </c>
      <c r="G36" s="31">
        <f>SUM(NJ_FINANCIAL)</f>
        <v>0</v>
      </c>
      <c r="H36" s="30"/>
      <c r="I36" s="30"/>
      <c r="J36" s="30"/>
      <c r="K36" s="30"/>
      <c r="L36" s="29"/>
      <c r="M36" s="30"/>
      <c r="N36" s="30"/>
      <c r="O36" s="30"/>
      <c r="P36" s="30"/>
      <c r="Q36" s="30"/>
      <c r="R36" s="30"/>
      <c r="S36" s="30"/>
      <c r="T36" s="30"/>
      <c r="U36" s="30"/>
      <c r="V36" s="31"/>
    </row>
    <row r="37" spans="1:22">
      <c r="A37" s="1" t="s">
        <v>58</v>
      </c>
      <c r="B37" s="29">
        <v>7228.1257096362624</v>
      </c>
      <c r="C37" s="30">
        <v>11542.563247114749</v>
      </c>
      <c r="D37" s="30">
        <v>66572.433176813603</v>
      </c>
      <c r="E37" s="30">
        <v>0</v>
      </c>
      <c r="F37" s="30">
        <v>0</v>
      </c>
      <c r="G37" s="31">
        <f>SUM(NM_FINANCIAL)</f>
        <v>85343.122133564611</v>
      </c>
      <c r="H37" s="30"/>
      <c r="I37" s="30"/>
      <c r="J37" s="30"/>
      <c r="K37" s="30"/>
      <c r="L37" s="29">
        <v>0</v>
      </c>
      <c r="M37" s="30">
        <v>0</v>
      </c>
      <c r="N37" s="30"/>
      <c r="O37" s="30">
        <v>0</v>
      </c>
      <c r="P37" s="30">
        <v>0</v>
      </c>
      <c r="Q37" s="30"/>
      <c r="R37" s="30">
        <v>59981</v>
      </c>
      <c r="S37" s="30">
        <v>0</v>
      </c>
      <c r="T37" s="30"/>
      <c r="U37" s="30">
        <v>0</v>
      </c>
      <c r="V37" s="31">
        <v>0</v>
      </c>
    </row>
    <row r="38" spans="1:22">
      <c r="A38" s="1" t="s">
        <v>59</v>
      </c>
      <c r="B38" s="29">
        <v>0</v>
      </c>
      <c r="C38" s="30">
        <v>0</v>
      </c>
      <c r="D38" s="30">
        <v>0</v>
      </c>
      <c r="E38" s="30">
        <v>0</v>
      </c>
      <c r="F38" s="30">
        <v>0</v>
      </c>
      <c r="G38" s="31">
        <f>SUM(NY_FINANCIAL)</f>
        <v>0</v>
      </c>
      <c r="H38" s="30"/>
      <c r="I38" s="30"/>
      <c r="J38" s="30"/>
      <c r="K38" s="30"/>
      <c r="L38" s="29"/>
      <c r="M38" s="30"/>
      <c r="N38" s="30"/>
      <c r="O38" s="30"/>
      <c r="P38" s="30"/>
      <c r="Q38" s="30"/>
      <c r="R38" s="30"/>
      <c r="S38" s="30"/>
      <c r="T38" s="30"/>
      <c r="U38" s="30"/>
      <c r="V38" s="31"/>
    </row>
    <row r="39" spans="1:22">
      <c r="A39" s="1" t="s">
        <v>60</v>
      </c>
      <c r="B39" s="29">
        <v>0</v>
      </c>
      <c r="C39" s="30">
        <v>0</v>
      </c>
      <c r="D39" s="30">
        <v>0</v>
      </c>
      <c r="E39" s="30">
        <v>0</v>
      </c>
      <c r="F39" s="30">
        <v>0</v>
      </c>
      <c r="G39" s="31">
        <f>SUM(NC_FINANCIAL)</f>
        <v>0</v>
      </c>
      <c r="H39" s="30"/>
      <c r="I39" s="30"/>
      <c r="J39" s="30"/>
      <c r="K39" s="30"/>
      <c r="L39" s="29"/>
      <c r="M39" s="30"/>
      <c r="N39" s="30"/>
      <c r="O39" s="30"/>
      <c r="P39" s="30"/>
      <c r="Q39" s="30"/>
      <c r="R39" s="30"/>
      <c r="S39" s="30"/>
      <c r="T39" s="30"/>
      <c r="U39" s="30"/>
      <c r="V39" s="31"/>
    </row>
    <row r="40" spans="1:22">
      <c r="A40" s="1" t="s">
        <v>61</v>
      </c>
      <c r="B40" s="29">
        <v>1929.7768344430567</v>
      </c>
      <c r="C40" s="30">
        <v>-37.092627742620955</v>
      </c>
      <c r="D40" s="30">
        <v>0</v>
      </c>
      <c r="E40" s="30">
        <v>0</v>
      </c>
      <c r="F40" s="30">
        <v>0</v>
      </c>
      <c r="G40" s="31">
        <f>SUM(ND_FINANCIAL)</f>
        <v>1892.6842067004357</v>
      </c>
      <c r="H40" s="30"/>
      <c r="I40" s="30"/>
      <c r="J40" s="30"/>
      <c r="K40" s="30"/>
      <c r="L40" s="29"/>
      <c r="M40" s="30"/>
      <c r="N40" s="30"/>
      <c r="O40" s="30"/>
      <c r="P40" s="30"/>
      <c r="Q40" s="30"/>
      <c r="R40" s="30"/>
      <c r="S40" s="30"/>
      <c r="T40" s="30"/>
      <c r="U40" s="30"/>
      <c r="V40" s="31"/>
    </row>
    <row r="41" spans="1:22">
      <c r="A41" s="1" t="s">
        <v>62</v>
      </c>
      <c r="B41" s="29">
        <v>8109.6624790075966</v>
      </c>
      <c r="C41" s="30">
        <v>79821.732828294378</v>
      </c>
      <c r="D41" s="30">
        <v>80786.429505060543</v>
      </c>
      <c r="E41" s="30">
        <v>0</v>
      </c>
      <c r="F41" s="30">
        <v>0</v>
      </c>
      <c r="G41" s="31">
        <f>SUM(OH_FINANCIAL)</f>
        <v>168717.82481236252</v>
      </c>
      <c r="H41" s="30"/>
      <c r="I41" s="30"/>
      <c r="J41" s="30"/>
      <c r="K41" s="30"/>
      <c r="L41" s="29">
        <v>10000</v>
      </c>
      <c r="M41" s="30">
        <v>0</v>
      </c>
      <c r="N41" s="30"/>
      <c r="O41" s="30">
        <v>70000</v>
      </c>
      <c r="P41" s="30">
        <v>0</v>
      </c>
      <c r="Q41" s="30"/>
      <c r="R41" s="30">
        <v>150000</v>
      </c>
      <c r="S41" s="30">
        <v>0</v>
      </c>
      <c r="T41" s="30"/>
      <c r="U41" s="30">
        <v>0</v>
      </c>
      <c r="V41" s="31">
        <v>0</v>
      </c>
    </row>
    <row r="42" spans="1:22">
      <c r="A42" s="1" t="s">
        <v>63</v>
      </c>
      <c r="B42" s="29">
        <v>5254.4790484070272</v>
      </c>
      <c r="C42" s="30">
        <v>62824.093292050267</v>
      </c>
      <c r="D42" s="30">
        <v>172157.16063597822</v>
      </c>
      <c r="E42" s="30">
        <v>0</v>
      </c>
      <c r="F42" s="30">
        <v>0</v>
      </c>
      <c r="G42" s="31">
        <f>SUM(OK_FINANCIAL)</f>
        <v>240235.73297643551</v>
      </c>
      <c r="H42" s="30"/>
      <c r="I42" s="30"/>
      <c r="J42" s="30"/>
      <c r="K42" s="30"/>
      <c r="L42" s="29">
        <v>98000</v>
      </c>
      <c r="M42" s="30">
        <v>0</v>
      </c>
      <c r="N42" s="30"/>
      <c r="O42" s="30">
        <v>7000</v>
      </c>
      <c r="P42" s="30">
        <v>0</v>
      </c>
      <c r="Q42" s="30"/>
      <c r="R42" s="30">
        <v>245000</v>
      </c>
      <c r="S42" s="30">
        <v>0</v>
      </c>
      <c r="T42" s="30"/>
      <c r="U42" s="30">
        <v>0</v>
      </c>
      <c r="V42" s="31">
        <v>0</v>
      </c>
    </row>
    <row r="43" spans="1:22">
      <c r="A43" s="1" t="s">
        <v>64</v>
      </c>
      <c r="B43" s="29">
        <v>6050.7767216623233</v>
      </c>
      <c r="C43" s="30">
        <v>106279.86914581647</v>
      </c>
      <c r="D43" s="30">
        <v>42010.801261440472</v>
      </c>
      <c r="E43" s="30">
        <v>0</v>
      </c>
      <c r="F43" s="30">
        <v>0</v>
      </c>
      <c r="G43" s="31">
        <f>SUM(OR_FINANCIAL)</f>
        <v>154341.44712891924</v>
      </c>
      <c r="H43" s="30"/>
      <c r="I43" s="30"/>
      <c r="J43" s="30"/>
      <c r="K43" s="30"/>
      <c r="L43" s="29"/>
      <c r="M43" s="30"/>
      <c r="N43" s="30"/>
      <c r="O43" s="30"/>
      <c r="P43" s="30"/>
      <c r="Q43" s="30"/>
      <c r="R43" s="30"/>
      <c r="S43" s="30"/>
      <c r="T43" s="30"/>
      <c r="U43" s="30"/>
      <c r="V43" s="31"/>
    </row>
    <row r="44" spans="1:22">
      <c r="A44" s="1" t="s">
        <v>65</v>
      </c>
      <c r="B44" s="29">
        <v>15959.923147959817</v>
      </c>
      <c r="C44" s="30">
        <v>445661.6055514912</v>
      </c>
      <c r="D44" s="30">
        <v>151650.54128231324</v>
      </c>
      <c r="E44" s="30">
        <v>0</v>
      </c>
      <c r="F44" s="30">
        <v>0</v>
      </c>
      <c r="G44" s="31">
        <f>SUM(PA_FINANCIAL)</f>
        <v>613272.0699817643</v>
      </c>
      <c r="H44" s="30"/>
      <c r="I44" s="30"/>
      <c r="J44" s="30"/>
      <c r="K44" s="30"/>
      <c r="L44" s="29"/>
      <c r="M44" s="30"/>
      <c r="N44" s="30"/>
      <c r="O44" s="30"/>
      <c r="P44" s="30"/>
      <c r="Q44" s="30"/>
      <c r="R44" s="30"/>
      <c r="S44" s="30"/>
      <c r="T44" s="30"/>
      <c r="U44" s="30"/>
      <c r="V44" s="31"/>
    </row>
    <row r="45" spans="1:22">
      <c r="A45" s="1" t="s">
        <v>66</v>
      </c>
      <c r="B45" s="29">
        <v>0</v>
      </c>
      <c r="C45" s="30">
        <v>0</v>
      </c>
      <c r="D45" s="30">
        <v>0</v>
      </c>
      <c r="E45" s="30">
        <v>0</v>
      </c>
      <c r="F45" s="30">
        <v>0</v>
      </c>
      <c r="G45" s="31">
        <f>SUM(PR_FINANCIAL)</f>
        <v>0</v>
      </c>
      <c r="H45" s="30"/>
      <c r="I45" s="30"/>
      <c r="J45" s="30"/>
      <c r="K45" s="30"/>
      <c r="L45" s="29"/>
      <c r="M45" s="30"/>
      <c r="N45" s="30"/>
      <c r="O45" s="30"/>
      <c r="P45" s="30"/>
      <c r="Q45" s="30"/>
      <c r="R45" s="30"/>
      <c r="S45" s="30"/>
      <c r="T45" s="30"/>
      <c r="U45" s="30"/>
      <c r="V45" s="31"/>
    </row>
    <row r="46" spans="1:22">
      <c r="A46" s="1" t="s">
        <v>67</v>
      </c>
      <c r="B46" s="29">
        <v>3357.762060272471</v>
      </c>
      <c r="C46" s="30">
        <v>21792.872835884918</v>
      </c>
      <c r="D46" s="30">
        <v>0</v>
      </c>
      <c r="E46" s="30">
        <v>0</v>
      </c>
      <c r="F46" s="30">
        <v>0</v>
      </c>
      <c r="G46" s="31">
        <f>SUM(RI_FINANCIAL)</f>
        <v>25150.634896157389</v>
      </c>
      <c r="H46" s="30"/>
      <c r="I46" s="30"/>
      <c r="J46" s="30"/>
      <c r="K46" s="30"/>
      <c r="L46" s="29">
        <v>3400</v>
      </c>
      <c r="M46" s="30">
        <v>0</v>
      </c>
      <c r="N46" s="30"/>
      <c r="O46" s="30">
        <v>11900</v>
      </c>
      <c r="P46" s="30">
        <v>0</v>
      </c>
      <c r="Q46" s="30"/>
      <c r="R46" s="30">
        <v>18700</v>
      </c>
      <c r="S46" s="30">
        <v>0</v>
      </c>
      <c r="T46" s="30"/>
      <c r="U46" s="30">
        <v>0</v>
      </c>
      <c r="V46" s="31">
        <v>0</v>
      </c>
    </row>
    <row r="47" spans="1:22">
      <c r="A47" s="1" t="s">
        <v>68</v>
      </c>
      <c r="B47" s="29">
        <v>15909.257317700927</v>
      </c>
      <c r="C47" s="30">
        <v>40031.26241010036</v>
      </c>
      <c r="D47" s="30">
        <v>16245.183002790511</v>
      </c>
      <c r="E47" s="30">
        <v>0</v>
      </c>
      <c r="F47" s="30">
        <v>0</v>
      </c>
      <c r="G47" s="31">
        <f>SUM(SC_FINANCIAL)</f>
        <v>72185.702730591802</v>
      </c>
      <c r="H47" s="30"/>
      <c r="I47" s="30"/>
      <c r="J47" s="30"/>
      <c r="K47" s="30"/>
      <c r="L47" s="29"/>
      <c r="M47" s="30"/>
      <c r="N47" s="30"/>
      <c r="O47" s="30"/>
      <c r="P47" s="30"/>
      <c r="Q47" s="30"/>
      <c r="R47" s="30"/>
      <c r="S47" s="30"/>
      <c r="T47" s="30"/>
      <c r="U47" s="30"/>
      <c r="V47" s="31"/>
    </row>
    <row r="48" spans="1:22">
      <c r="A48" s="1" t="s">
        <v>69</v>
      </c>
      <c r="B48" s="29">
        <v>1788.4696385634775</v>
      </c>
      <c r="C48" s="30">
        <v>141505.45275858362</v>
      </c>
      <c r="D48" s="30">
        <v>0</v>
      </c>
      <c r="E48" s="30">
        <v>0</v>
      </c>
      <c r="F48" s="30">
        <v>0</v>
      </c>
      <c r="G48" s="31">
        <f>SUM(SD_FINANCIAL)</f>
        <v>143293.92239714711</v>
      </c>
      <c r="H48" s="30"/>
      <c r="I48" s="30"/>
      <c r="J48" s="30"/>
      <c r="K48" s="30"/>
      <c r="L48" s="29">
        <v>0</v>
      </c>
      <c r="M48" s="30">
        <v>0</v>
      </c>
      <c r="N48" s="30"/>
      <c r="O48" s="30">
        <v>0</v>
      </c>
      <c r="P48" s="30">
        <v>0</v>
      </c>
      <c r="Q48" s="30"/>
      <c r="R48" s="30">
        <v>102492</v>
      </c>
      <c r="S48" s="30">
        <v>0</v>
      </c>
      <c r="T48" s="30"/>
      <c r="U48" s="30">
        <v>0</v>
      </c>
      <c r="V48" s="31">
        <v>0</v>
      </c>
    </row>
    <row r="49" spans="1:22">
      <c r="A49" s="1" t="s">
        <v>70</v>
      </c>
      <c r="B49" s="29">
        <v>0</v>
      </c>
      <c r="C49" s="30">
        <v>0</v>
      </c>
      <c r="D49" s="30">
        <v>0</v>
      </c>
      <c r="E49" s="30">
        <v>0</v>
      </c>
      <c r="F49" s="30">
        <v>0</v>
      </c>
      <c r="G49" s="31">
        <f>SUM(TN_FINANCIAL)</f>
        <v>0</v>
      </c>
      <c r="H49" s="30"/>
      <c r="I49" s="30"/>
      <c r="J49" s="30"/>
      <c r="K49" s="30"/>
      <c r="L49" s="29"/>
      <c r="M49" s="30"/>
      <c r="N49" s="30"/>
      <c r="O49" s="30"/>
      <c r="P49" s="30"/>
      <c r="Q49" s="30"/>
      <c r="R49" s="30"/>
      <c r="S49" s="30"/>
      <c r="T49" s="30"/>
      <c r="U49" s="30"/>
      <c r="V49" s="31"/>
    </row>
    <row r="50" spans="1:22">
      <c r="A50" s="1" t="s">
        <v>71</v>
      </c>
      <c r="B50" s="29">
        <v>37801.224038488268</v>
      </c>
      <c r="C50" s="30">
        <v>488534.57285741449</v>
      </c>
      <c r="D50" s="30">
        <v>666089.11994123075</v>
      </c>
      <c r="E50" s="30">
        <v>0</v>
      </c>
      <c r="F50" s="30">
        <v>0</v>
      </c>
      <c r="G50" s="31">
        <f>SUM(TX_FINANCIAL)</f>
        <v>1192424.9168371335</v>
      </c>
      <c r="H50" s="30"/>
      <c r="I50" s="30"/>
      <c r="J50" s="30"/>
      <c r="K50" s="30"/>
      <c r="L50" s="29">
        <v>19461</v>
      </c>
      <c r="M50" s="30">
        <v>2042.0701079999999</v>
      </c>
      <c r="N50" s="30"/>
      <c r="O50" s="30">
        <v>2706</v>
      </c>
      <c r="P50" s="30">
        <v>275.95542</v>
      </c>
      <c r="Q50" s="30"/>
      <c r="R50" s="30">
        <v>1740990</v>
      </c>
      <c r="S50" s="30">
        <v>181652.254472</v>
      </c>
      <c r="T50" s="30"/>
      <c r="U50" s="30">
        <v>0</v>
      </c>
      <c r="V50" s="31">
        <v>0</v>
      </c>
    </row>
    <row r="51" spans="1:22">
      <c r="A51" s="1" t="s">
        <v>72</v>
      </c>
      <c r="B51" s="29">
        <v>1733.7809146081777</v>
      </c>
      <c r="C51" s="30">
        <v>10300.329746907139</v>
      </c>
      <c r="D51" s="30">
        <v>864.80156463588605</v>
      </c>
      <c r="E51" s="30">
        <v>0</v>
      </c>
      <c r="F51" s="30">
        <v>0</v>
      </c>
      <c r="G51" s="31">
        <f>SUM(UT_FINANCIAL)</f>
        <v>12898.912226151202</v>
      </c>
      <c r="H51" s="30"/>
      <c r="I51" s="30"/>
      <c r="J51" s="30"/>
      <c r="K51" s="30"/>
      <c r="L51" s="29">
        <v>3290</v>
      </c>
      <c r="M51" s="30">
        <v>0</v>
      </c>
      <c r="N51" s="30"/>
      <c r="O51" s="30">
        <v>20210</v>
      </c>
      <c r="P51" s="30">
        <v>0</v>
      </c>
      <c r="Q51" s="30"/>
      <c r="R51" s="30">
        <v>0</v>
      </c>
      <c r="S51" s="30">
        <v>0</v>
      </c>
      <c r="T51" s="30"/>
      <c r="U51" s="30">
        <v>0</v>
      </c>
      <c r="V51" s="31">
        <v>0</v>
      </c>
    </row>
    <row r="52" spans="1:22">
      <c r="A52" s="1" t="s">
        <v>73</v>
      </c>
      <c r="B52" s="29">
        <v>725.26836656487194</v>
      </c>
      <c r="C52" s="30">
        <v>8510.3374475134187</v>
      </c>
      <c r="D52" s="30">
        <v>0</v>
      </c>
      <c r="E52" s="30">
        <v>0</v>
      </c>
      <c r="F52" s="30">
        <v>0</v>
      </c>
      <c r="G52" s="31">
        <f>SUM(VT_FINANCIAL)</f>
        <v>9235.6058140782916</v>
      </c>
      <c r="H52" s="30"/>
      <c r="I52" s="30"/>
      <c r="J52" s="30"/>
      <c r="K52" s="30"/>
      <c r="L52" s="29"/>
      <c r="M52" s="30"/>
      <c r="N52" s="30"/>
      <c r="O52" s="30"/>
      <c r="P52" s="30"/>
      <c r="Q52" s="30"/>
      <c r="R52" s="30"/>
      <c r="S52" s="30"/>
      <c r="T52" s="30"/>
      <c r="U52" s="30"/>
      <c r="V52" s="31"/>
    </row>
    <row r="53" spans="1:22">
      <c r="A53" s="1" t="s">
        <v>74</v>
      </c>
      <c r="B53" s="29">
        <v>367109.35532023298</v>
      </c>
      <c r="C53" s="30">
        <v>344657.64483431663</v>
      </c>
      <c r="D53" s="30">
        <v>8131.5322737085589</v>
      </c>
      <c r="E53" s="30">
        <v>0</v>
      </c>
      <c r="F53" s="30">
        <v>0</v>
      </c>
      <c r="G53" s="31">
        <f>SUM(VA_FINANCIAL)</f>
        <v>719898.53242825822</v>
      </c>
      <c r="H53" s="30"/>
      <c r="I53" s="30"/>
      <c r="J53" s="30"/>
      <c r="K53" s="30"/>
      <c r="L53" s="29">
        <v>61755</v>
      </c>
      <c r="M53" s="30">
        <v>0</v>
      </c>
      <c r="N53" s="30"/>
      <c r="O53" s="30">
        <v>393791</v>
      </c>
      <c r="P53" s="30">
        <v>0</v>
      </c>
      <c r="Q53" s="30"/>
      <c r="R53" s="30">
        <v>930387</v>
      </c>
      <c r="S53" s="30">
        <v>450000</v>
      </c>
      <c r="T53" s="30"/>
      <c r="U53" s="30">
        <v>0</v>
      </c>
      <c r="V53" s="31">
        <v>0</v>
      </c>
    </row>
    <row r="54" spans="1:22">
      <c r="A54" s="1" t="s">
        <v>75</v>
      </c>
      <c r="B54" s="29">
        <v>58472.720341548877</v>
      </c>
      <c r="C54" s="30">
        <v>533218.10785306385</v>
      </c>
      <c r="D54" s="30">
        <v>103375.57515940376</v>
      </c>
      <c r="E54" s="30">
        <v>0</v>
      </c>
      <c r="F54" s="30">
        <v>0</v>
      </c>
      <c r="G54" s="31">
        <f>SUM(WA_FINANCIAL)</f>
        <v>695066.40335401648</v>
      </c>
      <c r="H54" s="30"/>
      <c r="I54" s="30"/>
      <c r="J54" s="30"/>
      <c r="K54" s="30"/>
      <c r="L54" s="29">
        <v>0</v>
      </c>
      <c r="M54" s="30">
        <v>0</v>
      </c>
      <c r="N54" s="30"/>
      <c r="O54" s="30">
        <v>350000</v>
      </c>
      <c r="P54" s="30">
        <v>0</v>
      </c>
      <c r="Q54" s="30"/>
      <c r="R54" s="30">
        <v>200000</v>
      </c>
      <c r="S54" s="30">
        <v>0</v>
      </c>
      <c r="T54" s="30"/>
      <c r="U54" s="30">
        <v>0</v>
      </c>
      <c r="V54" s="31">
        <v>0</v>
      </c>
    </row>
    <row r="55" spans="1:22">
      <c r="A55" s="1" t="s">
        <v>76</v>
      </c>
      <c r="B55" s="29">
        <v>3452.2744541044531</v>
      </c>
      <c r="C55" s="30">
        <v>66250.261998316128</v>
      </c>
      <c r="D55" s="30">
        <v>106154.98761083357</v>
      </c>
      <c r="E55" s="30">
        <v>0</v>
      </c>
      <c r="F55" s="30">
        <v>0</v>
      </c>
      <c r="G55" s="31">
        <f>SUM(WV_FINANCIAL)</f>
        <v>175857.52406325415</v>
      </c>
      <c r="H55" s="30"/>
      <c r="I55" s="30"/>
      <c r="J55" s="30"/>
      <c r="K55" s="30"/>
      <c r="L55" s="29">
        <v>7080</v>
      </c>
      <c r="M55" s="30">
        <v>153687</v>
      </c>
      <c r="N55" s="30"/>
      <c r="O55" s="30">
        <v>6360</v>
      </c>
      <c r="P55" s="30">
        <v>261</v>
      </c>
      <c r="Q55" s="30"/>
      <c r="R55" s="30">
        <v>386560</v>
      </c>
      <c r="S55" s="30">
        <v>399081</v>
      </c>
      <c r="T55" s="30"/>
      <c r="U55" s="30">
        <v>0</v>
      </c>
      <c r="V55" s="31">
        <v>0</v>
      </c>
    </row>
    <row r="56" spans="1:22">
      <c r="A56" s="1" t="s">
        <v>77</v>
      </c>
      <c r="B56" s="29">
        <v>6913.6313860629798</v>
      </c>
      <c r="C56" s="30">
        <v>230197.19452403672</v>
      </c>
      <c r="D56" s="30">
        <v>49717.712259854874</v>
      </c>
      <c r="E56" s="30">
        <v>0</v>
      </c>
      <c r="F56" s="30">
        <v>0</v>
      </c>
      <c r="G56" s="31">
        <f>SUM(WI_FINANCIAL)</f>
        <v>286828.53816995455</v>
      </c>
      <c r="H56" s="30"/>
      <c r="I56" s="30"/>
      <c r="J56" s="30"/>
      <c r="K56" s="30"/>
      <c r="L56" s="29">
        <v>0</v>
      </c>
      <c r="M56" s="30">
        <v>0</v>
      </c>
      <c r="N56" s="30"/>
      <c r="O56" s="30">
        <v>300000</v>
      </c>
      <c r="P56" s="30">
        <v>0</v>
      </c>
      <c r="Q56" s="30"/>
      <c r="R56" s="30">
        <v>0</v>
      </c>
      <c r="S56" s="30">
        <v>0</v>
      </c>
      <c r="T56" s="30"/>
      <c r="U56" s="30">
        <v>0</v>
      </c>
      <c r="V56" s="31">
        <v>0</v>
      </c>
    </row>
    <row r="57" spans="1:22">
      <c r="A57" s="1" t="s">
        <v>78</v>
      </c>
      <c r="B57" s="29">
        <v>443.93981667945326</v>
      </c>
      <c r="C57" s="30">
        <v>29767.964464370907</v>
      </c>
      <c r="D57" s="30">
        <v>34152.723884497202</v>
      </c>
      <c r="E57" s="30">
        <v>0</v>
      </c>
      <c r="F57" s="30">
        <v>0</v>
      </c>
      <c r="G57" s="31">
        <f>SUM(WY_FINANCIAL)</f>
        <v>64364.628165547561</v>
      </c>
      <c r="H57" s="30"/>
      <c r="I57" s="30"/>
      <c r="J57" s="30"/>
      <c r="K57" s="30"/>
      <c r="L57" s="29">
        <v>0</v>
      </c>
      <c r="M57" s="30">
        <v>0</v>
      </c>
      <c r="N57" s="30"/>
      <c r="O57" s="30">
        <v>0</v>
      </c>
      <c r="P57" s="30">
        <v>0</v>
      </c>
      <c r="Q57" s="30"/>
      <c r="R57" s="30">
        <v>0</v>
      </c>
      <c r="S57" s="30">
        <v>0</v>
      </c>
      <c r="T57" s="30"/>
      <c r="U57" s="30">
        <v>0</v>
      </c>
      <c r="V57" s="31">
        <v>0</v>
      </c>
    </row>
    <row r="58" spans="1:22">
      <c r="A58" s="1" t="s">
        <v>79</v>
      </c>
      <c r="B58" s="29">
        <v>0</v>
      </c>
      <c r="C58" s="30">
        <v>0</v>
      </c>
      <c r="D58" s="30">
        <v>0</v>
      </c>
      <c r="E58" s="30">
        <v>0</v>
      </c>
      <c r="F58" s="30">
        <v>0</v>
      </c>
      <c r="G58" s="31">
        <f>SUM(OT_FINANCIAL)</f>
        <v>0</v>
      </c>
      <c r="H58" s="30"/>
      <c r="I58" s="30"/>
      <c r="J58" s="30"/>
      <c r="K58" s="30"/>
      <c r="L58" s="29"/>
      <c r="M58" s="30"/>
      <c r="N58" s="30"/>
      <c r="O58" s="30"/>
      <c r="P58" s="30"/>
      <c r="Q58" s="30"/>
      <c r="R58" s="30"/>
      <c r="S58" s="30"/>
      <c r="T58" s="30"/>
      <c r="U58" s="30"/>
      <c r="V58" s="31"/>
    </row>
    <row r="59" spans="1:22">
      <c r="B59" s="29"/>
      <c r="C59" s="30"/>
      <c r="D59" s="30"/>
      <c r="E59" s="30"/>
      <c r="F59" s="30"/>
      <c r="G59" s="31"/>
      <c r="H59" s="30"/>
      <c r="I59" s="30"/>
      <c r="J59" s="30"/>
      <c r="K59" s="30"/>
      <c r="L59" s="29"/>
      <c r="M59" s="30"/>
      <c r="N59" s="30"/>
      <c r="O59" s="30"/>
      <c r="P59" s="30"/>
      <c r="Q59" s="30"/>
      <c r="R59" s="30"/>
      <c r="S59" s="30"/>
      <c r="T59" s="30"/>
      <c r="U59" s="30"/>
      <c r="V59" s="31"/>
    </row>
    <row r="60" spans="1:22">
      <c r="A60" s="1" t="s">
        <v>8</v>
      </c>
      <c r="B60" s="29">
        <f>SUM(LIFE)</f>
        <v>1117757.2820758612</v>
      </c>
      <c r="C60" s="30">
        <f>SUM(ALLOCATED)</f>
        <v>8414958.5289221276</v>
      </c>
      <c r="D60" s="30">
        <f>SUM(HEALTH)</f>
        <v>5571815.9190020086</v>
      </c>
      <c r="E60" s="30">
        <f>SUM(UNALLOCATED)</f>
        <v>0</v>
      </c>
      <c r="F60" s="30">
        <f>SUM(LTC)</f>
        <v>0</v>
      </c>
      <c r="G60" s="31">
        <f>SUM(ALL_BLOCKS)</f>
        <v>15104531.730000004</v>
      </c>
      <c r="H60" s="30"/>
      <c r="I60" s="30"/>
      <c r="J60" s="30"/>
      <c r="K60" s="30"/>
      <c r="L60" s="29">
        <f>SUM(LIFE_CALLED)</f>
        <v>868884</v>
      </c>
      <c r="M60" s="30">
        <f>SUM(LIFE_REFUNDED)</f>
        <v>258055.07010800001</v>
      </c>
      <c r="N60" s="30"/>
      <c r="O60" s="30">
        <f>SUM(ALLOC_CALLED)</f>
        <v>5279053</v>
      </c>
      <c r="P60" s="30">
        <f>SUM(ALLOC_REFUNDED)</f>
        <v>275536.95542000001</v>
      </c>
      <c r="Q60" s="30"/>
      <c r="R60" s="30">
        <f>SUM(HEALTH_CALLED)</f>
        <v>12212190</v>
      </c>
      <c r="S60" s="30">
        <f>SUM(HEALTH_REFUNDED)</f>
        <v>3611951.2544720001</v>
      </c>
      <c r="T60" s="30"/>
      <c r="U60" s="30">
        <f>SUM(UNALLOC_CALLED)</f>
        <v>40</v>
      </c>
      <c r="V60" s="31">
        <f>SUM(UNALLOC_REFUNDED)</f>
        <v>4</v>
      </c>
    </row>
    <row r="61" spans="1:22" ht="5.0999999999999996" customHeight="1">
      <c r="B61" s="8"/>
      <c r="G61" s="11"/>
      <c r="L61" s="8"/>
      <c r="V61" s="11"/>
    </row>
    <row r="62" spans="1:22">
      <c r="B62" s="8"/>
      <c r="G62" s="11"/>
      <c r="L62" s="122" t="s">
        <v>80</v>
      </c>
      <c r="M62" s="123"/>
      <c r="N62" s="123"/>
      <c r="O62" s="123"/>
      <c r="P62" s="123"/>
      <c r="Q62" s="123"/>
      <c r="R62" s="123"/>
      <c r="S62" s="123"/>
      <c r="T62" s="123"/>
      <c r="U62" s="123"/>
      <c r="V62" s="124"/>
    </row>
    <row r="63" spans="1:22">
      <c r="B63" s="8"/>
      <c r="G63" s="11"/>
      <c r="L63" s="125"/>
      <c r="M63" s="123"/>
      <c r="N63" s="123"/>
      <c r="O63" s="123"/>
      <c r="P63" s="123"/>
      <c r="Q63" s="123"/>
      <c r="R63" s="123"/>
      <c r="S63" s="123"/>
      <c r="T63" s="123"/>
      <c r="U63" s="123"/>
      <c r="V63" s="124"/>
    </row>
    <row r="64" spans="1:22">
      <c r="B64" s="10"/>
      <c r="C64" s="7"/>
      <c r="D64" s="7"/>
      <c r="E64" s="7"/>
      <c r="F64" s="7"/>
      <c r="G64" s="13"/>
      <c r="L64" s="126"/>
      <c r="M64" s="127"/>
      <c r="N64" s="127"/>
      <c r="O64" s="127"/>
      <c r="P64" s="127"/>
      <c r="Q64" s="127"/>
      <c r="R64" s="127"/>
      <c r="S64" s="127"/>
      <c r="T64" s="127"/>
      <c r="U64" s="127"/>
      <c r="V64" s="128"/>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V64"/>
  <sheetViews>
    <sheetView zoomScale="75" workbookViewId="0">
      <selection sqref="A1:XFD1048576"/>
    </sheetView>
  </sheetViews>
  <sheetFormatPr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129" t="s">
        <v>104</v>
      </c>
      <c r="B1" s="123"/>
      <c r="C1" s="123"/>
      <c r="D1" s="123"/>
      <c r="E1" s="123"/>
      <c r="F1" s="123"/>
      <c r="G1" s="123"/>
    </row>
    <row r="3" spans="1:22">
      <c r="B3" s="130" t="s">
        <v>1</v>
      </c>
      <c r="C3" s="131"/>
      <c r="D3" s="131"/>
      <c r="E3" s="131"/>
      <c r="F3" s="131"/>
      <c r="G3" s="132"/>
      <c r="L3" s="133" t="s">
        <v>2</v>
      </c>
      <c r="M3" s="134"/>
      <c r="N3" s="134"/>
      <c r="O3" s="134"/>
      <c r="P3" s="134"/>
      <c r="Q3" s="134"/>
      <c r="R3" s="134"/>
      <c r="S3" s="134"/>
      <c r="T3" s="134"/>
      <c r="U3" s="134"/>
      <c r="V3" s="135"/>
    </row>
    <row r="4" spans="1:22">
      <c r="B4" s="8"/>
      <c r="G4" s="11"/>
      <c r="L4" s="136" t="s">
        <v>3</v>
      </c>
      <c r="M4" s="137"/>
      <c r="N4" s="4"/>
      <c r="O4" s="138" t="s">
        <v>4</v>
      </c>
      <c r="P4" s="137"/>
      <c r="Q4" s="4"/>
      <c r="R4" s="138" t="s">
        <v>5</v>
      </c>
      <c r="S4" s="137"/>
      <c r="T4" s="4"/>
      <c r="U4" s="138" t="s">
        <v>6</v>
      </c>
      <c r="V4" s="139"/>
    </row>
    <row r="5" spans="1:22" ht="60" customHeight="1">
      <c r="B5" s="9" t="s">
        <v>3</v>
      </c>
      <c r="C5" s="5" t="s">
        <v>4</v>
      </c>
      <c r="D5" s="5" t="s">
        <v>5</v>
      </c>
      <c r="E5" s="5" t="s">
        <v>6</v>
      </c>
      <c r="F5" s="5" t="s">
        <v>7</v>
      </c>
      <c r="G5" s="12" t="s">
        <v>8</v>
      </c>
      <c r="L5" s="15" t="s">
        <v>9</v>
      </c>
      <c r="M5" s="14" t="s">
        <v>10</v>
      </c>
      <c r="N5" s="14"/>
      <c r="O5" s="14" t="s">
        <v>9</v>
      </c>
      <c r="P5" s="14" t="s">
        <v>10</v>
      </c>
      <c r="Q5" s="14"/>
      <c r="R5" s="14" t="s">
        <v>9</v>
      </c>
      <c r="S5" s="14" t="s">
        <v>10</v>
      </c>
      <c r="T5" s="14"/>
      <c r="U5" s="14" t="s">
        <v>9</v>
      </c>
      <c r="V5" s="16" t="s">
        <v>10</v>
      </c>
    </row>
    <row r="6" spans="1:22">
      <c r="A6" s="1" t="s">
        <v>11</v>
      </c>
      <c r="B6" s="29">
        <v>0</v>
      </c>
      <c r="C6" s="30">
        <v>0</v>
      </c>
      <c r="D6" s="30">
        <v>0</v>
      </c>
      <c r="E6" s="30">
        <v>0</v>
      </c>
      <c r="F6" s="30">
        <v>0</v>
      </c>
      <c r="G6" s="31">
        <f>SUM(AL_FINANCIAL)</f>
        <v>0</v>
      </c>
      <c r="H6" s="30"/>
      <c r="I6" s="30"/>
      <c r="J6" s="30"/>
      <c r="K6" s="30"/>
      <c r="L6" s="29"/>
      <c r="M6" s="30"/>
      <c r="N6" s="30"/>
      <c r="O6" s="30"/>
      <c r="P6" s="30"/>
      <c r="Q6" s="30"/>
      <c r="R6" s="30"/>
      <c r="S6" s="30"/>
      <c r="T6" s="30"/>
      <c r="U6" s="30"/>
      <c r="V6" s="31"/>
    </row>
    <row r="7" spans="1:22">
      <c r="A7" s="1" t="s">
        <v>12</v>
      </c>
      <c r="B7" s="29">
        <v>0</v>
      </c>
      <c r="C7" s="30">
        <v>0</v>
      </c>
      <c r="D7" s="30">
        <v>0</v>
      </c>
      <c r="E7" s="30">
        <v>0</v>
      </c>
      <c r="F7" s="30">
        <v>0</v>
      </c>
      <c r="G7" s="31">
        <f>SUM(AK_FINANCIAL)</f>
        <v>0</v>
      </c>
      <c r="H7" s="30"/>
      <c r="I7" s="32"/>
      <c r="J7" s="33"/>
      <c r="K7" s="30"/>
      <c r="L7" s="29"/>
      <c r="M7" s="30"/>
      <c r="N7" s="30"/>
      <c r="O7" s="30"/>
      <c r="P7" s="30"/>
      <c r="Q7" s="30"/>
      <c r="R7" s="30"/>
      <c r="S7" s="30"/>
      <c r="T7" s="30"/>
      <c r="U7" s="30"/>
      <c r="V7" s="31"/>
    </row>
    <row r="8" spans="1:22">
      <c r="A8" s="1" t="s">
        <v>13</v>
      </c>
      <c r="B8" s="29">
        <v>0</v>
      </c>
      <c r="C8" s="30">
        <v>0</v>
      </c>
      <c r="D8" s="30">
        <v>0</v>
      </c>
      <c r="E8" s="30">
        <v>0</v>
      </c>
      <c r="F8" s="30">
        <v>0</v>
      </c>
      <c r="G8" s="31">
        <f>SUM(AZ_FINANCIAL)</f>
        <v>0</v>
      </c>
      <c r="H8" s="30"/>
      <c r="I8" s="34" t="s">
        <v>14</v>
      </c>
      <c r="J8" s="35"/>
      <c r="K8" s="30"/>
      <c r="L8" s="29"/>
      <c r="M8" s="30"/>
      <c r="N8" s="30"/>
      <c r="O8" s="30"/>
      <c r="P8" s="30"/>
      <c r="Q8" s="30"/>
      <c r="R8" s="30"/>
      <c r="S8" s="30"/>
      <c r="T8" s="30"/>
      <c r="U8" s="30"/>
      <c r="V8" s="31"/>
    </row>
    <row r="9" spans="1:22">
      <c r="A9" s="1" t="s">
        <v>15</v>
      </c>
      <c r="B9" s="29">
        <v>0</v>
      </c>
      <c r="C9" s="30">
        <v>0</v>
      </c>
      <c r="D9" s="30">
        <v>0</v>
      </c>
      <c r="E9" s="30">
        <v>0</v>
      </c>
      <c r="F9" s="30">
        <v>0</v>
      </c>
      <c r="G9" s="31">
        <f>SUM(AR_FINANCIAL)</f>
        <v>0</v>
      </c>
      <c r="H9" s="30"/>
      <c r="I9" s="34"/>
      <c r="J9" s="35"/>
      <c r="K9" s="30"/>
      <c r="L9" s="29"/>
      <c r="M9" s="30"/>
      <c r="N9" s="30"/>
      <c r="O9" s="30"/>
      <c r="P9" s="30"/>
      <c r="Q9" s="30"/>
      <c r="R9" s="30"/>
      <c r="S9" s="30"/>
      <c r="T9" s="30"/>
      <c r="U9" s="30"/>
      <c r="V9" s="31"/>
    </row>
    <row r="10" spans="1:22">
      <c r="A10" s="1" t="s">
        <v>16</v>
      </c>
      <c r="B10" s="29">
        <v>0</v>
      </c>
      <c r="C10" s="30">
        <v>0</v>
      </c>
      <c r="D10" s="30">
        <v>0</v>
      </c>
      <c r="E10" s="30">
        <v>0</v>
      </c>
      <c r="F10" s="30">
        <v>0</v>
      </c>
      <c r="G10" s="31">
        <f>SUM(CA_FINANCIAL)</f>
        <v>0</v>
      </c>
      <c r="H10" s="30"/>
      <c r="I10" s="34" t="s">
        <v>17</v>
      </c>
      <c r="J10" s="35">
        <v>115154750.06999999</v>
      </c>
      <c r="K10" s="30"/>
      <c r="L10" s="29"/>
      <c r="M10" s="30"/>
      <c r="N10" s="30"/>
      <c r="O10" s="30"/>
      <c r="P10" s="30"/>
      <c r="Q10" s="30"/>
      <c r="R10" s="30"/>
      <c r="S10" s="30"/>
      <c r="T10" s="30"/>
      <c r="U10" s="30"/>
      <c r="V10" s="31"/>
    </row>
    <row r="11" spans="1:22">
      <c r="A11" s="1" t="s">
        <v>18</v>
      </c>
      <c r="B11" s="29">
        <v>0</v>
      </c>
      <c r="C11" s="30">
        <v>0</v>
      </c>
      <c r="D11" s="30">
        <v>0</v>
      </c>
      <c r="E11" s="30">
        <v>0</v>
      </c>
      <c r="F11" s="30">
        <v>0</v>
      </c>
      <c r="G11" s="31">
        <f>SUM(CO_FINANCIAL)</f>
        <v>0</v>
      </c>
      <c r="H11" s="30"/>
      <c r="I11" s="34"/>
      <c r="J11" s="35"/>
      <c r="K11" s="30"/>
      <c r="L11" s="29"/>
      <c r="M11" s="30"/>
      <c r="N11" s="30"/>
      <c r="O11" s="30"/>
      <c r="P11" s="30"/>
      <c r="Q11" s="30"/>
      <c r="R11" s="30"/>
      <c r="S11" s="30"/>
      <c r="T11" s="30"/>
      <c r="U11" s="30"/>
      <c r="V11" s="31"/>
    </row>
    <row r="12" spans="1:22">
      <c r="A12" s="1" t="s">
        <v>19</v>
      </c>
      <c r="B12" s="29">
        <v>0</v>
      </c>
      <c r="C12" s="30">
        <v>0</v>
      </c>
      <c r="D12" s="30">
        <v>0</v>
      </c>
      <c r="E12" s="30">
        <v>0</v>
      </c>
      <c r="F12" s="30">
        <v>0</v>
      </c>
      <c r="G12" s="31">
        <f>SUM(CT_FINANCIAL)</f>
        <v>0</v>
      </c>
      <c r="H12" s="30"/>
      <c r="I12" s="34" t="s">
        <v>20</v>
      </c>
      <c r="J12" s="35"/>
      <c r="K12" s="30"/>
      <c r="L12" s="29"/>
      <c r="M12" s="30"/>
      <c r="N12" s="30"/>
      <c r="O12" s="30"/>
      <c r="P12" s="30"/>
      <c r="Q12" s="30"/>
      <c r="R12" s="30"/>
      <c r="S12" s="30"/>
      <c r="T12" s="30"/>
      <c r="U12" s="30"/>
      <c r="V12" s="31"/>
    </row>
    <row r="13" spans="1:22">
      <c r="A13" s="1" t="s">
        <v>21</v>
      </c>
      <c r="B13" s="29">
        <v>0</v>
      </c>
      <c r="C13" s="30">
        <v>0</v>
      </c>
      <c r="D13" s="30">
        <v>0</v>
      </c>
      <c r="E13" s="30">
        <v>0</v>
      </c>
      <c r="F13" s="30">
        <v>0</v>
      </c>
      <c r="G13" s="31">
        <f>SUM(DE_FINANCIAL)</f>
        <v>0</v>
      </c>
      <c r="H13" s="30"/>
      <c r="I13" s="34" t="s">
        <v>22</v>
      </c>
      <c r="J13" s="35">
        <v>115154750.06999999</v>
      </c>
      <c r="K13" s="30"/>
      <c r="L13" s="29"/>
      <c r="M13" s="30"/>
      <c r="N13" s="30"/>
      <c r="O13" s="30"/>
      <c r="P13" s="30"/>
      <c r="Q13" s="30"/>
      <c r="R13" s="30"/>
      <c r="S13" s="30"/>
      <c r="T13" s="30"/>
      <c r="U13" s="30"/>
      <c r="V13" s="31"/>
    </row>
    <row r="14" spans="1:22">
      <c r="A14" s="1" t="s">
        <v>23</v>
      </c>
      <c r="B14" s="29">
        <v>0</v>
      </c>
      <c r="C14" s="30">
        <v>0</v>
      </c>
      <c r="D14" s="30">
        <v>0</v>
      </c>
      <c r="E14" s="30">
        <v>0</v>
      </c>
      <c r="F14" s="30">
        <v>0</v>
      </c>
      <c r="G14" s="31">
        <f>SUM(DC_FINANCIAL)</f>
        <v>0</v>
      </c>
      <c r="H14" s="30"/>
      <c r="I14" s="34" t="s">
        <v>24</v>
      </c>
      <c r="J14" s="35">
        <v>9299050.1499999985</v>
      </c>
      <c r="K14" s="30"/>
      <c r="L14" s="29"/>
      <c r="M14" s="30"/>
      <c r="N14" s="30"/>
      <c r="O14" s="30"/>
      <c r="P14" s="30"/>
      <c r="Q14" s="30"/>
      <c r="R14" s="30"/>
      <c r="S14" s="30"/>
      <c r="T14" s="30"/>
      <c r="U14" s="30"/>
      <c r="V14" s="31"/>
    </row>
    <row r="15" spans="1:22">
      <c r="A15" s="1" t="s">
        <v>25</v>
      </c>
      <c r="B15" s="29">
        <v>0</v>
      </c>
      <c r="C15" s="30">
        <v>0</v>
      </c>
      <c r="D15" s="30">
        <v>0</v>
      </c>
      <c r="E15" s="30">
        <v>0</v>
      </c>
      <c r="F15" s="30">
        <v>0</v>
      </c>
      <c r="G15" s="31">
        <f>SUM(FL_FINANCIAL)</f>
        <v>0</v>
      </c>
      <c r="H15" s="30"/>
      <c r="I15" s="34" t="s">
        <v>26</v>
      </c>
      <c r="J15" s="35">
        <v>2325275.3723498937</v>
      </c>
      <c r="K15" s="30"/>
      <c r="L15" s="29"/>
      <c r="M15" s="30"/>
      <c r="N15" s="30"/>
      <c r="O15" s="30"/>
      <c r="P15" s="30"/>
      <c r="Q15" s="30"/>
      <c r="R15" s="30"/>
      <c r="S15" s="30"/>
      <c r="T15" s="30"/>
      <c r="U15" s="30"/>
      <c r="V15" s="31"/>
    </row>
    <row r="16" spans="1:22">
      <c r="A16" s="1" t="s">
        <v>27</v>
      </c>
      <c r="B16" s="29">
        <v>0</v>
      </c>
      <c r="C16" s="30">
        <v>0</v>
      </c>
      <c r="D16" s="30">
        <v>0</v>
      </c>
      <c r="E16" s="30">
        <v>0</v>
      </c>
      <c r="F16" s="30">
        <v>0</v>
      </c>
      <c r="G16" s="31">
        <f>SUM(GA_FINANCIAL)</f>
        <v>0</v>
      </c>
      <c r="H16" s="30"/>
      <c r="I16" s="34" t="s">
        <v>28</v>
      </c>
      <c r="J16" s="35">
        <v>0</v>
      </c>
      <c r="K16" s="30"/>
      <c r="L16" s="29"/>
      <c r="M16" s="30"/>
      <c r="N16" s="30"/>
      <c r="O16" s="30"/>
      <c r="P16" s="30"/>
      <c r="Q16" s="30"/>
      <c r="R16" s="30"/>
      <c r="S16" s="30"/>
      <c r="T16" s="30"/>
      <c r="U16" s="30"/>
      <c r="V16" s="31"/>
    </row>
    <row r="17" spans="1:22">
      <c r="A17" s="1" t="s">
        <v>29</v>
      </c>
      <c r="B17" s="29">
        <v>0</v>
      </c>
      <c r="C17" s="30">
        <v>0</v>
      </c>
      <c r="D17" s="30">
        <v>0</v>
      </c>
      <c r="E17" s="30">
        <v>0</v>
      </c>
      <c r="F17" s="30">
        <v>0</v>
      </c>
      <c r="G17" s="31">
        <f>SUM(HI_FINANCIAL)</f>
        <v>0</v>
      </c>
      <c r="H17" s="30"/>
      <c r="I17" s="34"/>
      <c r="J17" s="35"/>
      <c r="K17" s="30"/>
      <c r="L17" s="29"/>
      <c r="M17" s="30"/>
      <c r="N17" s="30"/>
      <c r="O17" s="30"/>
      <c r="P17" s="30"/>
      <c r="Q17" s="30"/>
      <c r="R17" s="30"/>
      <c r="S17" s="30"/>
      <c r="T17" s="30"/>
      <c r="U17" s="30"/>
      <c r="V17" s="31"/>
    </row>
    <row r="18" spans="1:22">
      <c r="A18" s="1" t="s">
        <v>30</v>
      </c>
      <c r="B18" s="29">
        <v>0</v>
      </c>
      <c r="C18" s="30">
        <v>0</v>
      </c>
      <c r="D18" s="30">
        <v>0</v>
      </c>
      <c r="E18" s="30">
        <v>0</v>
      </c>
      <c r="F18" s="30">
        <v>0</v>
      </c>
      <c r="G18" s="31">
        <f>SUM(ID_FINANCIAL)</f>
        <v>0</v>
      </c>
      <c r="H18" s="30"/>
      <c r="I18" s="34" t="s">
        <v>31</v>
      </c>
      <c r="J18" s="35"/>
      <c r="K18" s="30"/>
      <c r="L18" s="29"/>
      <c r="M18" s="30"/>
      <c r="N18" s="30"/>
      <c r="O18" s="30"/>
      <c r="P18" s="30"/>
      <c r="Q18" s="30"/>
      <c r="R18" s="30"/>
      <c r="S18" s="30"/>
      <c r="T18" s="30"/>
      <c r="U18" s="30"/>
      <c r="V18" s="31"/>
    </row>
    <row r="19" spans="1:22">
      <c r="A19" s="1" t="s">
        <v>32</v>
      </c>
      <c r="B19" s="29">
        <v>0</v>
      </c>
      <c r="C19" s="30">
        <v>0</v>
      </c>
      <c r="D19" s="30">
        <v>0</v>
      </c>
      <c r="E19" s="30">
        <v>0</v>
      </c>
      <c r="F19" s="30">
        <v>0</v>
      </c>
      <c r="G19" s="31">
        <f>SUM(IL_FINANCIAL)</f>
        <v>0</v>
      </c>
      <c r="H19" s="30"/>
      <c r="I19" s="34" t="s">
        <v>33</v>
      </c>
      <c r="J19" s="35">
        <v>0</v>
      </c>
      <c r="K19" s="30"/>
      <c r="L19" s="29"/>
      <c r="M19" s="30"/>
      <c r="N19" s="30"/>
      <c r="O19" s="30"/>
      <c r="P19" s="30"/>
      <c r="Q19" s="30"/>
      <c r="R19" s="30"/>
      <c r="S19" s="30"/>
      <c r="T19" s="30"/>
      <c r="U19" s="30"/>
      <c r="V19" s="31"/>
    </row>
    <row r="20" spans="1:22">
      <c r="A20" s="1" t="s">
        <v>34</v>
      </c>
      <c r="B20" s="29">
        <v>0</v>
      </c>
      <c r="C20" s="30">
        <v>0</v>
      </c>
      <c r="D20" s="30">
        <v>0</v>
      </c>
      <c r="E20" s="30">
        <v>0</v>
      </c>
      <c r="F20" s="30">
        <v>0</v>
      </c>
      <c r="G20" s="31">
        <f>SUM(IN_FINANCIAL)</f>
        <v>0</v>
      </c>
      <c r="H20" s="30"/>
      <c r="I20" s="34" t="s">
        <v>35</v>
      </c>
      <c r="J20" s="35">
        <v>115154750.06999999</v>
      </c>
      <c r="K20" s="30"/>
      <c r="L20" s="29"/>
      <c r="M20" s="30"/>
      <c r="N20" s="30"/>
      <c r="O20" s="30"/>
      <c r="P20" s="30"/>
      <c r="Q20" s="30"/>
      <c r="R20" s="30"/>
      <c r="S20" s="30"/>
      <c r="T20" s="30"/>
      <c r="U20" s="30"/>
      <c r="V20" s="31"/>
    </row>
    <row r="21" spans="1:22">
      <c r="A21" s="1" t="s">
        <v>36</v>
      </c>
      <c r="B21" s="29">
        <v>0</v>
      </c>
      <c r="C21" s="30">
        <v>0</v>
      </c>
      <c r="D21" s="30">
        <v>9920395.62805764</v>
      </c>
      <c r="E21" s="30">
        <v>0</v>
      </c>
      <c r="F21" s="30">
        <v>0</v>
      </c>
      <c r="G21" s="31">
        <f>SUM(IA_FINANCIAL)</f>
        <v>9920395.62805764</v>
      </c>
      <c r="H21" s="30"/>
      <c r="I21" s="34" t="s">
        <v>37</v>
      </c>
      <c r="J21" s="35"/>
      <c r="K21" s="30"/>
      <c r="L21" s="29">
        <v>0</v>
      </c>
      <c r="M21" s="30">
        <v>0</v>
      </c>
      <c r="N21" s="30"/>
      <c r="O21" s="30">
        <v>0</v>
      </c>
      <c r="P21" s="30">
        <v>0</v>
      </c>
      <c r="Q21" s="30"/>
      <c r="R21" s="30">
        <v>45000000</v>
      </c>
      <c r="S21" s="30">
        <v>0</v>
      </c>
      <c r="T21" s="30"/>
      <c r="U21" s="30">
        <v>0</v>
      </c>
      <c r="V21" s="31">
        <v>0</v>
      </c>
    </row>
    <row r="22" spans="1:22">
      <c r="A22" s="1" t="s">
        <v>38</v>
      </c>
      <c r="B22" s="29">
        <v>0</v>
      </c>
      <c r="C22" s="30">
        <v>0</v>
      </c>
      <c r="D22" s="30">
        <v>0</v>
      </c>
      <c r="E22" s="30">
        <v>0</v>
      </c>
      <c r="F22" s="30">
        <v>0</v>
      </c>
      <c r="G22" s="31">
        <f>SUM(KS_FINANCIAL)</f>
        <v>0</v>
      </c>
      <c r="H22" s="30"/>
      <c r="I22" s="34" t="s">
        <v>39</v>
      </c>
      <c r="J22" s="35">
        <v>0</v>
      </c>
      <c r="K22" s="30"/>
      <c r="L22" s="29"/>
      <c r="M22" s="30"/>
      <c r="N22" s="30"/>
      <c r="O22" s="30"/>
      <c r="P22" s="30"/>
      <c r="Q22" s="30"/>
      <c r="R22" s="30"/>
      <c r="S22" s="30"/>
      <c r="T22" s="30"/>
      <c r="U22" s="30"/>
      <c r="V22" s="31"/>
    </row>
    <row r="23" spans="1:22">
      <c r="A23" s="1" t="s">
        <v>40</v>
      </c>
      <c r="B23" s="29">
        <v>0</v>
      </c>
      <c r="C23" s="30">
        <v>0</v>
      </c>
      <c r="D23" s="30">
        <v>0</v>
      </c>
      <c r="E23" s="30">
        <v>0</v>
      </c>
      <c r="F23" s="30">
        <v>0</v>
      </c>
      <c r="G23" s="31">
        <f>SUM(KY_FINANCIAL)</f>
        <v>0</v>
      </c>
      <c r="H23" s="30"/>
      <c r="I23" s="34" t="s">
        <v>41</v>
      </c>
      <c r="J23" s="35"/>
      <c r="K23" s="30"/>
      <c r="L23" s="29"/>
      <c r="M23" s="30"/>
      <c r="N23" s="30"/>
      <c r="O23" s="30"/>
      <c r="P23" s="30"/>
      <c r="Q23" s="30"/>
      <c r="R23" s="30"/>
      <c r="S23" s="30"/>
      <c r="T23" s="30"/>
      <c r="U23" s="30"/>
      <c r="V23" s="31"/>
    </row>
    <row r="24" spans="1:22">
      <c r="A24" s="1" t="s">
        <v>42</v>
      </c>
      <c r="B24" s="29">
        <v>0</v>
      </c>
      <c r="C24" s="30">
        <v>0</v>
      </c>
      <c r="D24" s="30">
        <v>0</v>
      </c>
      <c r="E24" s="30">
        <v>0</v>
      </c>
      <c r="F24" s="30">
        <v>0</v>
      </c>
      <c r="G24" s="31">
        <f>SUM(LA_FINANCIAL)</f>
        <v>0</v>
      </c>
      <c r="H24" s="30"/>
      <c r="I24" s="34" t="s">
        <v>43</v>
      </c>
      <c r="J24" s="35">
        <v>97759205.260000005</v>
      </c>
      <c r="K24" s="30"/>
      <c r="L24" s="29"/>
      <c r="M24" s="30"/>
      <c r="N24" s="30"/>
      <c r="O24" s="30"/>
      <c r="P24" s="30"/>
      <c r="Q24" s="30"/>
      <c r="R24" s="30"/>
      <c r="S24" s="30"/>
      <c r="T24" s="30"/>
      <c r="U24" s="30"/>
      <c r="V24" s="31"/>
    </row>
    <row r="25" spans="1:22">
      <c r="A25" s="1" t="s">
        <v>44</v>
      </c>
      <c r="B25" s="29">
        <v>0</v>
      </c>
      <c r="C25" s="30">
        <v>0</v>
      </c>
      <c r="D25" s="30">
        <v>0</v>
      </c>
      <c r="E25" s="30">
        <v>0</v>
      </c>
      <c r="F25" s="30">
        <v>0</v>
      </c>
      <c r="G25" s="31">
        <f>SUM(ME_FINANCIAL)</f>
        <v>0</v>
      </c>
      <c r="H25" s="30"/>
      <c r="I25" s="34"/>
      <c r="J25" s="35"/>
      <c r="K25" s="30"/>
      <c r="L25" s="29"/>
      <c r="M25" s="30"/>
      <c r="N25" s="30"/>
      <c r="O25" s="30"/>
      <c r="P25" s="30"/>
      <c r="Q25" s="30"/>
      <c r="R25" s="30"/>
      <c r="S25" s="30"/>
      <c r="T25" s="30"/>
      <c r="U25" s="30"/>
      <c r="V25" s="31"/>
    </row>
    <row r="26" spans="1:22">
      <c r="A26" s="1" t="s">
        <v>45</v>
      </c>
      <c r="B26" s="29">
        <v>0</v>
      </c>
      <c r="C26" s="30">
        <v>0</v>
      </c>
      <c r="D26" s="30">
        <v>0</v>
      </c>
      <c r="E26" s="30">
        <v>0</v>
      </c>
      <c r="F26" s="30">
        <v>0</v>
      </c>
      <c r="G26" s="31">
        <f>SUM(MD_FINANCIAL)</f>
        <v>0</v>
      </c>
      <c r="H26" s="30"/>
      <c r="I26" s="34" t="s">
        <v>46</v>
      </c>
      <c r="J26" s="35">
        <f>SUM(ADD_FINANCIAL)-SUM(LESS_FINANCIAL)</f>
        <v>29019870.332349896</v>
      </c>
      <c r="K26" s="30"/>
      <c r="L26" s="29"/>
      <c r="M26" s="30"/>
      <c r="N26" s="30"/>
      <c r="O26" s="30"/>
      <c r="P26" s="30"/>
      <c r="Q26" s="30"/>
      <c r="R26" s="30"/>
      <c r="S26" s="30"/>
      <c r="T26" s="30"/>
      <c r="U26" s="30"/>
      <c r="V26" s="31"/>
    </row>
    <row r="27" spans="1:22">
      <c r="A27" s="1" t="s">
        <v>47</v>
      </c>
      <c r="B27" s="29">
        <v>0</v>
      </c>
      <c r="C27" s="30">
        <v>0</v>
      </c>
      <c r="D27" s="30">
        <v>0</v>
      </c>
      <c r="E27" s="30">
        <v>0</v>
      </c>
      <c r="F27" s="30">
        <v>0</v>
      </c>
      <c r="G27" s="31">
        <f>SUM(MA_FINANCIAL)</f>
        <v>0</v>
      </c>
      <c r="H27" s="30"/>
      <c r="I27" s="34" t="s">
        <v>48</v>
      </c>
      <c r="J27" s="35">
        <f>SUM(ALL_BLOCKS)</f>
        <v>29019870.332349885</v>
      </c>
      <c r="K27" s="30"/>
      <c r="L27" s="29"/>
      <c r="M27" s="30"/>
      <c r="N27" s="30"/>
      <c r="O27" s="30"/>
      <c r="P27" s="30"/>
      <c r="Q27" s="30"/>
      <c r="R27" s="30"/>
      <c r="S27" s="30"/>
      <c r="T27" s="30"/>
      <c r="U27" s="30"/>
      <c r="V27" s="31"/>
    </row>
    <row r="28" spans="1:22">
      <c r="A28" s="1" t="s">
        <v>49</v>
      </c>
      <c r="B28" s="29">
        <v>0</v>
      </c>
      <c r="C28" s="30">
        <v>0</v>
      </c>
      <c r="D28" s="30">
        <v>0</v>
      </c>
      <c r="E28" s="30">
        <v>0</v>
      </c>
      <c r="F28" s="30">
        <v>0</v>
      </c>
      <c r="G28" s="31">
        <f>SUM(MI_FINANCIAL)</f>
        <v>0</v>
      </c>
      <c r="H28" s="30"/>
      <c r="I28" s="36"/>
      <c r="J28" s="37"/>
      <c r="K28" s="30"/>
      <c r="L28" s="29"/>
      <c r="M28" s="30"/>
      <c r="N28" s="30"/>
      <c r="O28" s="30"/>
      <c r="P28" s="30"/>
      <c r="Q28" s="30"/>
      <c r="R28" s="30"/>
      <c r="S28" s="30"/>
      <c r="T28" s="30"/>
      <c r="U28" s="30"/>
      <c r="V28" s="31"/>
    </row>
    <row r="29" spans="1:22">
      <c r="A29" s="1" t="s">
        <v>50</v>
      </c>
      <c r="B29" s="29">
        <v>0</v>
      </c>
      <c r="C29" s="30">
        <v>0</v>
      </c>
      <c r="D29" s="30">
        <v>0</v>
      </c>
      <c r="E29" s="30">
        <v>0</v>
      </c>
      <c r="F29" s="30">
        <v>0</v>
      </c>
      <c r="G29" s="31">
        <f>SUM(MN_FINANCIAL)</f>
        <v>0</v>
      </c>
      <c r="H29" s="30"/>
      <c r="I29" s="30"/>
      <c r="J29" s="30"/>
      <c r="K29" s="30"/>
      <c r="L29" s="29"/>
      <c r="M29" s="30"/>
      <c r="N29" s="30"/>
      <c r="O29" s="30"/>
      <c r="P29" s="30"/>
      <c r="Q29" s="30"/>
      <c r="R29" s="30"/>
      <c r="S29" s="30"/>
      <c r="T29" s="30"/>
      <c r="U29" s="30"/>
      <c r="V29" s="31"/>
    </row>
    <row r="30" spans="1:22">
      <c r="A30" s="1" t="s">
        <v>51</v>
      </c>
      <c r="B30" s="29">
        <v>0</v>
      </c>
      <c r="C30" s="30">
        <v>0</v>
      </c>
      <c r="D30" s="30">
        <v>0</v>
      </c>
      <c r="E30" s="30">
        <v>0</v>
      </c>
      <c r="F30" s="30">
        <v>0</v>
      </c>
      <c r="G30" s="31">
        <f>SUM(MS_FINANCIAL)</f>
        <v>0</v>
      </c>
      <c r="H30" s="30"/>
      <c r="I30" s="30"/>
      <c r="J30" s="30"/>
      <c r="K30" s="30"/>
      <c r="L30" s="29"/>
      <c r="M30" s="30"/>
      <c r="N30" s="30"/>
      <c r="O30" s="30"/>
      <c r="P30" s="30"/>
      <c r="Q30" s="30"/>
      <c r="R30" s="30"/>
      <c r="S30" s="30"/>
      <c r="T30" s="30"/>
      <c r="U30" s="30"/>
      <c r="V30" s="31"/>
    </row>
    <row r="31" spans="1:22">
      <c r="A31" s="1" t="s">
        <v>52</v>
      </c>
      <c r="B31" s="29">
        <v>0</v>
      </c>
      <c r="C31" s="30">
        <v>0</v>
      </c>
      <c r="D31" s="30">
        <v>0</v>
      </c>
      <c r="E31" s="30">
        <v>0</v>
      </c>
      <c r="F31" s="30">
        <v>0</v>
      </c>
      <c r="G31" s="31">
        <f>SUM(MO_FINANCIAL)</f>
        <v>0</v>
      </c>
      <c r="H31" s="30"/>
      <c r="I31" s="30"/>
      <c r="J31" s="30"/>
      <c r="K31" s="30"/>
      <c r="L31" s="29"/>
      <c r="M31" s="30"/>
      <c r="N31" s="30"/>
      <c r="O31" s="30"/>
      <c r="P31" s="30"/>
      <c r="Q31" s="30"/>
      <c r="R31" s="30"/>
      <c r="S31" s="30"/>
      <c r="T31" s="30"/>
      <c r="U31" s="30"/>
      <c r="V31" s="31"/>
    </row>
    <row r="32" spans="1:22">
      <c r="A32" s="1" t="s">
        <v>53</v>
      </c>
      <c r="B32" s="29">
        <v>0</v>
      </c>
      <c r="C32" s="30">
        <v>0</v>
      </c>
      <c r="D32" s="30">
        <v>0</v>
      </c>
      <c r="E32" s="30">
        <v>0</v>
      </c>
      <c r="F32" s="30">
        <v>0</v>
      </c>
      <c r="G32" s="31">
        <f>SUM(MT_FINANCIAL)</f>
        <v>0</v>
      </c>
      <c r="H32" s="30"/>
      <c r="I32" s="30"/>
      <c r="J32" s="30"/>
      <c r="K32" s="30"/>
      <c r="L32" s="29"/>
      <c r="M32" s="30"/>
      <c r="N32" s="30"/>
      <c r="O32" s="30"/>
      <c r="P32" s="30"/>
      <c r="Q32" s="30"/>
      <c r="R32" s="30"/>
      <c r="S32" s="30"/>
      <c r="T32" s="30"/>
      <c r="U32" s="30"/>
      <c r="V32" s="31"/>
    </row>
    <row r="33" spans="1:22">
      <c r="A33" s="1" t="s">
        <v>54</v>
      </c>
      <c r="B33" s="29">
        <v>0</v>
      </c>
      <c r="C33" s="30">
        <v>0</v>
      </c>
      <c r="D33" s="30">
        <v>19099474.704292245</v>
      </c>
      <c r="E33" s="30">
        <v>0</v>
      </c>
      <c r="F33" s="30">
        <v>0</v>
      </c>
      <c r="G33" s="31">
        <f>SUM(NE_FINANCIAL)</f>
        <v>19099474.704292245</v>
      </c>
      <c r="H33" s="30"/>
      <c r="I33" s="30"/>
      <c r="J33" s="30"/>
      <c r="K33" s="30"/>
      <c r="L33" s="29">
        <v>0</v>
      </c>
      <c r="M33" s="30">
        <v>0</v>
      </c>
      <c r="N33" s="30"/>
      <c r="O33" s="30">
        <v>0</v>
      </c>
      <c r="P33" s="30">
        <v>0</v>
      </c>
      <c r="Q33" s="30"/>
      <c r="R33" s="30">
        <v>46800000</v>
      </c>
      <c r="S33" s="30">
        <v>0</v>
      </c>
      <c r="T33" s="30"/>
      <c r="U33" s="30">
        <v>0</v>
      </c>
      <c r="V33" s="31">
        <v>0</v>
      </c>
    </row>
    <row r="34" spans="1:22">
      <c r="A34" s="1" t="s">
        <v>55</v>
      </c>
      <c r="B34" s="29">
        <v>0</v>
      </c>
      <c r="C34" s="30">
        <v>0</v>
      </c>
      <c r="D34" s="30">
        <v>0</v>
      </c>
      <c r="E34" s="30">
        <v>0</v>
      </c>
      <c r="F34" s="30">
        <v>0</v>
      </c>
      <c r="G34" s="31">
        <f>SUM(NV_FINANCIAL)</f>
        <v>0</v>
      </c>
      <c r="H34" s="30"/>
      <c r="I34" s="30"/>
      <c r="J34" s="30"/>
      <c r="K34" s="30"/>
      <c r="L34" s="29"/>
      <c r="M34" s="30"/>
      <c r="N34" s="30"/>
      <c r="O34" s="30"/>
      <c r="P34" s="30"/>
      <c r="Q34" s="30"/>
      <c r="R34" s="30"/>
      <c r="S34" s="30"/>
      <c r="T34" s="30"/>
      <c r="U34" s="30"/>
      <c r="V34" s="31"/>
    </row>
    <row r="35" spans="1:22">
      <c r="A35" s="1" t="s">
        <v>56</v>
      </c>
      <c r="B35" s="29">
        <v>0</v>
      </c>
      <c r="C35" s="30">
        <v>0</v>
      </c>
      <c r="D35" s="30">
        <v>0</v>
      </c>
      <c r="E35" s="30">
        <v>0</v>
      </c>
      <c r="F35" s="30">
        <v>0</v>
      </c>
      <c r="G35" s="31">
        <f>SUM(NH_FINANCIAL)</f>
        <v>0</v>
      </c>
      <c r="H35" s="30"/>
      <c r="I35" s="30"/>
      <c r="J35" s="30"/>
      <c r="K35" s="30"/>
      <c r="L35" s="29"/>
      <c r="M35" s="30"/>
      <c r="N35" s="30"/>
      <c r="O35" s="30"/>
      <c r="P35" s="30"/>
      <c r="Q35" s="30"/>
      <c r="R35" s="30"/>
      <c r="S35" s="30"/>
      <c r="T35" s="30"/>
      <c r="U35" s="30"/>
      <c r="V35" s="31"/>
    </row>
    <row r="36" spans="1:22">
      <c r="A36" s="1" t="s">
        <v>57</v>
      </c>
      <c r="B36" s="29">
        <v>0</v>
      </c>
      <c r="C36" s="30">
        <v>0</v>
      </c>
      <c r="D36" s="30">
        <v>0</v>
      </c>
      <c r="E36" s="30">
        <v>0</v>
      </c>
      <c r="F36" s="30">
        <v>0</v>
      </c>
      <c r="G36" s="31">
        <f>SUM(NJ_FINANCIAL)</f>
        <v>0</v>
      </c>
      <c r="H36" s="30"/>
      <c r="I36" s="30"/>
      <c r="J36" s="30"/>
      <c r="K36" s="30"/>
      <c r="L36" s="29"/>
      <c r="M36" s="30"/>
      <c r="N36" s="30"/>
      <c r="O36" s="30"/>
      <c r="P36" s="30"/>
      <c r="Q36" s="30"/>
      <c r="R36" s="30"/>
      <c r="S36" s="30"/>
      <c r="T36" s="30"/>
      <c r="U36" s="30"/>
      <c r="V36" s="31"/>
    </row>
    <row r="37" spans="1:22">
      <c r="A37" s="1" t="s">
        <v>58</v>
      </c>
      <c r="B37" s="29">
        <v>0</v>
      </c>
      <c r="C37" s="30">
        <v>0</v>
      </c>
      <c r="D37" s="30">
        <v>0</v>
      </c>
      <c r="E37" s="30">
        <v>0</v>
      </c>
      <c r="F37" s="30">
        <v>0</v>
      </c>
      <c r="G37" s="31">
        <f>SUM(NM_FINANCIAL)</f>
        <v>0</v>
      </c>
      <c r="H37" s="30"/>
      <c r="I37" s="30"/>
      <c r="J37" s="30"/>
      <c r="K37" s="30"/>
      <c r="L37" s="29"/>
      <c r="M37" s="30"/>
      <c r="N37" s="30"/>
      <c r="O37" s="30"/>
      <c r="P37" s="30"/>
      <c r="Q37" s="30"/>
      <c r="R37" s="30"/>
      <c r="S37" s="30"/>
      <c r="T37" s="30"/>
      <c r="U37" s="30"/>
      <c r="V37" s="31"/>
    </row>
    <row r="38" spans="1:22">
      <c r="A38" s="1" t="s">
        <v>59</v>
      </c>
      <c r="B38" s="29">
        <v>0</v>
      </c>
      <c r="C38" s="30">
        <v>0</v>
      </c>
      <c r="D38" s="30">
        <v>0</v>
      </c>
      <c r="E38" s="30">
        <v>0</v>
      </c>
      <c r="F38" s="30">
        <v>0</v>
      </c>
      <c r="G38" s="31">
        <f>SUM(NY_FINANCIAL)</f>
        <v>0</v>
      </c>
      <c r="H38" s="30"/>
      <c r="I38" s="30"/>
      <c r="J38" s="30"/>
      <c r="K38" s="30"/>
      <c r="L38" s="29"/>
      <c r="M38" s="30"/>
      <c r="N38" s="30"/>
      <c r="O38" s="30"/>
      <c r="P38" s="30"/>
      <c r="Q38" s="30"/>
      <c r="R38" s="30"/>
      <c r="S38" s="30"/>
      <c r="T38" s="30"/>
      <c r="U38" s="30"/>
      <c r="V38" s="31"/>
    </row>
    <row r="39" spans="1:22">
      <c r="A39" s="1" t="s">
        <v>60</v>
      </c>
      <c r="B39" s="29">
        <v>0</v>
      </c>
      <c r="C39" s="30">
        <v>0</v>
      </c>
      <c r="D39" s="30">
        <v>0</v>
      </c>
      <c r="E39" s="30">
        <v>0</v>
      </c>
      <c r="F39" s="30">
        <v>0</v>
      </c>
      <c r="G39" s="31">
        <f>SUM(NC_FINANCIAL)</f>
        <v>0</v>
      </c>
      <c r="H39" s="30"/>
      <c r="I39" s="30"/>
      <c r="J39" s="30"/>
      <c r="K39" s="30"/>
      <c r="L39" s="29"/>
      <c r="M39" s="30"/>
      <c r="N39" s="30"/>
      <c r="O39" s="30"/>
      <c r="P39" s="30"/>
      <c r="Q39" s="30"/>
      <c r="R39" s="30"/>
      <c r="S39" s="30"/>
      <c r="T39" s="30"/>
      <c r="U39" s="30"/>
      <c r="V39" s="31"/>
    </row>
    <row r="40" spans="1:22">
      <c r="A40" s="1" t="s">
        <v>61</v>
      </c>
      <c r="B40" s="29">
        <v>0</v>
      </c>
      <c r="C40" s="30">
        <v>0</v>
      </c>
      <c r="D40" s="30">
        <v>0</v>
      </c>
      <c r="E40" s="30">
        <v>0</v>
      </c>
      <c r="F40" s="30">
        <v>0</v>
      </c>
      <c r="G40" s="31">
        <f>SUM(ND_FINANCIAL)</f>
        <v>0</v>
      </c>
      <c r="H40" s="30"/>
      <c r="I40" s="30"/>
      <c r="J40" s="30"/>
      <c r="K40" s="30"/>
      <c r="L40" s="29"/>
      <c r="M40" s="30"/>
      <c r="N40" s="30"/>
      <c r="O40" s="30"/>
      <c r="P40" s="30"/>
      <c r="Q40" s="30"/>
      <c r="R40" s="30"/>
      <c r="S40" s="30"/>
      <c r="T40" s="30"/>
      <c r="U40" s="30"/>
      <c r="V40" s="31"/>
    </row>
    <row r="41" spans="1:22">
      <c r="A41" s="1" t="s">
        <v>62</v>
      </c>
      <c r="B41" s="29">
        <v>0</v>
      </c>
      <c r="C41" s="30">
        <v>0</v>
      </c>
      <c r="D41" s="30">
        <v>0</v>
      </c>
      <c r="E41" s="30">
        <v>0</v>
      </c>
      <c r="F41" s="30">
        <v>0</v>
      </c>
      <c r="G41" s="31">
        <f>SUM(OH_FINANCIAL)</f>
        <v>0</v>
      </c>
      <c r="H41" s="30"/>
      <c r="I41" s="30"/>
      <c r="J41" s="30"/>
      <c r="K41" s="30"/>
      <c r="L41" s="29"/>
      <c r="M41" s="30"/>
      <c r="N41" s="30"/>
      <c r="O41" s="30"/>
      <c r="P41" s="30"/>
      <c r="Q41" s="30"/>
      <c r="R41" s="30"/>
      <c r="S41" s="30"/>
      <c r="T41" s="30"/>
      <c r="U41" s="30"/>
      <c r="V41" s="31"/>
    </row>
    <row r="42" spans="1:22">
      <c r="A42" s="1" t="s">
        <v>63</v>
      </c>
      <c r="B42" s="29">
        <v>0</v>
      </c>
      <c r="C42" s="30">
        <v>0</v>
      </c>
      <c r="D42" s="30">
        <v>0</v>
      </c>
      <c r="E42" s="30">
        <v>0</v>
      </c>
      <c r="F42" s="30">
        <v>0</v>
      </c>
      <c r="G42" s="31">
        <f>SUM(OK_FINANCIAL)</f>
        <v>0</v>
      </c>
      <c r="H42" s="30"/>
      <c r="I42" s="30"/>
      <c r="J42" s="30"/>
      <c r="K42" s="30"/>
      <c r="L42" s="29"/>
      <c r="M42" s="30"/>
      <c r="N42" s="30"/>
      <c r="O42" s="30"/>
      <c r="P42" s="30"/>
      <c r="Q42" s="30"/>
      <c r="R42" s="30"/>
      <c r="S42" s="30"/>
      <c r="T42" s="30"/>
      <c r="U42" s="30"/>
      <c r="V42" s="31"/>
    </row>
    <row r="43" spans="1:22">
      <c r="A43" s="1" t="s">
        <v>64</v>
      </c>
      <c r="B43" s="29">
        <v>0</v>
      </c>
      <c r="C43" s="30">
        <v>0</v>
      </c>
      <c r="D43" s="30">
        <v>0</v>
      </c>
      <c r="E43" s="30">
        <v>0</v>
      </c>
      <c r="F43" s="30">
        <v>0</v>
      </c>
      <c r="G43" s="31">
        <f>SUM(OR_FINANCIAL)</f>
        <v>0</v>
      </c>
      <c r="H43" s="30"/>
      <c r="I43" s="30"/>
      <c r="J43" s="30"/>
      <c r="K43" s="30"/>
      <c r="L43" s="29"/>
      <c r="M43" s="30"/>
      <c r="N43" s="30"/>
      <c r="O43" s="30"/>
      <c r="P43" s="30"/>
      <c r="Q43" s="30"/>
      <c r="R43" s="30"/>
      <c r="S43" s="30"/>
      <c r="T43" s="30"/>
      <c r="U43" s="30"/>
      <c r="V43" s="31"/>
    </row>
    <row r="44" spans="1:22">
      <c r="A44" s="1" t="s">
        <v>65</v>
      </c>
      <c r="B44" s="29">
        <v>0</v>
      </c>
      <c r="C44" s="30">
        <v>0</v>
      </c>
      <c r="D44" s="30">
        <v>0</v>
      </c>
      <c r="E44" s="30">
        <v>0</v>
      </c>
      <c r="F44" s="30">
        <v>0</v>
      </c>
      <c r="G44" s="31">
        <f>SUM(PA_FINANCIAL)</f>
        <v>0</v>
      </c>
      <c r="H44" s="30"/>
      <c r="I44" s="30"/>
      <c r="J44" s="30"/>
      <c r="K44" s="30"/>
      <c r="L44" s="29"/>
      <c r="M44" s="30"/>
      <c r="N44" s="30"/>
      <c r="O44" s="30"/>
      <c r="P44" s="30"/>
      <c r="Q44" s="30"/>
      <c r="R44" s="30"/>
      <c r="S44" s="30"/>
      <c r="T44" s="30"/>
      <c r="U44" s="30"/>
      <c r="V44" s="31"/>
    </row>
    <row r="45" spans="1:22">
      <c r="A45" s="1" t="s">
        <v>66</v>
      </c>
      <c r="B45" s="29">
        <v>0</v>
      </c>
      <c r="C45" s="30">
        <v>0</v>
      </c>
      <c r="D45" s="30">
        <v>0</v>
      </c>
      <c r="E45" s="30">
        <v>0</v>
      </c>
      <c r="F45" s="30">
        <v>0</v>
      </c>
      <c r="G45" s="31">
        <f>SUM(PR_FINANCIAL)</f>
        <v>0</v>
      </c>
      <c r="H45" s="30"/>
      <c r="I45" s="30"/>
      <c r="J45" s="30"/>
      <c r="K45" s="30"/>
      <c r="L45" s="29"/>
      <c r="M45" s="30"/>
      <c r="N45" s="30"/>
      <c r="O45" s="30"/>
      <c r="P45" s="30"/>
      <c r="Q45" s="30"/>
      <c r="R45" s="30"/>
      <c r="S45" s="30"/>
      <c r="T45" s="30"/>
      <c r="U45" s="30"/>
      <c r="V45" s="31"/>
    </row>
    <row r="46" spans="1:22">
      <c r="A46" s="1" t="s">
        <v>67</v>
      </c>
      <c r="B46" s="29">
        <v>0</v>
      </c>
      <c r="C46" s="30">
        <v>0</v>
      </c>
      <c r="D46" s="30">
        <v>0</v>
      </c>
      <c r="E46" s="30">
        <v>0</v>
      </c>
      <c r="F46" s="30">
        <v>0</v>
      </c>
      <c r="G46" s="31">
        <f>SUM(RI_FINANCIAL)</f>
        <v>0</v>
      </c>
      <c r="H46" s="30"/>
      <c r="I46" s="30"/>
      <c r="J46" s="30"/>
      <c r="K46" s="30"/>
      <c r="L46" s="29"/>
      <c r="M46" s="30"/>
      <c r="N46" s="30"/>
      <c r="O46" s="30"/>
      <c r="P46" s="30"/>
      <c r="Q46" s="30"/>
      <c r="R46" s="30"/>
      <c r="S46" s="30"/>
      <c r="T46" s="30"/>
      <c r="U46" s="30"/>
      <c r="V46" s="31"/>
    </row>
    <row r="47" spans="1:22">
      <c r="A47" s="1" t="s">
        <v>68</v>
      </c>
      <c r="B47" s="29">
        <v>0</v>
      </c>
      <c r="C47" s="30">
        <v>0</v>
      </c>
      <c r="D47" s="30">
        <v>0</v>
      </c>
      <c r="E47" s="30">
        <v>0</v>
      </c>
      <c r="F47" s="30">
        <v>0</v>
      </c>
      <c r="G47" s="31">
        <f>SUM(SC_FINANCIAL)</f>
        <v>0</v>
      </c>
      <c r="H47" s="30"/>
      <c r="I47" s="30"/>
      <c r="J47" s="30"/>
      <c r="K47" s="30"/>
      <c r="L47" s="29"/>
      <c r="M47" s="30"/>
      <c r="N47" s="30"/>
      <c r="O47" s="30"/>
      <c r="P47" s="30"/>
      <c r="Q47" s="30"/>
      <c r="R47" s="30"/>
      <c r="S47" s="30"/>
      <c r="T47" s="30"/>
      <c r="U47" s="30"/>
      <c r="V47" s="31"/>
    </row>
    <row r="48" spans="1:22">
      <c r="A48" s="1" t="s">
        <v>69</v>
      </c>
      <c r="B48" s="29">
        <v>0</v>
      </c>
      <c r="C48" s="30">
        <v>0</v>
      </c>
      <c r="D48" s="30">
        <v>0</v>
      </c>
      <c r="E48" s="30">
        <v>0</v>
      </c>
      <c r="F48" s="30">
        <v>0</v>
      </c>
      <c r="G48" s="31">
        <f>SUM(SD_FINANCIAL)</f>
        <v>0</v>
      </c>
      <c r="H48" s="30"/>
      <c r="I48" s="30"/>
      <c r="J48" s="30"/>
      <c r="K48" s="30"/>
      <c r="L48" s="29"/>
      <c r="M48" s="30"/>
      <c r="N48" s="30"/>
      <c r="O48" s="30"/>
      <c r="P48" s="30"/>
      <c r="Q48" s="30"/>
      <c r="R48" s="30"/>
      <c r="S48" s="30"/>
      <c r="T48" s="30"/>
      <c r="U48" s="30"/>
      <c r="V48" s="31"/>
    </row>
    <row r="49" spans="1:22">
      <c r="A49" s="1" t="s">
        <v>70</v>
      </c>
      <c r="B49" s="29">
        <v>0</v>
      </c>
      <c r="C49" s="30">
        <v>0</v>
      </c>
      <c r="D49" s="30">
        <v>0</v>
      </c>
      <c r="E49" s="30">
        <v>0</v>
      </c>
      <c r="F49" s="30">
        <v>0</v>
      </c>
      <c r="G49" s="31">
        <f>SUM(TN_FINANCIAL)</f>
        <v>0</v>
      </c>
      <c r="H49" s="30"/>
      <c r="I49" s="30"/>
      <c r="J49" s="30"/>
      <c r="K49" s="30"/>
      <c r="L49" s="29"/>
      <c r="M49" s="30"/>
      <c r="N49" s="30"/>
      <c r="O49" s="30"/>
      <c r="P49" s="30"/>
      <c r="Q49" s="30"/>
      <c r="R49" s="30"/>
      <c r="S49" s="30"/>
      <c r="T49" s="30"/>
      <c r="U49" s="30"/>
      <c r="V49" s="31"/>
    </row>
    <row r="50" spans="1:22">
      <c r="A50" s="1" t="s">
        <v>71</v>
      </c>
      <c r="B50" s="29">
        <v>0</v>
      </c>
      <c r="C50" s="30">
        <v>0</v>
      </c>
      <c r="D50" s="30">
        <v>0</v>
      </c>
      <c r="E50" s="30">
        <v>0</v>
      </c>
      <c r="F50" s="30">
        <v>0</v>
      </c>
      <c r="G50" s="31">
        <f>SUM(TX_FINANCIAL)</f>
        <v>0</v>
      </c>
      <c r="H50" s="30"/>
      <c r="I50" s="30"/>
      <c r="J50" s="30"/>
      <c r="K50" s="30"/>
      <c r="L50" s="29"/>
      <c r="M50" s="30"/>
      <c r="N50" s="30"/>
      <c r="O50" s="30"/>
      <c r="P50" s="30"/>
      <c r="Q50" s="30"/>
      <c r="R50" s="30"/>
      <c r="S50" s="30"/>
      <c r="T50" s="30"/>
      <c r="U50" s="30"/>
      <c r="V50" s="31"/>
    </row>
    <row r="51" spans="1:22">
      <c r="A51" s="1" t="s">
        <v>72</v>
      </c>
      <c r="B51" s="29">
        <v>0</v>
      </c>
      <c r="C51" s="30">
        <v>0</v>
      </c>
      <c r="D51" s="30">
        <v>0</v>
      </c>
      <c r="E51" s="30">
        <v>0</v>
      </c>
      <c r="F51" s="30">
        <v>0</v>
      </c>
      <c r="G51" s="31">
        <f>SUM(UT_FINANCIAL)</f>
        <v>0</v>
      </c>
      <c r="H51" s="30"/>
      <c r="I51" s="30"/>
      <c r="J51" s="30"/>
      <c r="K51" s="30"/>
      <c r="L51" s="29"/>
      <c r="M51" s="30"/>
      <c r="N51" s="30"/>
      <c r="O51" s="30"/>
      <c r="P51" s="30"/>
      <c r="Q51" s="30"/>
      <c r="R51" s="30"/>
      <c r="S51" s="30"/>
      <c r="T51" s="30"/>
      <c r="U51" s="30"/>
      <c r="V51" s="31"/>
    </row>
    <row r="52" spans="1:22">
      <c r="A52" s="1" t="s">
        <v>73</v>
      </c>
      <c r="B52" s="29">
        <v>0</v>
      </c>
      <c r="C52" s="30">
        <v>0</v>
      </c>
      <c r="D52" s="30">
        <v>0</v>
      </c>
      <c r="E52" s="30">
        <v>0</v>
      </c>
      <c r="F52" s="30">
        <v>0</v>
      </c>
      <c r="G52" s="31">
        <f>SUM(VT_FINANCIAL)</f>
        <v>0</v>
      </c>
      <c r="H52" s="30"/>
      <c r="I52" s="30"/>
      <c r="J52" s="30"/>
      <c r="K52" s="30"/>
      <c r="L52" s="29"/>
      <c r="M52" s="30"/>
      <c r="N52" s="30"/>
      <c r="O52" s="30"/>
      <c r="P52" s="30"/>
      <c r="Q52" s="30"/>
      <c r="R52" s="30"/>
      <c r="S52" s="30"/>
      <c r="T52" s="30"/>
      <c r="U52" s="30"/>
      <c r="V52" s="31"/>
    </row>
    <row r="53" spans="1:22">
      <c r="A53" s="1" t="s">
        <v>74</v>
      </c>
      <c r="B53" s="29">
        <v>0</v>
      </c>
      <c r="C53" s="30">
        <v>0</v>
      </c>
      <c r="D53" s="30">
        <v>0</v>
      </c>
      <c r="E53" s="30">
        <v>0</v>
      </c>
      <c r="F53" s="30">
        <v>0</v>
      </c>
      <c r="G53" s="31">
        <f>SUM(VA_FINANCIAL)</f>
        <v>0</v>
      </c>
      <c r="H53" s="30"/>
      <c r="I53" s="30"/>
      <c r="J53" s="30"/>
      <c r="K53" s="30"/>
      <c r="L53" s="29"/>
      <c r="M53" s="30"/>
      <c r="N53" s="30"/>
      <c r="O53" s="30"/>
      <c r="P53" s="30"/>
      <c r="Q53" s="30"/>
      <c r="R53" s="30"/>
      <c r="S53" s="30"/>
      <c r="T53" s="30"/>
      <c r="U53" s="30"/>
      <c r="V53" s="31"/>
    </row>
    <row r="54" spans="1:22">
      <c r="A54" s="1" t="s">
        <v>75</v>
      </c>
      <c r="B54" s="29">
        <v>0</v>
      </c>
      <c r="C54" s="30">
        <v>0</v>
      </c>
      <c r="D54" s="30">
        <v>0</v>
      </c>
      <c r="E54" s="30">
        <v>0</v>
      </c>
      <c r="F54" s="30">
        <v>0</v>
      </c>
      <c r="G54" s="31">
        <f>SUM(WA_FINANCIAL)</f>
        <v>0</v>
      </c>
      <c r="H54" s="30"/>
      <c r="I54" s="30"/>
      <c r="J54" s="30"/>
      <c r="K54" s="30"/>
      <c r="L54" s="29"/>
      <c r="M54" s="30"/>
      <c r="N54" s="30"/>
      <c r="O54" s="30"/>
      <c r="P54" s="30"/>
      <c r="Q54" s="30"/>
      <c r="R54" s="30"/>
      <c r="S54" s="30"/>
      <c r="T54" s="30"/>
      <c r="U54" s="30"/>
      <c r="V54" s="31"/>
    </row>
    <row r="55" spans="1:22">
      <c r="A55" s="1" t="s">
        <v>76</v>
      </c>
      <c r="B55" s="29">
        <v>0</v>
      </c>
      <c r="C55" s="30">
        <v>0</v>
      </c>
      <c r="D55" s="30">
        <v>0</v>
      </c>
      <c r="E55" s="30">
        <v>0</v>
      </c>
      <c r="F55" s="30">
        <v>0</v>
      </c>
      <c r="G55" s="31">
        <f>SUM(WV_FINANCIAL)</f>
        <v>0</v>
      </c>
      <c r="H55" s="30"/>
      <c r="I55" s="30"/>
      <c r="J55" s="30"/>
      <c r="K55" s="30"/>
      <c r="L55" s="29"/>
      <c r="M55" s="30"/>
      <c r="N55" s="30"/>
      <c r="O55" s="30"/>
      <c r="P55" s="30"/>
      <c r="Q55" s="30"/>
      <c r="R55" s="30"/>
      <c r="S55" s="30"/>
      <c r="T55" s="30"/>
      <c r="U55" s="30"/>
      <c r="V55" s="31"/>
    </row>
    <row r="56" spans="1:22">
      <c r="A56" s="1" t="s">
        <v>77</v>
      </c>
      <c r="B56" s="29">
        <v>0</v>
      </c>
      <c r="C56" s="30">
        <v>0</v>
      </c>
      <c r="D56" s="30">
        <v>0</v>
      </c>
      <c r="E56" s="30">
        <v>0</v>
      </c>
      <c r="F56" s="30">
        <v>0</v>
      </c>
      <c r="G56" s="31">
        <f>SUM(WI_FINANCIAL)</f>
        <v>0</v>
      </c>
      <c r="H56" s="30"/>
      <c r="I56" s="30"/>
      <c r="J56" s="30"/>
      <c r="K56" s="30"/>
      <c r="L56" s="29"/>
      <c r="M56" s="30"/>
      <c r="N56" s="30"/>
      <c r="O56" s="30"/>
      <c r="P56" s="30"/>
      <c r="Q56" s="30"/>
      <c r="R56" s="30"/>
      <c r="S56" s="30"/>
      <c r="T56" s="30"/>
      <c r="U56" s="30"/>
      <c r="V56" s="31"/>
    </row>
    <row r="57" spans="1:22">
      <c r="A57" s="1" t="s">
        <v>78</v>
      </c>
      <c r="B57" s="29">
        <v>0</v>
      </c>
      <c r="C57" s="30">
        <v>0</v>
      </c>
      <c r="D57" s="30">
        <v>0</v>
      </c>
      <c r="E57" s="30">
        <v>0</v>
      </c>
      <c r="F57" s="30">
        <v>0</v>
      </c>
      <c r="G57" s="31">
        <f>SUM(WY_FINANCIAL)</f>
        <v>0</v>
      </c>
      <c r="H57" s="30"/>
      <c r="I57" s="30"/>
      <c r="J57" s="30"/>
      <c r="K57" s="30"/>
      <c r="L57" s="29"/>
      <c r="M57" s="30"/>
      <c r="N57" s="30"/>
      <c r="O57" s="30"/>
      <c r="P57" s="30"/>
      <c r="Q57" s="30"/>
      <c r="R57" s="30"/>
      <c r="S57" s="30"/>
      <c r="T57" s="30"/>
      <c r="U57" s="30"/>
      <c r="V57" s="31"/>
    </row>
    <row r="58" spans="1:22">
      <c r="A58" s="1" t="s">
        <v>79</v>
      </c>
      <c r="B58" s="29">
        <v>0</v>
      </c>
      <c r="C58" s="30">
        <v>0</v>
      </c>
      <c r="D58" s="30">
        <v>0</v>
      </c>
      <c r="E58" s="30">
        <v>0</v>
      </c>
      <c r="F58" s="30">
        <v>0</v>
      </c>
      <c r="G58" s="31">
        <f>SUM(OT_FINANCIAL)</f>
        <v>0</v>
      </c>
      <c r="H58" s="30"/>
      <c r="I58" s="30"/>
      <c r="J58" s="30"/>
      <c r="K58" s="30"/>
      <c r="L58" s="29"/>
      <c r="M58" s="30"/>
      <c r="N58" s="30"/>
      <c r="O58" s="30"/>
      <c r="P58" s="30"/>
      <c r="Q58" s="30"/>
      <c r="R58" s="30"/>
      <c r="S58" s="30"/>
      <c r="T58" s="30"/>
      <c r="U58" s="30"/>
      <c r="V58" s="31"/>
    </row>
    <row r="59" spans="1:22">
      <c r="B59" s="29"/>
      <c r="C59" s="30"/>
      <c r="D59" s="30"/>
      <c r="E59" s="30"/>
      <c r="F59" s="30"/>
      <c r="G59" s="31"/>
      <c r="H59" s="30"/>
      <c r="I59" s="30"/>
      <c r="J59" s="30"/>
      <c r="K59" s="30"/>
      <c r="L59" s="29"/>
      <c r="M59" s="30"/>
      <c r="N59" s="30"/>
      <c r="O59" s="30"/>
      <c r="P59" s="30"/>
      <c r="Q59" s="30"/>
      <c r="R59" s="30"/>
      <c r="S59" s="30"/>
      <c r="T59" s="30"/>
      <c r="U59" s="30"/>
      <c r="V59" s="31"/>
    </row>
    <row r="60" spans="1:22">
      <c r="A60" s="1" t="s">
        <v>8</v>
      </c>
      <c r="B60" s="29">
        <f>SUM(LIFE)</f>
        <v>0</v>
      </c>
      <c r="C60" s="30">
        <f>SUM(ALLOCATED)</f>
        <v>0</v>
      </c>
      <c r="D60" s="30">
        <f>SUM(HEALTH)</f>
        <v>29019870.332349885</v>
      </c>
      <c r="E60" s="30">
        <f>SUM(UNALLOCATED)</f>
        <v>0</v>
      </c>
      <c r="F60" s="30">
        <f>SUM(LTC)</f>
        <v>0</v>
      </c>
      <c r="G60" s="31">
        <f>SUM(ALL_BLOCKS)</f>
        <v>29019870.332349885</v>
      </c>
      <c r="H60" s="30"/>
      <c r="I60" s="30"/>
      <c r="J60" s="30"/>
      <c r="K60" s="30"/>
      <c r="L60" s="29">
        <f>SUM(LIFE_CALLED)</f>
        <v>0</v>
      </c>
      <c r="M60" s="30">
        <f>SUM(LIFE_REFUNDED)</f>
        <v>0</v>
      </c>
      <c r="N60" s="30"/>
      <c r="O60" s="30">
        <f>SUM(ALLOC_CALLED)</f>
        <v>0</v>
      </c>
      <c r="P60" s="30">
        <f>SUM(ALLOC_REFUNDED)</f>
        <v>0</v>
      </c>
      <c r="Q60" s="30"/>
      <c r="R60" s="30">
        <f>SUM(HEALTH_CALLED)</f>
        <v>91800000</v>
      </c>
      <c r="S60" s="30">
        <f>SUM(HEALTH_REFUNDED)</f>
        <v>0</v>
      </c>
      <c r="T60" s="30"/>
      <c r="U60" s="30">
        <f>SUM(UNALLOC_CALLED)</f>
        <v>0</v>
      </c>
      <c r="V60" s="31">
        <f>SUM(UNALLOC_REFUNDED)</f>
        <v>0</v>
      </c>
    </row>
    <row r="61" spans="1:22" ht="5.0999999999999996" customHeight="1">
      <c r="B61" s="8"/>
      <c r="G61" s="11"/>
      <c r="L61" s="8"/>
      <c r="V61" s="11"/>
    </row>
    <row r="62" spans="1:22">
      <c r="B62" s="8"/>
      <c r="G62" s="11"/>
      <c r="L62" s="122" t="s">
        <v>80</v>
      </c>
      <c r="M62" s="123"/>
      <c r="N62" s="123"/>
      <c r="O62" s="123"/>
      <c r="P62" s="123"/>
      <c r="Q62" s="123"/>
      <c r="R62" s="123"/>
      <c r="S62" s="123"/>
      <c r="T62" s="123"/>
      <c r="U62" s="123"/>
      <c r="V62" s="124"/>
    </row>
    <row r="63" spans="1:22">
      <c r="B63" s="8"/>
      <c r="G63" s="11"/>
      <c r="L63" s="125"/>
      <c r="M63" s="123"/>
      <c r="N63" s="123"/>
      <c r="O63" s="123"/>
      <c r="P63" s="123"/>
      <c r="Q63" s="123"/>
      <c r="R63" s="123"/>
      <c r="S63" s="123"/>
      <c r="T63" s="123"/>
      <c r="U63" s="123"/>
      <c r="V63" s="124"/>
    </row>
    <row r="64" spans="1:22">
      <c r="B64" s="10"/>
      <c r="C64" s="7"/>
      <c r="D64" s="7"/>
      <c r="E64" s="7"/>
      <c r="F64" s="7"/>
      <c r="G64" s="13"/>
      <c r="L64" s="126"/>
      <c r="M64" s="127"/>
      <c r="N64" s="127"/>
      <c r="O64" s="127"/>
      <c r="P64" s="127"/>
      <c r="Q64" s="127"/>
      <c r="R64" s="127"/>
      <c r="S64" s="127"/>
      <c r="T64" s="127"/>
      <c r="U64" s="127"/>
      <c r="V64" s="128"/>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V64"/>
  <sheetViews>
    <sheetView zoomScale="75" workbookViewId="0">
      <selection sqref="A1:XFD1048576"/>
    </sheetView>
  </sheetViews>
  <sheetFormatPr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129" t="s">
        <v>105</v>
      </c>
      <c r="B1" s="123"/>
      <c r="C1" s="123"/>
      <c r="D1" s="123"/>
      <c r="E1" s="123"/>
      <c r="F1" s="123"/>
      <c r="G1" s="123"/>
    </row>
    <row r="3" spans="1:22">
      <c r="B3" s="130" t="s">
        <v>1</v>
      </c>
      <c r="C3" s="131"/>
      <c r="D3" s="131"/>
      <c r="E3" s="131"/>
      <c r="F3" s="131"/>
      <c r="G3" s="132"/>
      <c r="L3" s="133" t="s">
        <v>2</v>
      </c>
      <c r="M3" s="134"/>
      <c r="N3" s="134"/>
      <c r="O3" s="134"/>
      <c r="P3" s="134"/>
      <c r="Q3" s="134"/>
      <c r="R3" s="134"/>
      <c r="S3" s="134"/>
      <c r="T3" s="134"/>
      <c r="U3" s="134"/>
      <c r="V3" s="135"/>
    </row>
    <row r="4" spans="1:22">
      <c r="B4" s="8"/>
      <c r="G4" s="11"/>
      <c r="L4" s="136" t="s">
        <v>3</v>
      </c>
      <c r="M4" s="137"/>
      <c r="N4" s="4"/>
      <c r="O4" s="138" t="s">
        <v>4</v>
      </c>
      <c r="P4" s="137"/>
      <c r="Q4" s="4"/>
      <c r="R4" s="138" t="s">
        <v>5</v>
      </c>
      <c r="S4" s="137"/>
      <c r="T4" s="4"/>
      <c r="U4" s="138" t="s">
        <v>6</v>
      </c>
      <c r="V4" s="139"/>
    </row>
    <row r="5" spans="1:22" ht="60" customHeight="1">
      <c r="B5" s="9" t="s">
        <v>3</v>
      </c>
      <c r="C5" s="5" t="s">
        <v>4</v>
      </c>
      <c r="D5" s="5" t="s">
        <v>5</v>
      </c>
      <c r="E5" s="5" t="s">
        <v>6</v>
      </c>
      <c r="F5" s="5" t="s">
        <v>7</v>
      </c>
      <c r="G5" s="12" t="s">
        <v>8</v>
      </c>
      <c r="L5" s="15" t="s">
        <v>9</v>
      </c>
      <c r="M5" s="14" t="s">
        <v>10</v>
      </c>
      <c r="N5" s="14"/>
      <c r="O5" s="14" t="s">
        <v>9</v>
      </c>
      <c r="P5" s="14" t="s">
        <v>10</v>
      </c>
      <c r="Q5" s="14"/>
      <c r="R5" s="14" t="s">
        <v>9</v>
      </c>
      <c r="S5" s="14" t="s">
        <v>10</v>
      </c>
      <c r="T5" s="14"/>
      <c r="U5" s="14" t="s">
        <v>9</v>
      </c>
      <c r="V5" s="16" t="s">
        <v>10</v>
      </c>
    </row>
    <row r="6" spans="1:22">
      <c r="A6" s="1" t="s">
        <v>11</v>
      </c>
      <c r="B6" s="29">
        <v>0</v>
      </c>
      <c r="C6" s="30">
        <v>0</v>
      </c>
      <c r="D6" s="30">
        <v>0</v>
      </c>
      <c r="E6" s="30">
        <v>0</v>
      </c>
      <c r="F6" s="30">
        <v>0</v>
      </c>
      <c r="G6" s="31">
        <f>SUM(AL_FINANCIAL)</f>
        <v>0</v>
      </c>
      <c r="H6" s="30"/>
      <c r="I6" s="30"/>
      <c r="J6" s="30"/>
      <c r="K6" s="30"/>
      <c r="L6" s="29"/>
      <c r="M6" s="30"/>
      <c r="N6" s="30"/>
      <c r="O6" s="30"/>
      <c r="P6" s="30"/>
      <c r="Q6" s="30"/>
      <c r="R6" s="30"/>
      <c r="S6" s="30"/>
      <c r="T6" s="30"/>
      <c r="U6" s="30"/>
      <c r="V6" s="31"/>
    </row>
    <row r="7" spans="1:22">
      <c r="A7" s="1" t="s">
        <v>12</v>
      </c>
      <c r="B7" s="29">
        <v>0</v>
      </c>
      <c r="C7" s="30">
        <v>0</v>
      </c>
      <c r="D7" s="30">
        <v>0</v>
      </c>
      <c r="E7" s="30">
        <v>0</v>
      </c>
      <c r="F7" s="30">
        <v>0</v>
      </c>
      <c r="G7" s="31">
        <f>SUM(AK_FINANCIAL)</f>
        <v>0</v>
      </c>
      <c r="H7" s="30"/>
      <c r="I7" s="32"/>
      <c r="J7" s="33"/>
      <c r="K7" s="30"/>
      <c r="L7" s="29"/>
      <c r="M7" s="30"/>
      <c r="N7" s="30"/>
      <c r="O7" s="30"/>
      <c r="P7" s="30"/>
      <c r="Q7" s="30"/>
      <c r="R7" s="30"/>
      <c r="S7" s="30"/>
      <c r="T7" s="30"/>
      <c r="U7" s="30"/>
      <c r="V7" s="31"/>
    </row>
    <row r="8" spans="1:22">
      <c r="A8" s="1" t="s">
        <v>13</v>
      </c>
      <c r="B8" s="29">
        <v>0</v>
      </c>
      <c r="C8" s="30">
        <v>0</v>
      </c>
      <c r="D8" s="30">
        <v>0</v>
      </c>
      <c r="E8" s="30">
        <v>0</v>
      </c>
      <c r="F8" s="30">
        <v>0</v>
      </c>
      <c r="G8" s="31">
        <f>SUM(AZ_FINANCIAL)</f>
        <v>0</v>
      </c>
      <c r="H8" s="30"/>
      <c r="I8" s="34" t="s">
        <v>14</v>
      </c>
      <c r="J8" s="35"/>
      <c r="K8" s="30"/>
      <c r="L8" s="29"/>
      <c r="M8" s="30"/>
      <c r="N8" s="30"/>
      <c r="O8" s="30"/>
      <c r="P8" s="30"/>
      <c r="Q8" s="30"/>
      <c r="R8" s="30"/>
      <c r="S8" s="30"/>
      <c r="T8" s="30"/>
      <c r="U8" s="30"/>
      <c r="V8" s="31"/>
    </row>
    <row r="9" spans="1:22">
      <c r="A9" s="1" t="s">
        <v>15</v>
      </c>
      <c r="B9" s="29">
        <v>0</v>
      </c>
      <c r="C9" s="30">
        <v>0</v>
      </c>
      <c r="D9" s="30">
        <v>0</v>
      </c>
      <c r="E9" s="30">
        <v>0</v>
      </c>
      <c r="F9" s="30">
        <v>0</v>
      </c>
      <c r="G9" s="31">
        <f>SUM(AR_FINANCIAL)</f>
        <v>0</v>
      </c>
      <c r="H9" s="30"/>
      <c r="I9" s="34"/>
      <c r="J9" s="35"/>
      <c r="K9" s="30"/>
      <c r="L9" s="29"/>
      <c r="M9" s="30"/>
      <c r="N9" s="30"/>
      <c r="O9" s="30"/>
      <c r="P9" s="30"/>
      <c r="Q9" s="30"/>
      <c r="R9" s="30"/>
      <c r="S9" s="30"/>
      <c r="T9" s="30"/>
      <c r="U9" s="30"/>
      <c r="V9" s="31"/>
    </row>
    <row r="10" spans="1:22">
      <c r="A10" s="1" t="s">
        <v>16</v>
      </c>
      <c r="B10" s="29">
        <v>0</v>
      </c>
      <c r="C10" s="30">
        <v>0</v>
      </c>
      <c r="D10" s="30">
        <v>0</v>
      </c>
      <c r="E10" s="30">
        <v>0</v>
      </c>
      <c r="F10" s="30">
        <v>0</v>
      </c>
      <c r="G10" s="31">
        <f>SUM(CA_FINANCIAL)</f>
        <v>0</v>
      </c>
      <c r="H10" s="30"/>
      <c r="I10" s="34" t="s">
        <v>17</v>
      </c>
      <c r="J10" s="35">
        <v>46309368</v>
      </c>
      <c r="K10" s="30"/>
      <c r="L10" s="29"/>
      <c r="M10" s="30"/>
      <c r="N10" s="30"/>
      <c r="O10" s="30"/>
      <c r="P10" s="30"/>
      <c r="Q10" s="30"/>
      <c r="R10" s="30"/>
      <c r="S10" s="30"/>
      <c r="T10" s="30"/>
      <c r="U10" s="30"/>
      <c r="V10" s="31"/>
    </row>
    <row r="11" spans="1:22">
      <c r="A11" s="1" t="s">
        <v>18</v>
      </c>
      <c r="B11" s="29">
        <v>0</v>
      </c>
      <c r="C11" s="30">
        <v>0</v>
      </c>
      <c r="D11" s="30">
        <v>0</v>
      </c>
      <c r="E11" s="30">
        <v>0</v>
      </c>
      <c r="F11" s="30">
        <v>0</v>
      </c>
      <c r="G11" s="31">
        <f>SUM(CO_FINANCIAL)</f>
        <v>0</v>
      </c>
      <c r="H11" s="30"/>
      <c r="I11" s="34"/>
      <c r="J11" s="35"/>
      <c r="K11" s="30"/>
      <c r="L11" s="29"/>
      <c r="M11" s="30"/>
      <c r="N11" s="30"/>
      <c r="O11" s="30"/>
      <c r="P11" s="30"/>
      <c r="Q11" s="30"/>
      <c r="R11" s="30"/>
      <c r="S11" s="30"/>
      <c r="T11" s="30"/>
      <c r="U11" s="30"/>
      <c r="V11" s="31"/>
    </row>
    <row r="12" spans="1:22">
      <c r="A12" s="1" t="s">
        <v>19</v>
      </c>
      <c r="B12" s="29">
        <v>0</v>
      </c>
      <c r="C12" s="30">
        <v>0</v>
      </c>
      <c r="D12" s="30">
        <v>0</v>
      </c>
      <c r="E12" s="30">
        <v>0</v>
      </c>
      <c r="F12" s="30">
        <v>0</v>
      </c>
      <c r="G12" s="31">
        <f>SUM(CT_FINANCIAL)</f>
        <v>0</v>
      </c>
      <c r="H12" s="30"/>
      <c r="I12" s="34" t="s">
        <v>20</v>
      </c>
      <c r="J12" s="35"/>
      <c r="K12" s="30"/>
      <c r="L12" s="29"/>
      <c r="M12" s="30"/>
      <c r="N12" s="30"/>
      <c r="O12" s="30"/>
      <c r="P12" s="30"/>
      <c r="Q12" s="30"/>
      <c r="R12" s="30"/>
      <c r="S12" s="30"/>
      <c r="T12" s="30"/>
      <c r="U12" s="30"/>
      <c r="V12" s="31"/>
    </row>
    <row r="13" spans="1:22">
      <c r="A13" s="1" t="s">
        <v>21</v>
      </c>
      <c r="B13" s="29">
        <v>0</v>
      </c>
      <c r="C13" s="30">
        <v>0</v>
      </c>
      <c r="D13" s="30">
        <v>0</v>
      </c>
      <c r="E13" s="30">
        <v>0</v>
      </c>
      <c r="F13" s="30">
        <v>0</v>
      </c>
      <c r="G13" s="31">
        <f>SUM(DE_FINANCIAL)</f>
        <v>0</v>
      </c>
      <c r="H13" s="30"/>
      <c r="I13" s="34" t="s">
        <v>22</v>
      </c>
      <c r="J13" s="35">
        <v>46309368</v>
      </c>
      <c r="K13" s="30"/>
      <c r="L13" s="29"/>
      <c r="M13" s="30"/>
      <c r="N13" s="30"/>
      <c r="O13" s="30"/>
      <c r="P13" s="30"/>
      <c r="Q13" s="30"/>
      <c r="R13" s="30"/>
      <c r="S13" s="30"/>
      <c r="T13" s="30"/>
      <c r="U13" s="30"/>
      <c r="V13" s="31"/>
    </row>
    <row r="14" spans="1:22">
      <c r="A14" s="1" t="s">
        <v>23</v>
      </c>
      <c r="B14" s="29">
        <v>0</v>
      </c>
      <c r="C14" s="30">
        <v>0</v>
      </c>
      <c r="D14" s="30">
        <v>0</v>
      </c>
      <c r="E14" s="30">
        <v>0</v>
      </c>
      <c r="F14" s="30">
        <v>0</v>
      </c>
      <c r="G14" s="31">
        <f>SUM(DC_FINANCIAL)</f>
        <v>0</v>
      </c>
      <c r="H14" s="30"/>
      <c r="I14" s="34" t="s">
        <v>24</v>
      </c>
      <c r="J14" s="35">
        <v>5205298</v>
      </c>
      <c r="K14" s="30"/>
      <c r="L14" s="29"/>
      <c r="M14" s="30"/>
      <c r="N14" s="30"/>
      <c r="O14" s="30"/>
      <c r="P14" s="30"/>
      <c r="Q14" s="30"/>
      <c r="R14" s="30"/>
      <c r="S14" s="30"/>
      <c r="T14" s="30"/>
      <c r="U14" s="30"/>
      <c r="V14" s="31"/>
    </row>
    <row r="15" spans="1:22">
      <c r="A15" s="1" t="s">
        <v>25</v>
      </c>
      <c r="B15" s="29">
        <v>0</v>
      </c>
      <c r="C15" s="30">
        <v>0</v>
      </c>
      <c r="D15" s="30">
        <v>0</v>
      </c>
      <c r="E15" s="30">
        <v>0</v>
      </c>
      <c r="F15" s="30">
        <v>0</v>
      </c>
      <c r="G15" s="31">
        <f>SUM(FL_FINANCIAL)</f>
        <v>0</v>
      </c>
      <c r="H15" s="30"/>
      <c r="I15" s="34" t="s">
        <v>26</v>
      </c>
      <c r="J15" s="35">
        <v>0</v>
      </c>
      <c r="K15" s="30"/>
      <c r="L15" s="29"/>
      <c r="M15" s="30"/>
      <c r="N15" s="30"/>
      <c r="O15" s="30"/>
      <c r="P15" s="30"/>
      <c r="Q15" s="30"/>
      <c r="R15" s="30"/>
      <c r="S15" s="30"/>
      <c r="T15" s="30"/>
      <c r="U15" s="30"/>
      <c r="V15" s="31"/>
    </row>
    <row r="16" spans="1:22">
      <c r="A16" s="1" t="s">
        <v>27</v>
      </c>
      <c r="B16" s="29">
        <v>0</v>
      </c>
      <c r="C16" s="30">
        <v>0</v>
      </c>
      <c r="D16" s="30">
        <v>0</v>
      </c>
      <c r="E16" s="30">
        <v>0</v>
      </c>
      <c r="F16" s="30">
        <v>0</v>
      </c>
      <c r="G16" s="31">
        <f>SUM(GA_FINANCIAL)</f>
        <v>0</v>
      </c>
      <c r="H16" s="30"/>
      <c r="I16" s="34" t="s">
        <v>28</v>
      </c>
      <c r="J16" s="35">
        <v>0</v>
      </c>
      <c r="K16" s="30"/>
      <c r="L16" s="29"/>
      <c r="M16" s="30"/>
      <c r="N16" s="30"/>
      <c r="O16" s="30"/>
      <c r="P16" s="30"/>
      <c r="Q16" s="30"/>
      <c r="R16" s="30"/>
      <c r="S16" s="30"/>
      <c r="T16" s="30"/>
      <c r="U16" s="30"/>
      <c r="V16" s="31"/>
    </row>
    <row r="17" spans="1:22">
      <c r="A17" s="1" t="s">
        <v>29</v>
      </c>
      <c r="B17" s="29">
        <v>0</v>
      </c>
      <c r="C17" s="30">
        <v>0</v>
      </c>
      <c r="D17" s="30">
        <v>0</v>
      </c>
      <c r="E17" s="30">
        <v>0</v>
      </c>
      <c r="F17" s="30">
        <v>0</v>
      </c>
      <c r="G17" s="31">
        <f>SUM(HI_FINANCIAL)</f>
        <v>0</v>
      </c>
      <c r="H17" s="30"/>
      <c r="I17" s="34"/>
      <c r="J17" s="35"/>
      <c r="K17" s="30"/>
      <c r="L17" s="29"/>
      <c r="M17" s="30"/>
      <c r="N17" s="30"/>
      <c r="O17" s="30"/>
      <c r="P17" s="30"/>
      <c r="Q17" s="30"/>
      <c r="R17" s="30"/>
      <c r="S17" s="30"/>
      <c r="T17" s="30"/>
      <c r="U17" s="30"/>
      <c r="V17" s="31"/>
    </row>
    <row r="18" spans="1:22">
      <c r="A18" s="1" t="s">
        <v>30</v>
      </c>
      <c r="B18" s="29">
        <v>0</v>
      </c>
      <c r="C18" s="30">
        <v>0</v>
      </c>
      <c r="D18" s="30">
        <v>0</v>
      </c>
      <c r="E18" s="30">
        <v>0</v>
      </c>
      <c r="F18" s="30">
        <v>0</v>
      </c>
      <c r="G18" s="31">
        <f>SUM(ID_FINANCIAL)</f>
        <v>0</v>
      </c>
      <c r="H18" s="30"/>
      <c r="I18" s="34" t="s">
        <v>31</v>
      </c>
      <c r="J18" s="35"/>
      <c r="K18" s="30"/>
      <c r="L18" s="29"/>
      <c r="M18" s="30"/>
      <c r="N18" s="30"/>
      <c r="O18" s="30"/>
      <c r="P18" s="30"/>
      <c r="Q18" s="30"/>
      <c r="R18" s="30"/>
      <c r="S18" s="30"/>
      <c r="T18" s="30"/>
      <c r="U18" s="30"/>
      <c r="V18" s="31"/>
    </row>
    <row r="19" spans="1:22">
      <c r="A19" s="1" t="s">
        <v>32</v>
      </c>
      <c r="B19" s="29">
        <v>0</v>
      </c>
      <c r="C19" s="30">
        <v>0</v>
      </c>
      <c r="D19" s="30">
        <v>0</v>
      </c>
      <c r="E19" s="30">
        <v>0</v>
      </c>
      <c r="F19" s="30">
        <v>0</v>
      </c>
      <c r="G19" s="31">
        <f>SUM(IL_FINANCIAL)</f>
        <v>0</v>
      </c>
      <c r="H19" s="30"/>
      <c r="I19" s="34" t="s">
        <v>33</v>
      </c>
      <c r="J19" s="35">
        <v>0</v>
      </c>
      <c r="K19" s="30"/>
      <c r="L19" s="29"/>
      <c r="M19" s="30"/>
      <c r="N19" s="30"/>
      <c r="O19" s="30"/>
      <c r="P19" s="30"/>
      <c r="Q19" s="30"/>
      <c r="R19" s="30"/>
      <c r="S19" s="30"/>
      <c r="T19" s="30"/>
      <c r="U19" s="30"/>
      <c r="V19" s="31"/>
    </row>
    <row r="20" spans="1:22">
      <c r="A20" s="1" t="s">
        <v>34</v>
      </c>
      <c r="B20" s="29">
        <v>0</v>
      </c>
      <c r="C20" s="30">
        <v>0</v>
      </c>
      <c r="D20" s="30">
        <v>0</v>
      </c>
      <c r="E20" s="30">
        <v>0</v>
      </c>
      <c r="F20" s="30">
        <v>0</v>
      </c>
      <c r="G20" s="31">
        <f>SUM(IN_FINANCIAL)</f>
        <v>0</v>
      </c>
      <c r="H20" s="30"/>
      <c r="I20" s="34" t="s">
        <v>35</v>
      </c>
      <c r="J20" s="35">
        <v>46309368</v>
      </c>
      <c r="K20" s="30"/>
      <c r="L20" s="29"/>
      <c r="M20" s="30"/>
      <c r="N20" s="30"/>
      <c r="O20" s="30"/>
      <c r="P20" s="30"/>
      <c r="Q20" s="30"/>
      <c r="R20" s="30"/>
      <c r="S20" s="30"/>
      <c r="T20" s="30"/>
      <c r="U20" s="30"/>
      <c r="V20" s="31"/>
    </row>
    <row r="21" spans="1:22">
      <c r="A21" s="1" t="s">
        <v>36</v>
      </c>
      <c r="B21" s="29">
        <v>0</v>
      </c>
      <c r="C21" s="30">
        <v>0</v>
      </c>
      <c r="D21" s="30">
        <v>0</v>
      </c>
      <c r="E21" s="30">
        <v>0</v>
      </c>
      <c r="F21" s="30">
        <v>0</v>
      </c>
      <c r="G21" s="31">
        <f>SUM(IA_FINANCIAL)</f>
        <v>0</v>
      </c>
      <c r="H21" s="30"/>
      <c r="I21" s="34" t="s">
        <v>37</v>
      </c>
      <c r="J21" s="35"/>
      <c r="K21" s="30"/>
      <c r="L21" s="29"/>
      <c r="M21" s="30"/>
      <c r="N21" s="30"/>
      <c r="O21" s="30"/>
      <c r="P21" s="30"/>
      <c r="Q21" s="30"/>
      <c r="R21" s="30"/>
      <c r="S21" s="30"/>
      <c r="T21" s="30"/>
      <c r="U21" s="30"/>
      <c r="V21" s="31"/>
    </row>
    <row r="22" spans="1:22">
      <c r="A22" s="1" t="s">
        <v>38</v>
      </c>
      <c r="B22" s="29">
        <v>0</v>
      </c>
      <c r="C22" s="30">
        <v>0</v>
      </c>
      <c r="D22" s="30">
        <v>0</v>
      </c>
      <c r="E22" s="30">
        <v>0</v>
      </c>
      <c r="F22" s="30">
        <v>0</v>
      </c>
      <c r="G22" s="31">
        <f>SUM(KS_FINANCIAL)</f>
        <v>0</v>
      </c>
      <c r="H22" s="30"/>
      <c r="I22" s="34" t="s">
        <v>39</v>
      </c>
      <c r="J22" s="35">
        <v>0</v>
      </c>
      <c r="K22" s="30"/>
      <c r="L22" s="29"/>
      <c r="M22" s="30"/>
      <c r="N22" s="30"/>
      <c r="O22" s="30"/>
      <c r="P22" s="30"/>
      <c r="Q22" s="30"/>
      <c r="R22" s="30"/>
      <c r="S22" s="30"/>
      <c r="T22" s="30"/>
      <c r="U22" s="30"/>
      <c r="V22" s="31"/>
    </row>
    <row r="23" spans="1:22">
      <c r="A23" s="1" t="s">
        <v>40</v>
      </c>
      <c r="B23" s="29">
        <v>0</v>
      </c>
      <c r="C23" s="30">
        <v>0</v>
      </c>
      <c r="D23" s="30">
        <v>0</v>
      </c>
      <c r="E23" s="30">
        <v>0</v>
      </c>
      <c r="F23" s="30">
        <v>0</v>
      </c>
      <c r="G23" s="31">
        <f>SUM(KY_FINANCIAL)</f>
        <v>0</v>
      </c>
      <c r="H23" s="30"/>
      <c r="I23" s="34" t="s">
        <v>41</v>
      </c>
      <c r="J23" s="35"/>
      <c r="K23" s="30"/>
      <c r="L23" s="29"/>
      <c r="M23" s="30"/>
      <c r="N23" s="30"/>
      <c r="O23" s="30"/>
      <c r="P23" s="30"/>
      <c r="Q23" s="30"/>
      <c r="R23" s="30"/>
      <c r="S23" s="30"/>
      <c r="T23" s="30"/>
      <c r="U23" s="30"/>
      <c r="V23" s="31"/>
    </row>
    <row r="24" spans="1:22">
      <c r="A24" s="1" t="s">
        <v>42</v>
      </c>
      <c r="B24" s="29">
        <v>0</v>
      </c>
      <c r="C24" s="30">
        <v>0</v>
      </c>
      <c r="D24" s="30">
        <v>0</v>
      </c>
      <c r="E24" s="30">
        <v>0</v>
      </c>
      <c r="F24" s="30">
        <v>0</v>
      </c>
      <c r="G24" s="31">
        <f>SUM(LA_FINANCIAL)</f>
        <v>0</v>
      </c>
      <c r="H24" s="30"/>
      <c r="I24" s="34" t="s">
        <v>43</v>
      </c>
      <c r="J24" s="35">
        <v>43125948</v>
      </c>
      <c r="K24" s="30"/>
      <c r="L24" s="29"/>
      <c r="M24" s="30"/>
      <c r="N24" s="30"/>
      <c r="O24" s="30"/>
      <c r="P24" s="30"/>
      <c r="Q24" s="30"/>
      <c r="R24" s="30"/>
      <c r="S24" s="30"/>
      <c r="T24" s="30"/>
      <c r="U24" s="30"/>
      <c r="V24" s="31"/>
    </row>
    <row r="25" spans="1:22">
      <c r="A25" s="1" t="s">
        <v>44</v>
      </c>
      <c r="B25" s="29">
        <v>0</v>
      </c>
      <c r="C25" s="30">
        <v>0</v>
      </c>
      <c r="D25" s="30">
        <v>0</v>
      </c>
      <c r="E25" s="30">
        <v>0</v>
      </c>
      <c r="F25" s="30">
        <v>0</v>
      </c>
      <c r="G25" s="31">
        <f>SUM(ME_FINANCIAL)</f>
        <v>0</v>
      </c>
      <c r="H25" s="30"/>
      <c r="I25" s="34"/>
      <c r="J25" s="35"/>
      <c r="K25" s="30"/>
      <c r="L25" s="29"/>
      <c r="M25" s="30"/>
      <c r="N25" s="30"/>
      <c r="O25" s="30"/>
      <c r="P25" s="30"/>
      <c r="Q25" s="30"/>
      <c r="R25" s="30"/>
      <c r="S25" s="30"/>
      <c r="T25" s="30"/>
      <c r="U25" s="30"/>
      <c r="V25" s="31"/>
    </row>
    <row r="26" spans="1:22">
      <c r="A26" s="1" t="s">
        <v>45</v>
      </c>
      <c r="B26" s="29">
        <v>0</v>
      </c>
      <c r="C26" s="30">
        <v>0</v>
      </c>
      <c r="D26" s="30">
        <v>0</v>
      </c>
      <c r="E26" s="30">
        <v>0</v>
      </c>
      <c r="F26" s="30">
        <v>0</v>
      </c>
      <c r="G26" s="31">
        <f>SUM(MD_FINANCIAL)</f>
        <v>0</v>
      </c>
      <c r="H26" s="30"/>
      <c r="I26" s="34" t="s">
        <v>46</v>
      </c>
      <c r="J26" s="35">
        <f>SUM(ADD_FINANCIAL)-SUM(LESS_FINANCIAL)</f>
        <v>8388718</v>
      </c>
      <c r="K26" s="30"/>
      <c r="L26" s="29"/>
      <c r="M26" s="30"/>
      <c r="N26" s="30"/>
      <c r="O26" s="30"/>
      <c r="P26" s="30"/>
      <c r="Q26" s="30"/>
      <c r="R26" s="30"/>
      <c r="S26" s="30"/>
      <c r="T26" s="30"/>
      <c r="U26" s="30"/>
      <c r="V26" s="31"/>
    </row>
    <row r="27" spans="1:22">
      <c r="A27" s="1" t="s">
        <v>47</v>
      </c>
      <c r="B27" s="29">
        <v>0</v>
      </c>
      <c r="C27" s="30">
        <v>0</v>
      </c>
      <c r="D27" s="30">
        <v>0</v>
      </c>
      <c r="E27" s="30">
        <v>0</v>
      </c>
      <c r="F27" s="30">
        <v>0</v>
      </c>
      <c r="G27" s="31">
        <f>SUM(MA_FINANCIAL)</f>
        <v>0</v>
      </c>
      <c r="H27" s="30"/>
      <c r="I27" s="34" t="s">
        <v>48</v>
      </c>
      <c r="J27" s="35">
        <f>SUM(ALL_BLOCKS)</f>
        <v>8388718</v>
      </c>
      <c r="K27" s="30"/>
      <c r="L27" s="29"/>
      <c r="M27" s="30"/>
      <c r="N27" s="30"/>
      <c r="O27" s="30"/>
      <c r="P27" s="30"/>
      <c r="Q27" s="30"/>
      <c r="R27" s="30"/>
      <c r="S27" s="30"/>
      <c r="T27" s="30"/>
      <c r="U27" s="30"/>
      <c r="V27" s="31"/>
    </row>
    <row r="28" spans="1:22">
      <c r="A28" s="1" t="s">
        <v>49</v>
      </c>
      <c r="B28" s="29">
        <v>0</v>
      </c>
      <c r="C28" s="30">
        <v>0</v>
      </c>
      <c r="D28" s="30">
        <v>0</v>
      </c>
      <c r="E28" s="30">
        <v>0</v>
      </c>
      <c r="F28" s="30">
        <v>0</v>
      </c>
      <c r="G28" s="31">
        <f>SUM(MI_FINANCIAL)</f>
        <v>0</v>
      </c>
      <c r="H28" s="30"/>
      <c r="I28" s="36"/>
      <c r="J28" s="37"/>
      <c r="K28" s="30"/>
      <c r="L28" s="29"/>
      <c r="M28" s="30"/>
      <c r="N28" s="30"/>
      <c r="O28" s="30"/>
      <c r="P28" s="30"/>
      <c r="Q28" s="30"/>
      <c r="R28" s="30"/>
      <c r="S28" s="30"/>
      <c r="T28" s="30"/>
      <c r="U28" s="30"/>
      <c r="V28" s="31"/>
    </row>
    <row r="29" spans="1:22">
      <c r="A29" s="1" t="s">
        <v>50</v>
      </c>
      <c r="B29" s="29">
        <v>0</v>
      </c>
      <c r="C29" s="30">
        <v>0</v>
      </c>
      <c r="D29" s="30">
        <v>0</v>
      </c>
      <c r="E29" s="30">
        <v>0</v>
      </c>
      <c r="F29" s="30">
        <v>0</v>
      </c>
      <c r="G29" s="31">
        <f>SUM(MN_FINANCIAL)</f>
        <v>0</v>
      </c>
      <c r="H29" s="30"/>
      <c r="I29" s="30"/>
      <c r="J29" s="30"/>
      <c r="K29" s="30"/>
      <c r="L29" s="29"/>
      <c r="M29" s="30"/>
      <c r="N29" s="30"/>
      <c r="O29" s="30"/>
      <c r="P29" s="30"/>
      <c r="Q29" s="30"/>
      <c r="R29" s="30"/>
      <c r="S29" s="30"/>
      <c r="T29" s="30"/>
      <c r="U29" s="30"/>
      <c r="V29" s="31"/>
    </row>
    <row r="30" spans="1:22">
      <c r="A30" s="1" t="s">
        <v>51</v>
      </c>
      <c r="B30" s="29">
        <v>0</v>
      </c>
      <c r="C30" s="30">
        <v>0</v>
      </c>
      <c r="D30" s="30">
        <v>0</v>
      </c>
      <c r="E30" s="30">
        <v>0</v>
      </c>
      <c r="F30" s="30">
        <v>0</v>
      </c>
      <c r="G30" s="31">
        <f>SUM(MS_FINANCIAL)</f>
        <v>0</v>
      </c>
      <c r="H30" s="30"/>
      <c r="I30" s="30"/>
      <c r="J30" s="30"/>
      <c r="K30" s="30"/>
      <c r="L30" s="29"/>
      <c r="M30" s="30"/>
      <c r="N30" s="30"/>
      <c r="O30" s="30"/>
      <c r="P30" s="30"/>
      <c r="Q30" s="30"/>
      <c r="R30" s="30"/>
      <c r="S30" s="30"/>
      <c r="T30" s="30"/>
      <c r="U30" s="30"/>
      <c r="V30" s="31"/>
    </row>
    <row r="31" spans="1:22">
      <c r="A31" s="1" t="s">
        <v>52</v>
      </c>
      <c r="B31" s="29">
        <v>0</v>
      </c>
      <c r="C31" s="30">
        <v>0</v>
      </c>
      <c r="D31" s="30">
        <v>0</v>
      </c>
      <c r="E31" s="30">
        <v>0</v>
      </c>
      <c r="F31" s="30">
        <v>0</v>
      </c>
      <c r="G31" s="31">
        <f>SUM(MO_FINANCIAL)</f>
        <v>0</v>
      </c>
      <c r="H31" s="30"/>
      <c r="I31" s="30"/>
      <c r="J31" s="30"/>
      <c r="K31" s="30"/>
      <c r="L31" s="29"/>
      <c r="M31" s="30"/>
      <c r="N31" s="30"/>
      <c r="O31" s="30"/>
      <c r="P31" s="30"/>
      <c r="Q31" s="30"/>
      <c r="R31" s="30"/>
      <c r="S31" s="30"/>
      <c r="T31" s="30"/>
      <c r="U31" s="30"/>
      <c r="V31" s="31"/>
    </row>
    <row r="32" spans="1:22">
      <c r="A32" s="1" t="s">
        <v>53</v>
      </c>
      <c r="B32" s="29">
        <v>0</v>
      </c>
      <c r="C32" s="30">
        <v>0</v>
      </c>
      <c r="D32" s="30">
        <v>0</v>
      </c>
      <c r="E32" s="30">
        <v>0</v>
      </c>
      <c r="F32" s="30">
        <v>0</v>
      </c>
      <c r="G32" s="31">
        <f>SUM(MT_FINANCIAL)</f>
        <v>0</v>
      </c>
      <c r="H32" s="30"/>
      <c r="I32" s="30"/>
      <c r="J32" s="30"/>
      <c r="K32" s="30"/>
      <c r="L32" s="29"/>
      <c r="M32" s="30"/>
      <c r="N32" s="30"/>
      <c r="O32" s="30"/>
      <c r="P32" s="30"/>
      <c r="Q32" s="30"/>
      <c r="R32" s="30"/>
      <c r="S32" s="30"/>
      <c r="T32" s="30"/>
      <c r="U32" s="30"/>
      <c r="V32" s="31"/>
    </row>
    <row r="33" spans="1:22">
      <c r="A33" s="1" t="s">
        <v>54</v>
      </c>
      <c r="B33" s="29">
        <v>0</v>
      </c>
      <c r="C33" s="30">
        <v>0</v>
      </c>
      <c r="D33" s="30">
        <v>0</v>
      </c>
      <c r="E33" s="30">
        <v>0</v>
      </c>
      <c r="F33" s="30">
        <v>0</v>
      </c>
      <c r="G33" s="31">
        <f>SUM(NE_FINANCIAL)</f>
        <v>0</v>
      </c>
      <c r="H33" s="30"/>
      <c r="I33" s="30"/>
      <c r="J33" s="30"/>
      <c r="K33" s="30"/>
      <c r="L33" s="29"/>
      <c r="M33" s="30"/>
      <c r="N33" s="30"/>
      <c r="O33" s="30"/>
      <c r="P33" s="30"/>
      <c r="Q33" s="30"/>
      <c r="R33" s="30"/>
      <c r="S33" s="30"/>
      <c r="T33" s="30"/>
      <c r="U33" s="30"/>
      <c r="V33" s="31"/>
    </row>
    <row r="34" spans="1:22">
      <c r="A34" s="1" t="s">
        <v>55</v>
      </c>
      <c r="B34" s="29">
        <v>0</v>
      </c>
      <c r="C34" s="30">
        <v>0</v>
      </c>
      <c r="D34" s="30">
        <v>0</v>
      </c>
      <c r="E34" s="30">
        <v>0</v>
      </c>
      <c r="F34" s="30">
        <v>0</v>
      </c>
      <c r="G34" s="31">
        <f>SUM(NV_FINANCIAL)</f>
        <v>0</v>
      </c>
      <c r="H34" s="30"/>
      <c r="I34" s="30"/>
      <c r="J34" s="30"/>
      <c r="K34" s="30"/>
      <c r="L34" s="29"/>
      <c r="M34" s="30"/>
      <c r="N34" s="30"/>
      <c r="O34" s="30"/>
      <c r="P34" s="30"/>
      <c r="Q34" s="30"/>
      <c r="R34" s="30"/>
      <c r="S34" s="30"/>
      <c r="T34" s="30"/>
      <c r="U34" s="30"/>
      <c r="V34" s="31"/>
    </row>
    <row r="35" spans="1:22">
      <c r="A35" s="1" t="s">
        <v>56</v>
      </c>
      <c r="B35" s="29">
        <v>0</v>
      </c>
      <c r="C35" s="30">
        <v>0</v>
      </c>
      <c r="D35" s="30">
        <v>0</v>
      </c>
      <c r="E35" s="30">
        <v>0</v>
      </c>
      <c r="F35" s="30">
        <v>0</v>
      </c>
      <c r="G35" s="31">
        <f>SUM(NH_FINANCIAL)</f>
        <v>0</v>
      </c>
      <c r="H35" s="30"/>
      <c r="I35" s="30"/>
      <c r="J35" s="30"/>
      <c r="K35" s="30"/>
      <c r="L35" s="29"/>
      <c r="M35" s="30"/>
      <c r="N35" s="30"/>
      <c r="O35" s="30"/>
      <c r="P35" s="30"/>
      <c r="Q35" s="30"/>
      <c r="R35" s="30"/>
      <c r="S35" s="30"/>
      <c r="T35" s="30"/>
      <c r="U35" s="30"/>
      <c r="V35" s="31"/>
    </row>
    <row r="36" spans="1:22">
      <c r="A36" s="1" t="s">
        <v>57</v>
      </c>
      <c r="B36" s="29">
        <v>0</v>
      </c>
      <c r="C36" s="30">
        <v>0</v>
      </c>
      <c r="D36" s="30">
        <v>0</v>
      </c>
      <c r="E36" s="30">
        <v>0</v>
      </c>
      <c r="F36" s="30">
        <v>0</v>
      </c>
      <c r="G36" s="31">
        <f>SUM(NJ_FINANCIAL)</f>
        <v>0</v>
      </c>
      <c r="H36" s="30"/>
      <c r="I36" s="30"/>
      <c r="J36" s="30"/>
      <c r="K36" s="30"/>
      <c r="L36" s="29"/>
      <c r="M36" s="30"/>
      <c r="N36" s="30"/>
      <c r="O36" s="30"/>
      <c r="P36" s="30"/>
      <c r="Q36" s="30"/>
      <c r="R36" s="30"/>
      <c r="S36" s="30"/>
      <c r="T36" s="30"/>
      <c r="U36" s="30"/>
      <c r="V36" s="31"/>
    </row>
    <row r="37" spans="1:22">
      <c r="A37" s="1" t="s">
        <v>58</v>
      </c>
      <c r="B37" s="29">
        <v>0</v>
      </c>
      <c r="C37" s="30">
        <v>0</v>
      </c>
      <c r="D37" s="30">
        <v>0</v>
      </c>
      <c r="E37" s="30">
        <v>0</v>
      </c>
      <c r="F37" s="30">
        <v>0</v>
      </c>
      <c r="G37" s="31">
        <f>SUM(NM_FINANCIAL)</f>
        <v>0</v>
      </c>
      <c r="H37" s="30"/>
      <c r="I37" s="30"/>
      <c r="J37" s="30"/>
      <c r="K37" s="30"/>
      <c r="L37" s="29"/>
      <c r="M37" s="30"/>
      <c r="N37" s="30"/>
      <c r="O37" s="30"/>
      <c r="P37" s="30"/>
      <c r="Q37" s="30"/>
      <c r="R37" s="30"/>
      <c r="S37" s="30"/>
      <c r="T37" s="30"/>
      <c r="U37" s="30"/>
      <c r="V37" s="31"/>
    </row>
    <row r="38" spans="1:22">
      <c r="A38" s="1" t="s">
        <v>59</v>
      </c>
      <c r="B38" s="29">
        <v>0</v>
      </c>
      <c r="C38" s="30">
        <v>0</v>
      </c>
      <c r="D38" s="30">
        <v>0</v>
      </c>
      <c r="E38" s="30">
        <v>0</v>
      </c>
      <c r="F38" s="30">
        <v>0</v>
      </c>
      <c r="G38" s="31">
        <f>SUM(NY_FINANCIAL)</f>
        <v>0</v>
      </c>
      <c r="H38" s="30"/>
      <c r="I38" s="30"/>
      <c r="J38" s="30"/>
      <c r="K38" s="30"/>
      <c r="L38" s="29"/>
      <c r="M38" s="30"/>
      <c r="N38" s="30"/>
      <c r="O38" s="30"/>
      <c r="P38" s="30"/>
      <c r="Q38" s="30"/>
      <c r="R38" s="30"/>
      <c r="S38" s="30"/>
      <c r="T38" s="30"/>
      <c r="U38" s="30"/>
      <c r="V38" s="31"/>
    </row>
    <row r="39" spans="1:22">
      <c r="A39" s="1" t="s">
        <v>60</v>
      </c>
      <c r="B39" s="29">
        <v>0</v>
      </c>
      <c r="C39" s="30">
        <v>0</v>
      </c>
      <c r="D39" s="30">
        <v>0</v>
      </c>
      <c r="E39" s="30">
        <v>0</v>
      </c>
      <c r="F39" s="30">
        <v>0</v>
      </c>
      <c r="G39" s="31">
        <f>SUM(NC_FINANCIAL)</f>
        <v>0</v>
      </c>
      <c r="H39" s="30"/>
      <c r="I39" s="30"/>
      <c r="J39" s="30"/>
      <c r="K39" s="30"/>
      <c r="L39" s="29"/>
      <c r="M39" s="30"/>
      <c r="N39" s="30"/>
      <c r="O39" s="30"/>
      <c r="P39" s="30"/>
      <c r="Q39" s="30"/>
      <c r="R39" s="30"/>
      <c r="S39" s="30"/>
      <c r="T39" s="30"/>
      <c r="U39" s="30"/>
      <c r="V39" s="31"/>
    </row>
    <row r="40" spans="1:22">
      <c r="A40" s="1" t="s">
        <v>61</v>
      </c>
      <c r="B40" s="29">
        <v>0</v>
      </c>
      <c r="C40" s="30">
        <v>0</v>
      </c>
      <c r="D40" s="30">
        <v>0</v>
      </c>
      <c r="E40" s="30">
        <v>0</v>
      </c>
      <c r="F40" s="30">
        <v>0</v>
      </c>
      <c r="G40" s="31">
        <f>SUM(ND_FINANCIAL)</f>
        <v>0</v>
      </c>
      <c r="H40" s="30"/>
      <c r="I40" s="30"/>
      <c r="J40" s="30"/>
      <c r="K40" s="30"/>
      <c r="L40" s="29"/>
      <c r="M40" s="30"/>
      <c r="N40" s="30"/>
      <c r="O40" s="30"/>
      <c r="P40" s="30"/>
      <c r="Q40" s="30"/>
      <c r="R40" s="30"/>
      <c r="S40" s="30"/>
      <c r="T40" s="30"/>
      <c r="U40" s="30"/>
      <c r="V40" s="31"/>
    </row>
    <row r="41" spans="1:22">
      <c r="A41" s="1" t="s">
        <v>62</v>
      </c>
      <c r="B41" s="29">
        <v>0</v>
      </c>
      <c r="C41" s="30">
        <v>0</v>
      </c>
      <c r="D41" s="30">
        <v>8388718</v>
      </c>
      <c r="E41" s="30">
        <v>0</v>
      </c>
      <c r="F41" s="30">
        <v>0</v>
      </c>
      <c r="G41" s="31">
        <f>SUM(OH_FINANCIAL)</f>
        <v>8388718</v>
      </c>
      <c r="H41" s="30"/>
      <c r="I41" s="30"/>
      <c r="J41" s="30"/>
      <c r="K41" s="30"/>
      <c r="L41" s="29">
        <v>0</v>
      </c>
      <c r="M41" s="30">
        <v>0</v>
      </c>
      <c r="N41" s="30"/>
      <c r="O41" s="30">
        <v>0</v>
      </c>
      <c r="P41" s="30">
        <v>0</v>
      </c>
      <c r="Q41" s="30"/>
      <c r="R41" s="30">
        <v>40000000</v>
      </c>
      <c r="S41" s="30">
        <v>0</v>
      </c>
      <c r="T41" s="30"/>
      <c r="U41" s="30">
        <v>0</v>
      </c>
      <c r="V41" s="31">
        <v>0</v>
      </c>
    </row>
    <row r="42" spans="1:22">
      <c r="A42" s="1" t="s">
        <v>63</v>
      </c>
      <c r="B42" s="29">
        <v>0</v>
      </c>
      <c r="C42" s="30">
        <v>0</v>
      </c>
      <c r="D42" s="30">
        <v>0</v>
      </c>
      <c r="E42" s="30">
        <v>0</v>
      </c>
      <c r="F42" s="30">
        <v>0</v>
      </c>
      <c r="G42" s="31">
        <f>SUM(OK_FINANCIAL)</f>
        <v>0</v>
      </c>
      <c r="H42" s="30"/>
      <c r="I42" s="30"/>
      <c r="J42" s="30"/>
      <c r="K42" s="30"/>
      <c r="L42" s="29"/>
      <c r="M42" s="30"/>
      <c r="N42" s="30"/>
      <c r="O42" s="30"/>
      <c r="P42" s="30"/>
      <c r="Q42" s="30"/>
      <c r="R42" s="30"/>
      <c r="S42" s="30"/>
      <c r="T42" s="30"/>
      <c r="U42" s="30"/>
      <c r="V42" s="31"/>
    </row>
    <row r="43" spans="1:22">
      <c r="A43" s="1" t="s">
        <v>64</v>
      </c>
      <c r="B43" s="29">
        <v>0</v>
      </c>
      <c r="C43" s="30">
        <v>0</v>
      </c>
      <c r="D43" s="30">
        <v>0</v>
      </c>
      <c r="E43" s="30">
        <v>0</v>
      </c>
      <c r="F43" s="30">
        <v>0</v>
      </c>
      <c r="G43" s="31">
        <f>SUM(OR_FINANCIAL)</f>
        <v>0</v>
      </c>
      <c r="H43" s="30"/>
      <c r="I43" s="30"/>
      <c r="J43" s="30"/>
      <c r="K43" s="30"/>
      <c r="L43" s="29"/>
      <c r="M43" s="30"/>
      <c r="N43" s="30"/>
      <c r="O43" s="30"/>
      <c r="P43" s="30"/>
      <c r="Q43" s="30"/>
      <c r="R43" s="30"/>
      <c r="S43" s="30"/>
      <c r="T43" s="30"/>
      <c r="U43" s="30"/>
      <c r="V43" s="31"/>
    </row>
    <row r="44" spans="1:22">
      <c r="A44" s="1" t="s">
        <v>65</v>
      </c>
      <c r="B44" s="29">
        <v>0</v>
      </c>
      <c r="C44" s="30">
        <v>0</v>
      </c>
      <c r="D44" s="30">
        <v>0</v>
      </c>
      <c r="E44" s="30">
        <v>0</v>
      </c>
      <c r="F44" s="30">
        <v>0</v>
      </c>
      <c r="G44" s="31">
        <f>SUM(PA_FINANCIAL)</f>
        <v>0</v>
      </c>
      <c r="H44" s="30"/>
      <c r="I44" s="30"/>
      <c r="J44" s="30"/>
      <c r="K44" s="30"/>
      <c r="L44" s="29"/>
      <c r="M44" s="30"/>
      <c r="N44" s="30"/>
      <c r="O44" s="30"/>
      <c r="P44" s="30"/>
      <c r="Q44" s="30"/>
      <c r="R44" s="30"/>
      <c r="S44" s="30"/>
      <c r="T44" s="30"/>
      <c r="U44" s="30"/>
      <c r="V44" s="31"/>
    </row>
    <row r="45" spans="1:22">
      <c r="A45" s="1" t="s">
        <v>66</v>
      </c>
      <c r="B45" s="29">
        <v>0</v>
      </c>
      <c r="C45" s="30">
        <v>0</v>
      </c>
      <c r="D45" s="30">
        <v>0</v>
      </c>
      <c r="E45" s="30">
        <v>0</v>
      </c>
      <c r="F45" s="30">
        <v>0</v>
      </c>
      <c r="G45" s="31">
        <f>SUM(PR_FINANCIAL)</f>
        <v>0</v>
      </c>
      <c r="H45" s="30"/>
      <c r="I45" s="30"/>
      <c r="J45" s="30"/>
      <c r="K45" s="30"/>
      <c r="L45" s="29"/>
      <c r="M45" s="30"/>
      <c r="N45" s="30"/>
      <c r="O45" s="30"/>
      <c r="P45" s="30"/>
      <c r="Q45" s="30"/>
      <c r="R45" s="30"/>
      <c r="S45" s="30"/>
      <c r="T45" s="30"/>
      <c r="U45" s="30"/>
      <c r="V45" s="31"/>
    </row>
    <row r="46" spans="1:22">
      <c r="A46" s="1" t="s">
        <v>67</v>
      </c>
      <c r="B46" s="29">
        <v>0</v>
      </c>
      <c r="C46" s="30">
        <v>0</v>
      </c>
      <c r="D46" s="30">
        <v>0</v>
      </c>
      <c r="E46" s="30">
        <v>0</v>
      </c>
      <c r="F46" s="30">
        <v>0</v>
      </c>
      <c r="G46" s="31">
        <f>SUM(RI_FINANCIAL)</f>
        <v>0</v>
      </c>
      <c r="H46" s="30"/>
      <c r="I46" s="30"/>
      <c r="J46" s="30"/>
      <c r="K46" s="30"/>
      <c r="L46" s="29"/>
      <c r="M46" s="30"/>
      <c r="N46" s="30"/>
      <c r="O46" s="30"/>
      <c r="P46" s="30"/>
      <c r="Q46" s="30"/>
      <c r="R46" s="30"/>
      <c r="S46" s="30"/>
      <c r="T46" s="30"/>
      <c r="U46" s="30"/>
      <c r="V46" s="31"/>
    </row>
    <row r="47" spans="1:22">
      <c r="A47" s="1" t="s">
        <v>68</v>
      </c>
      <c r="B47" s="29">
        <v>0</v>
      </c>
      <c r="C47" s="30">
        <v>0</v>
      </c>
      <c r="D47" s="30">
        <v>0</v>
      </c>
      <c r="E47" s="30">
        <v>0</v>
      </c>
      <c r="F47" s="30">
        <v>0</v>
      </c>
      <c r="G47" s="31">
        <f>SUM(SC_FINANCIAL)</f>
        <v>0</v>
      </c>
      <c r="H47" s="30"/>
      <c r="I47" s="30"/>
      <c r="J47" s="30"/>
      <c r="K47" s="30"/>
      <c r="L47" s="29"/>
      <c r="M47" s="30"/>
      <c r="N47" s="30"/>
      <c r="O47" s="30"/>
      <c r="P47" s="30"/>
      <c r="Q47" s="30"/>
      <c r="R47" s="30"/>
      <c r="S47" s="30"/>
      <c r="T47" s="30"/>
      <c r="U47" s="30"/>
      <c r="V47" s="31"/>
    </row>
    <row r="48" spans="1:22">
      <c r="A48" s="1" t="s">
        <v>69</v>
      </c>
      <c r="B48" s="29">
        <v>0</v>
      </c>
      <c r="C48" s="30">
        <v>0</v>
      </c>
      <c r="D48" s="30">
        <v>0</v>
      </c>
      <c r="E48" s="30">
        <v>0</v>
      </c>
      <c r="F48" s="30">
        <v>0</v>
      </c>
      <c r="G48" s="31">
        <f>SUM(SD_FINANCIAL)</f>
        <v>0</v>
      </c>
      <c r="H48" s="30"/>
      <c r="I48" s="30"/>
      <c r="J48" s="30"/>
      <c r="K48" s="30"/>
      <c r="L48" s="29"/>
      <c r="M48" s="30"/>
      <c r="N48" s="30"/>
      <c r="O48" s="30"/>
      <c r="P48" s="30"/>
      <c r="Q48" s="30"/>
      <c r="R48" s="30"/>
      <c r="S48" s="30"/>
      <c r="T48" s="30"/>
      <c r="U48" s="30"/>
      <c r="V48" s="31"/>
    </row>
    <row r="49" spans="1:22">
      <c r="A49" s="1" t="s">
        <v>70</v>
      </c>
      <c r="B49" s="29">
        <v>0</v>
      </c>
      <c r="C49" s="30">
        <v>0</v>
      </c>
      <c r="D49" s="30">
        <v>0</v>
      </c>
      <c r="E49" s="30">
        <v>0</v>
      </c>
      <c r="F49" s="30">
        <v>0</v>
      </c>
      <c r="G49" s="31">
        <f>SUM(TN_FINANCIAL)</f>
        <v>0</v>
      </c>
      <c r="H49" s="30"/>
      <c r="I49" s="30"/>
      <c r="J49" s="30"/>
      <c r="K49" s="30"/>
      <c r="L49" s="29"/>
      <c r="M49" s="30"/>
      <c r="N49" s="30"/>
      <c r="O49" s="30"/>
      <c r="P49" s="30"/>
      <c r="Q49" s="30"/>
      <c r="R49" s="30"/>
      <c r="S49" s="30"/>
      <c r="T49" s="30"/>
      <c r="U49" s="30"/>
      <c r="V49" s="31"/>
    </row>
    <row r="50" spans="1:22">
      <c r="A50" s="1" t="s">
        <v>71</v>
      </c>
      <c r="B50" s="29">
        <v>0</v>
      </c>
      <c r="C50" s="30">
        <v>0</v>
      </c>
      <c r="D50" s="30">
        <v>0</v>
      </c>
      <c r="E50" s="30">
        <v>0</v>
      </c>
      <c r="F50" s="30">
        <v>0</v>
      </c>
      <c r="G50" s="31">
        <f>SUM(TX_FINANCIAL)</f>
        <v>0</v>
      </c>
      <c r="H50" s="30"/>
      <c r="I50" s="30"/>
      <c r="J50" s="30"/>
      <c r="K50" s="30"/>
      <c r="L50" s="29"/>
      <c r="M50" s="30"/>
      <c r="N50" s="30"/>
      <c r="O50" s="30"/>
      <c r="P50" s="30"/>
      <c r="Q50" s="30"/>
      <c r="R50" s="30"/>
      <c r="S50" s="30"/>
      <c r="T50" s="30"/>
      <c r="U50" s="30"/>
      <c r="V50" s="31"/>
    </row>
    <row r="51" spans="1:22">
      <c r="A51" s="1" t="s">
        <v>72</v>
      </c>
      <c r="B51" s="29">
        <v>0</v>
      </c>
      <c r="C51" s="30">
        <v>0</v>
      </c>
      <c r="D51" s="30">
        <v>0</v>
      </c>
      <c r="E51" s="30">
        <v>0</v>
      </c>
      <c r="F51" s="30">
        <v>0</v>
      </c>
      <c r="G51" s="31">
        <f>SUM(UT_FINANCIAL)</f>
        <v>0</v>
      </c>
      <c r="H51" s="30"/>
      <c r="I51" s="30"/>
      <c r="J51" s="30"/>
      <c r="K51" s="30"/>
      <c r="L51" s="29"/>
      <c r="M51" s="30"/>
      <c r="N51" s="30"/>
      <c r="O51" s="30"/>
      <c r="P51" s="30"/>
      <c r="Q51" s="30"/>
      <c r="R51" s="30"/>
      <c r="S51" s="30"/>
      <c r="T51" s="30"/>
      <c r="U51" s="30"/>
      <c r="V51" s="31"/>
    </row>
    <row r="52" spans="1:22">
      <c r="A52" s="1" t="s">
        <v>73</v>
      </c>
      <c r="B52" s="29">
        <v>0</v>
      </c>
      <c r="C52" s="30">
        <v>0</v>
      </c>
      <c r="D52" s="30">
        <v>0</v>
      </c>
      <c r="E52" s="30">
        <v>0</v>
      </c>
      <c r="F52" s="30">
        <v>0</v>
      </c>
      <c r="G52" s="31">
        <f>SUM(VT_FINANCIAL)</f>
        <v>0</v>
      </c>
      <c r="H52" s="30"/>
      <c r="I52" s="30"/>
      <c r="J52" s="30"/>
      <c r="K52" s="30"/>
      <c r="L52" s="29"/>
      <c r="M52" s="30"/>
      <c r="N52" s="30"/>
      <c r="O52" s="30"/>
      <c r="P52" s="30"/>
      <c r="Q52" s="30"/>
      <c r="R52" s="30"/>
      <c r="S52" s="30"/>
      <c r="T52" s="30"/>
      <c r="U52" s="30"/>
      <c r="V52" s="31"/>
    </row>
    <row r="53" spans="1:22">
      <c r="A53" s="1" t="s">
        <v>74</v>
      </c>
      <c r="B53" s="29">
        <v>0</v>
      </c>
      <c r="C53" s="30">
        <v>0</v>
      </c>
      <c r="D53" s="30">
        <v>0</v>
      </c>
      <c r="E53" s="30">
        <v>0</v>
      </c>
      <c r="F53" s="30">
        <v>0</v>
      </c>
      <c r="G53" s="31">
        <f>SUM(VA_FINANCIAL)</f>
        <v>0</v>
      </c>
      <c r="H53" s="30"/>
      <c r="I53" s="30"/>
      <c r="J53" s="30"/>
      <c r="K53" s="30"/>
      <c r="L53" s="29"/>
      <c r="M53" s="30"/>
      <c r="N53" s="30"/>
      <c r="O53" s="30"/>
      <c r="P53" s="30"/>
      <c r="Q53" s="30"/>
      <c r="R53" s="30"/>
      <c r="S53" s="30"/>
      <c r="T53" s="30"/>
      <c r="U53" s="30"/>
      <c r="V53" s="31"/>
    </row>
    <row r="54" spans="1:22">
      <c r="A54" s="1" t="s">
        <v>75</v>
      </c>
      <c r="B54" s="29">
        <v>0</v>
      </c>
      <c r="C54" s="30">
        <v>0</v>
      </c>
      <c r="D54" s="30">
        <v>0</v>
      </c>
      <c r="E54" s="30">
        <v>0</v>
      </c>
      <c r="F54" s="30">
        <v>0</v>
      </c>
      <c r="G54" s="31">
        <f>SUM(WA_FINANCIAL)</f>
        <v>0</v>
      </c>
      <c r="H54" s="30"/>
      <c r="I54" s="30"/>
      <c r="J54" s="30"/>
      <c r="K54" s="30"/>
      <c r="L54" s="29"/>
      <c r="M54" s="30"/>
      <c r="N54" s="30"/>
      <c r="O54" s="30"/>
      <c r="P54" s="30"/>
      <c r="Q54" s="30"/>
      <c r="R54" s="30"/>
      <c r="S54" s="30"/>
      <c r="T54" s="30"/>
      <c r="U54" s="30"/>
      <c r="V54" s="31"/>
    </row>
    <row r="55" spans="1:22">
      <c r="A55" s="1" t="s">
        <v>76</v>
      </c>
      <c r="B55" s="29">
        <v>0</v>
      </c>
      <c r="C55" s="30">
        <v>0</v>
      </c>
      <c r="D55" s="30">
        <v>0</v>
      </c>
      <c r="E55" s="30">
        <v>0</v>
      </c>
      <c r="F55" s="30">
        <v>0</v>
      </c>
      <c r="G55" s="31">
        <f>SUM(WV_FINANCIAL)</f>
        <v>0</v>
      </c>
      <c r="H55" s="30"/>
      <c r="I55" s="30"/>
      <c r="J55" s="30"/>
      <c r="K55" s="30"/>
      <c r="L55" s="29"/>
      <c r="M55" s="30"/>
      <c r="N55" s="30"/>
      <c r="O55" s="30"/>
      <c r="P55" s="30"/>
      <c r="Q55" s="30"/>
      <c r="R55" s="30"/>
      <c r="S55" s="30"/>
      <c r="T55" s="30"/>
      <c r="U55" s="30"/>
      <c r="V55" s="31"/>
    </row>
    <row r="56" spans="1:22">
      <c r="A56" s="1" t="s">
        <v>77</v>
      </c>
      <c r="B56" s="29">
        <v>0</v>
      </c>
      <c r="C56" s="30">
        <v>0</v>
      </c>
      <c r="D56" s="30">
        <v>0</v>
      </c>
      <c r="E56" s="30">
        <v>0</v>
      </c>
      <c r="F56" s="30">
        <v>0</v>
      </c>
      <c r="G56" s="31">
        <f>SUM(WI_FINANCIAL)</f>
        <v>0</v>
      </c>
      <c r="H56" s="30"/>
      <c r="I56" s="30"/>
      <c r="J56" s="30"/>
      <c r="K56" s="30"/>
      <c r="L56" s="29"/>
      <c r="M56" s="30"/>
      <c r="N56" s="30"/>
      <c r="O56" s="30"/>
      <c r="P56" s="30"/>
      <c r="Q56" s="30"/>
      <c r="R56" s="30"/>
      <c r="S56" s="30"/>
      <c r="T56" s="30"/>
      <c r="U56" s="30"/>
      <c r="V56" s="31"/>
    </row>
    <row r="57" spans="1:22">
      <c r="A57" s="1" t="s">
        <v>78</v>
      </c>
      <c r="B57" s="29">
        <v>0</v>
      </c>
      <c r="C57" s="30">
        <v>0</v>
      </c>
      <c r="D57" s="30">
        <v>0</v>
      </c>
      <c r="E57" s="30">
        <v>0</v>
      </c>
      <c r="F57" s="30">
        <v>0</v>
      </c>
      <c r="G57" s="31">
        <f>SUM(WY_FINANCIAL)</f>
        <v>0</v>
      </c>
      <c r="H57" s="30"/>
      <c r="I57" s="30"/>
      <c r="J57" s="30"/>
      <c r="K57" s="30"/>
      <c r="L57" s="29"/>
      <c r="M57" s="30"/>
      <c r="N57" s="30"/>
      <c r="O57" s="30"/>
      <c r="P57" s="30"/>
      <c r="Q57" s="30"/>
      <c r="R57" s="30"/>
      <c r="S57" s="30"/>
      <c r="T57" s="30"/>
      <c r="U57" s="30"/>
      <c r="V57" s="31"/>
    </row>
    <row r="58" spans="1:22">
      <c r="A58" s="1" t="s">
        <v>79</v>
      </c>
      <c r="B58" s="29">
        <v>0</v>
      </c>
      <c r="C58" s="30">
        <v>0</v>
      </c>
      <c r="D58" s="30">
        <v>0</v>
      </c>
      <c r="E58" s="30">
        <v>0</v>
      </c>
      <c r="F58" s="30">
        <v>0</v>
      </c>
      <c r="G58" s="31">
        <f>SUM(OT_FINANCIAL)</f>
        <v>0</v>
      </c>
      <c r="H58" s="30"/>
      <c r="I58" s="30"/>
      <c r="J58" s="30"/>
      <c r="K58" s="30"/>
      <c r="L58" s="29"/>
      <c r="M58" s="30"/>
      <c r="N58" s="30"/>
      <c r="O58" s="30"/>
      <c r="P58" s="30"/>
      <c r="Q58" s="30"/>
      <c r="R58" s="30"/>
      <c r="S58" s="30"/>
      <c r="T58" s="30"/>
      <c r="U58" s="30"/>
      <c r="V58" s="31"/>
    </row>
    <row r="59" spans="1:22">
      <c r="B59" s="29"/>
      <c r="C59" s="30"/>
      <c r="D59" s="30"/>
      <c r="E59" s="30"/>
      <c r="F59" s="30"/>
      <c r="G59" s="31"/>
      <c r="H59" s="30"/>
      <c r="I59" s="30"/>
      <c r="J59" s="30"/>
      <c r="K59" s="30"/>
      <c r="L59" s="29"/>
      <c r="M59" s="30"/>
      <c r="N59" s="30"/>
      <c r="O59" s="30"/>
      <c r="P59" s="30"/>
      <c r="Q59" s="30"/>
      <c r="R59" s="30"/>
      <c r="S59" s="30"/>
      <c r="T59" s="30"/>
      <c r="U59" s="30"/>
      <c r="V59" s="31"/>
    </row>
    <row r="60" spans="1:22">
      <c r="A60" s="1" t="s">
        <v>8</v>
      </c>
      <c r="B60" s="29">
        <f>SUM(LIFE)</f>
        <v>0</v>
      </c>
      <c r="C60" s="30">
        <f>SUM(ALLOCATED)</f>
        <v>0</v>
      </c>
      <c r="D60" s="30">
        <f>SUM(HEALTH)</f>
        <v>8388718</v>
      </c>
      <c r="E60" s="30">
        <f>SUM(UNALLOCATED)</f>
        <v>0</v>
      </c>
      <c r="F60" s="30">
        <f>SUM(LTC)</f>
        <v>0</v>
      </c>
      <c r="G60" s="31">
        <f>SUM(ALL_BLOCKS)</f>
        <v>8388718</v>
      </c>
      <c r="H60" s="30"/>
      <c r="I60" s="30"/>
      <c r="J60" s="30"/>
      <c r="K60" s="30"/>
      <c r="L60" s="29">
        <f>SUM(LIFE_CALLED)</f>
        <v>0</v>
      </c>
      <c r="M60" s="30">
        <f>SUM(LIFE_REFUNDED)</f>
        <v>0</v>
      </c>
      <c r="N60" s="30"/>
      <c r="O60" s="30">
        <f>SUM(ALLOC_CALLED)</f>
        <v>0</v>
      </c>
      <c r="P60" s="30">
        <f>SUM(ALLOC_REFUNDED)</f>
        <v>0</v>
      </c>
      <c r="Q60" s="30"/>
      <c r="R60" s="30">
        <f>SUM(HEALTH_CALLED)</f>
        <v>40000000</v>
      </c>
      <c r="S60" s="30">
        <f>SUM(HEALTH_REFUNDED)</f>
        <v>0</v>
      </c>
      <c r="T60" s="30"/>
      <c r="U60" s="30">
        <f>SUM(UNALLOC_CALLED)</f>
        <v>0</v>
      </c>
      <c r="V60" s="31">
        <f>SUM(UNALLOC_REFUNDED)</f>
        <v>0</v>
      </c>
    </row>
    <row r="61" spans="1:22" ht="5.0999999999999996" customHeight="1">
      <c r="B61" s="8"/>
      <c r="G61" s="11"/>
      <c r="L61" s="8"/>
      <c r="V61" s="11"/>
    </row>
    <row r="62" spans="1:22">
      <c r="B62" s="8"/>
      <c r="G62" s="11"/>
      <c r="L62" s="122" t="s">
        <v>80</v>
      </c>
      <c r="M62" s="123"/>
      <c r="N62" s="123"/>
      <c r="O62" s="123"/>
      <c r="P62" s="123"/>
      <c r="Q62" s="123"/>
      <c r="R62" s="123"/>
      <c r="S62" s="123"/>
      <c r="T62" s="123"/>
      <c r="U62" s="123"/>
      <c r="V62" s="124"/>
    </row>
    <row r="63" spans="1:22">
      <c r="B63" s="8"/>
      <c r="G63" s="11"/>
      <c r="L63" s="125"/>
      <c r="M63" s="123"/>
      <c r="N63" s="123"/>
      <c r="O63" s="123"/>
      <c r="P63" s="123"/>
      <c r="Q63" s="123"/>
      <c r="R63" s="123"/>
      <c r="S63" s="123"/>
      <c r="T63" s="123"/>
      <c r="U63" s="123"/>
      <c r="V63" s="124"/>
    </row>
    <row r="64" spans="1:22">
      <c r="B64" s="10"/>
      <c r="C64" s="7"/>
      <c r="D64" s="7"/>
      <c r="E64" s="7"/>
      <c r="F64" s="7"/>
      <c r="G64" s="13"/>
      <c r="L64" s="126"/>
      <c r="M64" s="127"/>
      <c r="N64" s="127"/>
      <c r="O64" s="127"/>
      <c r="P64" s="127"/>
      <c r="Q64" s="127"/>
      <c r="R64" s="127"/>
      <c r="S64" s="127"/>
      <c r="T64" s="127"/>
      <c r="U64" s="127"/>
      <c r="V64" s="128"/>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V64"/>
  <sheetViews>
    <sheetView zoomScale="75" workbookViewId="0">
      <selection sqref="A1:XFD1048576"/>
    </sheetView>
  </sheetViews>
  <sheetFormatPr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129" t="s">
        <v>106</v>
      </c>
      <c r="B1" s="123"/>
      <c r="C1" s="123"/>
      <c r="D1" s="123"/>
      <c r="E1" s="123"/>
      <c r="F1" s="123"/>
      <c r="G1" s="123"/>
    </row>
    <row r="3" spans="1:22">
      <c r="B3" s="130" t="s">
        <v>1</v>
      </c>
      <c r="C3" s="131"/>
      <c r="D3" s="131"/>
      <c r="E3" s="131"/>
      <c r="F3" s="131"/>
      <c r="G3" s="132"/>
      <c r="L3" s="133" t="s">
        <v>2</v>
      </c>
      <c r="M3" s="134"/>
      <c r="N3" s="134"/>
      <c r="O3" s="134"/>
      <c r="P3" s="134"/>
      <c r="Q3" s="134"/>
      <c r="R3" s="134"/>
      <c r="S3" s="134"/>
      <c r="T3" s="134"/>
      <c r="U3" s="134"/>
      <c r="V3" s="135"/>
    </row>
    <row r="4" spans="1:22">
      <c r="B4" s="8"/>
      <c r="G4" s="11"/>
      <c r="L4" s="136" t="s">
        <v>3</v>
      </c>
      <c r="M4" s="137"/>
      <c r="N4" s="4"/>
      <c r="O4" s="138" t="s">
        <v>4</v>
      </c>
      <c r="P4" s="137"/>
      <c r="Q4" s="4"/>
      <c r="R4" s="138" t="s">
        <v>5</v>
      </c>
      <c r="S4" s="137"/>
      <c r="T4" s="4"/>
      <c r="U4" s="138" t="s">
        <v>6</v>
      </c>
      <c r="V4" s="139"/>
    </row>
    <row r="5" spans="1:22" ht="60" customHeight="1">
      <c r="B5" s="9" t="s">
        <v>3</v>
      </c>
      <c r="C5" s="5" t="s">
        <v>4</v>
      </c>
      <c r="D5" s="5" t="s">
        <v>5</v>
      </c>
      <c r="E5" s="5" t="s">
        <v>6</v>
      </c>
      <c r="F5" s="5" t="s">
        <v>7</v>
      </c>
      <c r="G5" s="12" t="s">
        <v>8</v>
      </c>
      <c r="L5" s="15" t="s">
        <v>9</v>
      </c>
      <c r="M5" s="14" t="s">
        <v>10</v>
      </c>
      <c r="N5" s="14"/>
      <c r="O5" s="14" t="s">
        <v>9</v>
      </c>
      <c r="P5" s="14" t="s">
        <v>10</v>
      </c>
      <c r="Q5" s="14"/>
      <c r="R5" s="14" t="s">
        <v>9</v>
      </c>
      <c r="S5" s="14" t="s">
        <v>10</v>
      </c>
      <c r="T5" s="14"/>
      <c r="U5" s="14" t="s">
        <v>9</v>
      </c>
      <c r="V5" s="16" t="s">
        <v>10</v>
      </c>
    </row>
    <row r="6" spans="1:22">
      <c r="A6" s="1" t="s">
        <v>11</v>
      </c>
      <c r="B6" s="29">
        <v>0</v>
      </c>
      <c r="C6" s="30">
        <v>0</v>
      </c>
      <c r="D6" s="30">
        <v>0</v>
      </c>
      <c r="E6" s="30">
        <v>0</v>
      </c>
      <c r="F6" s="30">
        <v>0</v>
      </c>
      <c r="G6" s="31">
        <f>SUM(AL_FINANCIAL)</f>
        <v>0</v>
      </c>
      <c r="H6" s="30"/>
      <c r="I6" s="30"/>
      <c r="J6" s="30"/>
      <c r="K6" s="30"/>
      <c r="L6" s="29"/>
      <c r="M6" s="30"/>
      <c r="N6" s="30"/>
      <c r="O6" s="30"/>
      <c r="P6" s="30"/>
      <c r="Q6" s="30"/>
      <c r="R6" s="30"/>
      <c r="S6" s="30"/>
      <c r="T6" s="30"/>
      <c r="U6" s="30"/>
      <c r="V6" s="31"/>
    </row>
    <row r="7" spans="1:22">
      <c r="A7" s="1" t="s">
        <v>12</v>
      </c>
      <c r="B7" s="29">
        <v>0</v>
      </c>
      <c r="C7" s="30">
        <v>0</v>
      </c>
      <c r="D7" s="30">
        <v>0</v>
      </c>
      <c r="E7" s="30">
        <v>0</v>
      </c>
      <c r="F7" s="30">
        <v>0</v>
      </c>
      <c r="G7" s="31">
        <f>SUM(AK_FINANCIAL)</f>
        <v>0</v>
      </c>
      <c r="H7" s="30"/>
      <c r="I7" s="32"/>
      <c r="J7" s="33"/>
      <c r="K7" s="30"/>
      <c r="L7" s="29"/>
      <c r="M7" s="30"/>
      <c r="N7" s="30"/>
      <c r="O7" s="30"/>
      <c r="P7" s="30"/>
      <c r="Q7" s="30"/>
      <c r="R7" s="30"/>
      <c r="S7" s="30"/>
      <c r="T7" s="30"/>
      <c r="U7" s="30"/>
      <c r="V7" s="31"/>
    </row>
    <row r="8" spans="1:22">
      <c r="A8" s="1" t="s">
        <v>13</v>
      </c>
      <c r="B8" s="29">
        <v>0</v>
      </c>
      <c r="C8" s="30">
        <v>0</v>
      </c>
      <c r="D8" s="30">
        <v>0</v>
      </c>
      <c r="E8" s="30">
        <v>0</v>
      </c>
      <c r="F8" s="30">
        <v>0</v>
      </c>
      <c r="G8" s="31">
        <f>SUM(AZ_FINANCIAL)</f>
        <v>0</v>
      </c>
      <c r="H8" s="30"/>
      <c r="I8" s="34" t="s">
        <v>14</v>
      </c>
      <c r="J8" s="35"/>
      <c r="K8" s="30"/>
      <c r="L8" s="29"/>
      <c r="M8" s="30"/>
      <c r="N8" s="30"/>
      <c r="O8" s="30"/>
      <c r="P8" s="30"/>
      <c r="Q8" s="30"/>
      <c r="R8" s="30"/>
      <c r="S8" s="30"/>
      <c r="T8" s="30"/>
      <c r="U8" s="30"/>
      <c r="V8" s="31"/>
    </row>
    <row r="9" spans="1:22">
      <c r="A9" s="1" t="s">
        <v>15</v>
      </c>
      <c r="B9" s="29">
        <v>0</v>
      </c>
      <c r="C9" s="30">
        <v>0</v>
      </c>
      <c r="D9" s="30">
        <v>0</v>
      </c>
      <c r="E9" s="30">
        <v>0</v>
      </c>
      <c r="F9" s="30">
        <v>0</v>
      </c>
      <c r="G9" s="31">
        <f>SUM(AR_FINANCIAL)</f>
        <v>0</v>
      </c>
      <c r="H9" s="30"/>
      <c r="I9" s="34"/>
      <c r="J9" s="35"/>
      <c r="K9" s="30"/>
      <c r="L9" s="29"/>
      <c r="M9" s="30"/>
      <c r="N9" s="30"/>
      <c r="O9" s="30"/>
      <c r="P9" s="30"/>
      <c r="Q9" s="30"/>
      <c r="R9" s="30"/>
      <c r="S9" s="30"/>
      <c r="T9" s="30"/>
      <c r="U9" s="30"/>
      <c r="V9" s="31"/>
    </row>
    <row r="10" spans="1:22">
      <c r="A10" s="1" t="s">
        <v>16</v>
      </c>
      <c r="B10" s="29">
        <v>0</v>
      </c>
      <c r="C10" s="30">
        <v>0</v>
      </c>
      <c r="D10" s="30">
        <v>0</v>
      </c>
      <c r="E10" s="30">
        <v>0</v>
      </c>
      <c r="F10" s="30">
        <v>0</v>
      </c>
      <c r="G10" s="31">
        <f>SUM(CA_FINANCIAL)</f>
        <v>0</v>
      </c>
      <c r="H10" s="30"/>
      <c r="I10" s="34" t="s">
        <v>17</v>
      </c>
      <c r="J10" s="35">
        <v>257801508</v>
      </c>
      <c r="K10" s="30"/>
      <c r="L10" s="29"/>
      <c r="M10" s="30"/>
      <c r="N10" s="30"/>
      <c r="O10" s="30"/>
      <c r="P10" s="30"/>
      <c r="Q10" s="30"/>
      <c r="R10" s="30"/>
      <c r="S10" s="30"/>
      <c r="T10" s="30"/>
      <c r="U10" s="30"/>
      <c r="V10" s="31"/>
    </row>
    <row r="11" spans="1:22">
      <c r="A11" s="1" t="s">
        <v>18</v>
      </c>
      <c r="B11" s="29">
        <v>0</v>
      </c>
      <c r="C11" s="30">
        <v>0</v>
      </c>
      <c r="D11" s="30">
        <v>0</v>
      </c>
      <c r="E11" s="30">
        <v>0</v>
      </c>
      <c r="F11" s="30">
        <v>0</v>
      </c>
      <c r="G11" s="31">
        <f>SUM(CO_FINANCIAL)</f>
        <v>0</v>
      </c>
      <c r="H11" s="30"/>
      <c r="I11" s="34"/>
      <c r="J11" s="35"/>
      <c r="K11" s="30"/>
      <c r="L11" s="29"/>
      <c r="M11" s="30"/>
      <c r="N11" s="30"/>
      <c r="O11" s="30"/>
      <c r="P11" s="30"/>
      <c r="Q11" s="30"/>
      <c r="R11" s="30"/>
      <c r="S11" s="30"/>
      <c r="T11" s="30"/>
      <c r="U11" s="30"/>
      <c r="V11" s="31"/>
    </row>
    <row r="12" spans="1:22">
      <c r="A12" s="1" t="s">
        <v>19</v>
      </c>
      <c r="B12" s="29">
        <v>0</v>
      </c>
      <c r="C12" s="30">
        <v>0</v>
      </c>
      <c r="D12" s="30">
        <v>0</v>
      </c>
      <c r="E12" s="30">
        <v>0</v>
      </c>
      <c r="F12" s="30">
        <v>0</v>
      </c>
      <c r="G12" s="31">
        <f>SUM(CT_FINANCIAL)</f>
        <v>0</v>
      </c>
      <c r="H12" s="30"/>
      <c r="I12" s="34" t="s">
        <v>20</v>
      </c>
      <c r="J12" s="35"/>
      <c r="K12" s="30"/>
      <c r="L12" s="29"/>
      <c r="M12" s="30"/>
      <c r="N12" s="30"/>
      <c r="O12" s="30"/>
      <c r="P12" s="30"/>
      <c r="Q12" s="30"/>
      <c r="R12" s="30"/>
      <c r="S12" s="30"/>
      <c r="T12" s="30"/>
      <c r="U12" s="30"/>
      <c r="V12" s="31"/>
    </row>
    <row r="13" spans="1:22">
      <c r="A13" s="1" t="s">
        <v>21</v>
      </c>
      <c r="B13" s="29">
        <v>7045.1454187982008</v>
      </c>
      <c r="C13" s="30">
        <v>265806.12429207348</v>
      </c>
      <c r="D13" s="30">
        <v>0</v>
      </c>
      <c r="E13" s="30">
        <v>0</v>
      </c>
      <c r="F13" s="30">
        <v>0</v>
      </c>
      <c r="G13" s="31">
        <f>SUM(DE_FINANCIAL)</f>
        <v>272851.26971087168</v>
      </c>
      <c r="H13" s="30"/>
      <c r="I13" s="34" t="s">
        <v>22</v>
      </c>
      <c r="J13" s="35">
        <v>164813483</v>
      </c>
      <c r="K13" s="30"/>
      <c r="L13" s="29">
        <v>10000</v>
      </c>
      <c r="M13" s="30">
        <v>0</v>
      </c>
      <c r="N13" s="30"/>
      <c r="O13" s="30">
        <v>345000</v>
      </c>
      <c r="P13" s="30">
        <v>0</v>
      </c>
      <c r="Q13" s="30"/>
      <c r="R13" s="30">
        <v>0</v>
      </c>
      <c r="S13" s="30">
        <v>0</v>
      </c>
      <c r="T13" s="30"/>
      <c r="U13" s="30">
        <v>0</v>
      </c>
      <c r="V13" s="31">
        <v>0</v>
      </c>
    </row>
    <row r="14" spans="1:22">
      <c r="A14" s="1" t="s">
        <v>23</v>
      </c>
      <c r="B14" s="29">
        <v>0</v>
      </c>
      <c r="C14" s="30">
        <v>0</v>
      </c>
      <c r="D14" s="30">
        <v>0</v>
      </c>
      <c r="E14" s="30">
        <v>0</v>
      </c>
      <c r="F14" s="30">
        <v>0</v>
      </c>
      <c r="G14" s="31">
        <f>SUM(DC_FINANCIAL)</f>
        <v>0</v>
      </c>
      <c r="H14" s="30"/>
      <c r="I14" s="34" t="s">
        <v>24</v>
      </c>
      <c r="J14" s="35">
        <v>5801467</v>
      </c>
      <c r="K14" s="30"/>
      <c r="L14" s="29"/>
      <c r="M14" s="30"/>
      <c r="N14" s="30"/>
      <c r="O14" s="30"/>
      <c r="P14" s="30"/>
      <c r="Q14" s="30"/>
      <c r="R14" s="30"/>
      <c r="S14" s="30"/>
      <c r="T14" s="30"/>
      <c r="U14" s="30"/>
      <c r="V14" s="31"/>
    </row>
    <row r="15" spans="1:22">
      <c r="A15" s="1" t="s">
        <v>25</v>
      </c>
      <c r="B15" s="29">
        <v>191495.9516039007</v>
      </c>
      <c r="C15" s="30">
        <v>9944233.6157325692</v>
      </c>
      <c r="D15" s="30">
        <v>359837.73693287221</v>
      </c>
      <c r="E15" s="30">
        <v>0</v>
      </c>
      <c r="F15" s="30">
        <v>0</v>
      </c>
      <c r="G15" s="31">
        <f>SUM(FL_FINANCIAL)</f>
        <v>10495567.304269342</v>
      </c>
      <c r="H15" s="30"/>
      <c r="I15" s="34" t="s">
        <v>26</v>
      </c>
      <c r="J15" s="35">
        <v>0</v>
      </c>
      <c r="K15" s="30"/>
      <c r="L15" s="29">
        <v>1760000</v>
      </c>
      <c r="M15" s="30">
        <v>0</v>
      </c>
      <c r="N15" s="30"/>
      <c r="O15" s="30">
        <v>10400000</v>
      </c>
      <c r="P15" s="30">
        <v>0</v>
      </c>
      <c r="Q15" s="30"/>
      <c r="R15" s="30">
        <v>250000</v>
      </c>
      <c r="S15" s="30">
        <v>0</v>
      </c>
      <c r="T15" s="30"/>
      <c r="U15" s="30">
        <v>0</v>
      </c>
      <c r="V15" s="31">
        <v>0</v>
      </c>
    </row>
    <row r="16" spans="1:22">
      <c r="A16" s="1" t="s">
        <v>27</v>
      </c>
      <c r="B16" s="29">
        <v>0</v>
      </c>
      <c r="C16" s="30">
        <v>0</v>
      </c>
      <c r="D16" s="30">
        <v>0</v>
      </c>
      <c r="E16" s="30">
        <v>0</v>
      </c>
      <c r="F16" s="30">
        <v>0</v>
      </c>
      <c r="G16" s="31">
        <f>SUM(GA_FINANCIAL)</f>
        <v>0</v>
      </c>
      <c r="H16" s="30"/>
      <c r="I16" s="34" t="s">
        <v>28</v>
      </c>
      <c r="J16" s="35">
        <v>0</v>
      </c>
      <c r="K16" s="30"/>
      <c r="L16" s="29"/>
      <c r="M16" s="30"/>
      <c r="N16" s="30"/>
      <c r="O16" s="30"/>
      <c r="P16" s="30"/>
      <c r="Q16" s="30"/>
      <c r="R16" s="30"/>
      <c r="S16" s="30"/>
      <c r="T16" s="30"/>
      <c r="U16" s="30"/>
      <c r="V16" s="31"/>
    </row>
    <row r="17" spans="1:22">
      <c r="A17" s="1" t="s">
        <v>29</v>
      </c>
      <c r="B17" s="29">
        <v>0</v>
      </c>
      <c r="C17" s="30">
        <v>0</v>
      </c>
      <c r="D17" s="30">
        <v>0</v>
      </c>
      <c r="E17" s="30">
        <v>0</v>
      </c>
      <c r="F17" s="30">
        <v>0</v>
      </c>
      <c r="G17" s="31">
        <f>SUM(HI_FINANCIAL)</f>
        <v>0</v>
      </c>
      <c r="H17" s="30"/>
      <c r="I17" s="34"/>
      <c r="J17" s="35"/>
      <c r="K17" s="30"/>
      <c r="L17" s="29"/>
      <c r="M17" s="30"/>
      <c r="N17" s="30"/>
      <c r="O17" s="30"/>
      <c r="P17" s="30"/>
      <c r="Q17" s="30"/>
      <c r="R17" s="30"/>
      <c r="S17" s="30"/>
      <c r="T17" s="30"/>
      <c r="U17" s="30"/>
      <c r="V17" s="31"/>
    </row>
    <row r="18" spans="1:22">
      <c r="A18" s="1" t="s">
        <v>30</v>
      </c>
      <c r="B18" s="29">
        <v>0</v>
      </c>
      <c r="C18" s="30">
        <v>0</v>
      </c>
      <c r="D18" s="30">
        <v>0</v>
      </c>
      <c r="E18" s="30">
        <v>0</v>
      </c>
      <c r="F18" s="30">
        <v>0</v>
      </c>
      <c r="G18" s="31">
        <f>SUM(ID_FINANCIAL)</f>
        <v>0</v>
      </c>
      <c r="H18" s="30"/>
      <c r="I18" s="34" t="s">
        <v>31</v>
      </c>
      <c r="J18" s="35"/>
      <c r="K18" s="30"/>
      <c r="L18" s="29"/>
      <c r="M18" s="30"/>
      <c r="N18" s="30"/>
      <c r="O18" s="30"/>
      <c r="P18" s="30"/>
      <c r="Q18" s="30"/>
      <c r="R18" s="30"/>
      <c r="S18" s="30"/>
      <c r="T18" s="30"/>
      <c r="U18" s="30"/>
      <c r="V18" s="31"/>
    </row>
    <row r="19" spans="1:22">
      <c r="A19" s="1" t="s">
        <v>32</v>
      </c>
      <c r="B19" s="29">
        <v>0</v>
      </c>
      <c r="C19" s="30">
        <v>0</v>
      </c>
      <c r="D19" s="30">
        <v>0</v>
      </c>
      <c r="E19" s="30">
        <v>0</v>
      </c>
      <c r="F19" s="30">
        <v>0</v>
      </c>
      <c r="G19" s="31">
        <f>SUM(IL_FINANCIAL)</f>
        <v>0</v>
      </c>
      <c r="H19" s="30"/>
      <c r="I19" s="34" t="s">
        <v>33</v>
      </c>
      <c r="J19" s="35">
        <v>0</v>
      </c>
      <c r="K19" s="30"/>
      <c r="L19" s="29"/>
      <c r="M19" s="30"/>
      <c r="N19" s="30"/>
      <c r="O19" s="30"/>
      <c r="P19" s="30"/>
      <c r="Q19" s="30"/>
      <c r="R19" s="30"/>
      <c r="S19" s="30"/>
      <c r="T19" s="30"/>
      <c r="U19" s="30"/>
      <c r="V19" s="31"/>
    </row>
    <row r="20" spans="1:22">
      <c r="A20" s="1" t="s">
        <v>34</v>
      </c>
      <c r="B20" s="29">
        <v>0</v>
      </c>
      <c r="C20" s="30">
        <v>0</v>
      </c>
      <c r="D20" s="30">
        <v>0</v>
      </c>
      <c r="E20" s="30">
        <v>0</v>
      </c>
      <c r="F20" s="30">
        <v>0</v>
      </c>
      <c r="G20" s="31">
        <f>SUM(IN_FINANCIAL)</f>
        <v>0</v>
      </c>
      <c r="H20" s="30"/>
      <c r="I20" s="34" t="s">
        <v>35</v>
      </c>
      <c r="J20" s="35">
        <v>164246959</v>
      </c>
      <c r="K20" s="30"/>
      <c r="L20" s="29"/>
      <c r="M20" s="30"/>
      <c r="N20" s="30"/>
      <c r="O20" s="30"/>
      <c r="P20" s="30"/>
      <c r="Q20" s="30"/>
      <c r="R20" s="30"/>
      <c r="S20" s="30"/>
      <c r="T20" s="30"/>
      <c r="U20" s="30"/>
      <c r="V20" s="31"/>
    </row>
    <row r="21" spans="1:22">
      <c r="A21" s="1" t="s">
        <v>36</v>
      </c>
      <c r="B21" s="29">
        <v>0</v>
      </c>
      <c r="C21" s="30">
        <v>0</v>
      </c>
      <c r="D21" s="30">
        <v>0</v>
      </c>
      <c r="E21" s="30">
        <v>0</v>
      </c>
      <c r="F21" s="30">
        <v>0</v>
      </c>
      <c r="G21" s="31">
        <f>SUM(IA_FINANCIAL)</f>
        <v>0</v>
      </c>
      <c r="H21" s="30"/>
      <c r="I21" s="34" t="s">
        <v>37</v>
      </c>
      <c r="J21" s="35"/>
      <c r="K21" s="30"/>
      <c r="L21" s="29"/>
      <c r="M21" s="30"/>
      <c r="N21" s="30"/>
      <c r="O21" s="30"/>
      <c r="P21" s="30"/>
      <c r="Q21" s="30"/>
      <c r="R21" s="30"/>
      <c r="S21" s="30"/>
      <c r="T21" s="30"/>
      <c r="U21" s="30"/>
      <c r="V21" s="31"/>
    </row>
    <row r="22" spans="1:22">
      <c r="A22" s="1" t="s">
        <v>38</v>
      </c>
      <c r="B22" s="29">
        <v>0</v>
      </c>
      <c r="C22" s="30">
        <v>0</v>
      </c>
      <c r="D22" s="30">
        <v>0</v>
      </c>
      <c r="E22" s="30">
        <v>0</v>
      </c>
      <c r="F22" s="30">
        <v>0</v>
      </c>
      <c r="G22" s="31">
        <f>SUM(KS_FINANCIAL)</f>
        <v>0</v>
      </c>
      <c r="H22" s="30"/>
      <c r="I22" s="34" t="s">
        <v>39</v>
      </c>
      <c r="J22" s="35">
        <v>2338788.8249999997</v>
      </c>
      <c r="K22" s="30"/>
      <c r="L22" s="29"/>
      <c r="M22" s="30"/>
      <c r="N22" s="30"/>
      <c r="O22" s="30"/>
      <c r="P22" s="30"/>
      <c r="Q22" s="30"/>
      <c r="R22" s="30"/>
      <c r="S22" s="30"/>
      <c r="T22" s="30"/>
      <c r="U22" s="30"/>
      <c r="V22" s="31"/>
    </row>
    <row r="23" spans="1:22">
      <c r="A23" s="1" t="s">
        <v>40</v>
      </c>
      <c r="B23" s="29">
        <v>0</v>
      </c>
      <c r="C23" s="30">
        <v>0</v>
      </c>
      <c r="D23" s="30">
        <v>0</v>
      </c>
      <c r="E23" s="30">
        <v>0</v>
      </c>
      <c r="F23" s="30">
        <v>0</v>
      </c>
      <c r="G23" s="31">
        <f>SUM(KY_FINANCIAL)</f>
        <v>0</v>
      </c>
      <c r="H23" s="30"/>
      <c r="I23" s="34" t="s">
        <v>41</v>
      </c>
      <c r="J23" s="35"/>
      <c r="K23" s="30"/>
      <c r="L23" s="29"/>
      <c r="M23" s="30"/>
      <c r="N23" s="30"/>
      <c r="O23" s="30"/>
      <c r="P23" s="30"/>
      <c r="Q23" s="30"/>
      <c r="R23" s="30"/>
      <c r="S23" s="30"/>
      <c r="T23" s="30"/>
      <c r="U23" s="30"/>
      <c r="V23" s="31"/>
    </row>
    <row r="24" spans="1:22">
      <c r="A24" s="1" t="s">
        <v>42</v>
      </c>
      <c r="B24" s="29">
        <v>0</v>
      </c>
      <c r="C24" s="30">
        <v>0</v>
      </c>
      <c r="D24" s="30">
        <v>0</v>
      </c>
      <c r="E24" s="30">
        <v>0</v>
      </c>
      <c r="F24" s="30">
        <v>0</v>
      </c>
      <c r="G24" s="31">
        <f>SUM(LA_FINANCIAL)</f>
        <v>0</v>
      </c>
      <c r="H24" s="30"/>
      <c r="I24" s="34" t="s">
        <v>43</v>
      </c>
      <c r="J24" s="35">
        <v>88242883.302350014</v>
      </c>
      <c r="K24" s="30"/>
      <c r="L24" s="29"/>
      <c r="M24" s="30"/>
      <c r="N24" s="30"/>
      <c r="O24" s="30"/>
      <c r="P24" s="30"/>
      <c r="Q24" s="30"/>
      <c r="R24" s="30"/>
      <c r="S24" s="30"/>
      <c r="T24" s="30"/>
      <c r="U24" s="30"/>
      <c r="V24" s="31"/>
    </row>
    <row r="25" spans="1:22">
      <c r="A25" s="1" t="s">
        <v>44</v>
      </c>
      <c r="B25" s="29">
        <v>0</v>
      </c>
      <c r="C25" s="30">
        <v>0</v>
      </c>
      <c r="D25" s="30">
        <v>0</v>
      </c>
      <c r="E25" s="30">
        <v>0</v>
      </c>
      <c r="F25" s="30">
        <v>0</v>
      </c>
      <c r="G25" s="31">
        <f>SUM(ME_FINANCIAL)</f>
        <v>0</v>
      </c>
      <c r="H25" s="30"/>
      <c r="I25" s="34"/>
      <c r="J25" s="35"/>
      <c r="K25" s="30"/>
      <c r="L25" s="29"/>
      <c r="M25" s="30"/>
      <c r="N25" s="30"/>
      <c r="O25" s="30"/>
      <c r="P25" s="30"/>
      <c r="Q25" s="30"/>
      <c r="R25" s="30"/>
      <c r="S25" s="30"/>
      <c r="T25" s="30"/>
      <c r="U25" s="30"/>
      <c r="V25" s="31"/>
    </row>
    <row r="26" spans="1:22">
      <c r="A26" s="1" t="s">
        <v>45</v>
      </c>
      <c r="B26" s="29">
        <v>442800.66989112902</v>
      </c>
      <c r="C26" s="30">
        <v>2047894.8361875582</v>
      </c>
      <c r="D26" s="30">
        <v>4458.755154931474</v>
      </c>
      <c r="E26" s="30">
        <v>0</v>
      </c>
      <c r="F26" s="30">
        <v>0</v>
      </c>
      <c r="G26" s="31">
        <f>SUM(MD_FINANCIAL)</f>
        <v>2495154.2612336189</v>
      </c>
      <c r="H26" s="30"/>
      <c r="I26" s="34" t="s">
        <v>46</v>
      </c>
      <c r="J26" s="35">
        <f>SUM(ADD_FINANCIAL)-SUM(LESS_FINANCIAL)</f>
        <v>173587826.87265</v>
      </c>
      <c r="K26" s="30"/>
      <c r="L26" s="29">
        <v>3518000</v>
      </c>
      <c r="M26" s="30">
        <v>0</v>
      </c>
      <c r="N26" s="30"/>
      <c r="O26" s="30">
        <v>1982000</v>
      </c>
      <c r="P26" s="30">
        <v>0</v>
      </c>
      <c r="Q26" s="30"/>
      <c r="R26" s="30">
        <v>0</v>
      </c>
      <c r="S26" s="30">
        <v>0</v>
      </c>
      <c r="T26" s="30"/>
      <c r="U26" s="30">
        <v>0</v>
      </c>
      <c r="V26" s="31">
        <v>0</v>
      </c>
    </row>
    <row r="27" spans="1:22">
      <c r="A27" s="1" t="s">
        <v>47</v>
      </c>
      <c r="B27" s="29">
        <v>0</v>
      </c>
      <c r="C27" s="30">
        <v>0</v>
      </c>
      <c r="D27" s="30">
        <v>0</v>
      </c>
      <c r="E27" s="30">
        <v>0</v>
      </c>
      <c r="F27" s="30">
        <v>0</v>
      </c>
      <c r="G27" s="31">
        <f>SUM(MA_FINANCIAL)</f>
        <v>0</v>
      </c>
      <c r="H27" s="30"/>
      <c r="I27" s="34" t="s">
        <v>48</v>
      </c>
      <c r="J27" s="35">
        <f>SUM(ALL_BLOCKS)</f>
        <v>173587826.87265003</v>
      </c>
      <c r="K27" s="30"/>
      <c r="L27" s="29"/>
      <c r="M27" s="30"/>
      <c r="N27" s="30"/>
      <c r="O27" s="30"/>
      <c r="P27" s="30"/>
      <c r="Q27" s="30"/>
      <c r="R27" s="30"/>
      <c r="S27" s="30"/>
      <c r="T27" s="30"/>
      <c r="U27" s="30"/>
      <c r="V27" s="31"/>
    </row>
    <row r="28" spans="1:22">
      <c r="A28" s="1" t="s">
        <v>49</v>
      </c>
      <c r="B28" s="29">
        <v>0</v>
      </c>
      <c r="C28" s="30">
        <v>0</v>
      </c>
      <c r="D28" s="30">
        <v>0</v>
      </c>
      <c r="E28" s="30">
        <v>0</v>
      </c>
      <c r="F28" s="30">
        <v>0</v>
      </c>
      <c r="G28" s="31">
        <f>SUM(MI_FINANCIAL)</f>
        <v>0</v>
      </c>
      <c r="H28" s="30"/>
      <c r="I28" s="36"/>
      <c r="J28" s="37"/>
      <c r="K28" s="30"/>
      <c r="L28" s="29"/>
      <c r="M28" s="30"/>
      <c r="N28" s="30"/>
      <c r="O28" s="30"/>
      <c r="P28" s="30"/>
      <c r="Q28" s="30"/>
      <c r="R28" s="30"/>
      <c r="S28" s="30"/>
      <c r="T28" s="30"/>
      <c r="U28" s="30"/>
      <c r="V28" s="31"/>
    </row>
    <row r="29" spans="1:22">
      <c r="A29" s="1" t="s">
        <v>50</v>
      </c>
      <c r="B29" s="29">
        <v>0</v>
      </c>
      <c r="C29" s="30">
        <v>0</v>
      </c>
      <c r="D29" s="30">
        <v>0</v>
      </c>
      <c r="E29" s="30">
        <v>0</v>
      </c>
      <c r="F29" s="30">
        <v>0</v>
      </c>
      <c r="G29" s="31">
        <f>SUM(MN_FINANCIAL)</f>
        <v>0</v>
      </c>
      <c r="H29" s="30"/>
      <c r="I29" s="30"/>
      <c r="J29" s="30"/>
      <c r="K29" s="30"/>
      <c r="L29" s="29"/>
      <c r="M29" s="30"/>
      <c r="N29" s="30"/>
      <c r="O29" s="30"/>
      <c r="P29" s="30"/>
      <c r="Q29" s="30"/>
      <c r="R29" s="30"/>
      <c r="S29" s="30"/>
      <c r="T29" s="30"/>
      <c r="U29" s="30"/>
      <c r="V29" s="31"/>
    </row>
    <row r="30" spans="1:22">
      <c r="A30" s="1" t="s">
        <v>51</v>
      </c>
      <c r="B30" s="29">
        <v>0</v>
      </c>
      <c r="C30" s="30">
        <v>0</v>
      </c>
      <c r="D30" s="30">
        <v>0</v>
      </c>
      <c r="E30" s="30">
        <v>0</v>
      </c>
      <c r="F30" s="30">
        <v>0</v>
      </c>
      <c r="G30" s="31">
        <f>SUM(MS_FINANCIAL)</f>
        <v>0</v>
      </c>
      <c r="H30" s="30"/>
      <c r="I30" s="30"/>
      <c r="J30" s="30"/>
      <c r="K30" s="30"/>
      <c r="L30" s="29"/>
      <c r="M30" s="30"/>
      <c r="N30" s="30"/>
      <c r="O30" s="30"/>
      <c r="P30" s="30"/>
      <c r="Q30" s="30"/>
      <c r="R30" s="30"/>
      <c r="S30" s="30"/>
      <c r="T30" s="30"/>
      <c r="U30" s="30"/>
      <c r="V30" s="31"/>
    </row>
    <row r="31" spans="1:22">
      <c r="A31" s="1" t="s">
        <v>52</v>
      </c>
      <c r="B31" s="29">
        <v>0</v>
      </c>
      <c r="C31" s="30">
        <v>0</v>
      </c>
      <c r="D31" s="30">
        <v>0</v>
      </c>
      <c r="E31" s="30">
        <v>0</v>
      </c>
      <c r="F31" s="30">
        <v>0</v>
      </c>
      <c r="G31" s="31">
        <f>SUM(MO_FINANCIAL)</f>
        <v>0</v>
      </c>
      <c r="H31" s="30"/>
      <c r="I31" s="30"/>
      <c r="J31" s="30"/>
      <c r="K31" s="30"/>
      <c r="L31" s="29"/>
      <c r="M31" s="30"/>
      <c r="N31" s="30"/>
      <c r="O31" s="30"/>
      <c r="P31" s="30"/>
      <c r="Q31" s="30"/>
      <c r="R31" s="30"/>
      <c r="S31" s="30"/>
      <c r="T31" s="30"/>
      <c r="U31" s="30"/>
      <c r="V31" s="31"/>
    </row>
    <row r="32" spans="1:22">
      <c r="A32" s="1" t="s">
        <v>53</v>
      </c>
      <c r="B32" s="29">
        <v>0</v>
      </c>
      <c r="C32" s="30">
        <v>0</v>
      </c>
      <c r="D32" s="30">
        <v>0</v>
      </c>
      <c r="E32" s="30">
        <v>0</v>
      </c>
      <c r="F32" s="30">
        <v>0</v>
      </c>
      <c r="G32" s="31">
        <f>SUM(MT_FINANCIAL)</f>
        <v>0</v>
      </c>
      <c r="H32" s="30"/>
      <c r="I32" s="30"/>
      <c r="J32" s="30"/>
      <c r="K32" s="30"/>
      <c r="L32" s="29"/>
      <c r="M32" s="30"/>
      <c r="N32" s="30"/>
      <c r="O32" s="30"/>
      <c r="P32" s="30"/>
      <c r="Q32" s="30"/>
      <c r="R32" s="30"/>
      <c r="S32" s="30"/>
      <c r="T32" s="30"/>
      <c r="U32" s="30"/>
      <c r="V32" s="31"/>
    </row>
    <row r="33" spans="1:22">
      <c r="A33" s="1" t="s">
        <v>54</v>
      </c>
      <c r="B33" s="29">
        <v>0</v>
      </c>
      <c r="C33" s="30">
        <v>0</v>
      </c>
      <c r="D33" s="30">
        <v>0</v>
      </c>
      <c r="E33" s="30">
        <v>0</v>
      </c>
      <c r="F33" s="30">
        <v>0</v>
      </c>
      <c r="G33" s="31">
        <f>SUM(NE_FINANCIAL)</f>
        <v>0</v>
      </c>
      <c r="H33" s="30"/>
      <c r="I33" s="30"/>
      <c r="J33" s="30"/>
      <c r="K33" s="30"/>
      <c r="L33" s="29"/>
      <c r="M33" s="30"/>
      <c r="N33" s="30"/>
      <c r="O33" s="30"/>
      <c r="P33" s="30"/>
      <c r="Q33" s="30"/>
      <c r="R33" s="30"/>
      <c r="S33" s="30"/>
      <c r="T33" s="30"/>
      <c r="U33" s="30"/>
      <c r="V33" s="31"/>
    </row>
    <row r="34" spans="1:22">
      <c r="A34" s="1" t="s">
        <v>55</v>
      </c>
      <c r="B34" s="29">
        <v>0</v>
      </c>
      <c r="C34" s="30">
        <v>0</v>
      </c>
      <c r="D34" s="30">
        <v>0</v>
      </c>
      <c r="E34" s="30">
        <v>0</v>
      </c>
      <c r="F34" s="30">
        <v>0</v>
      </c>
      <c r="G34" s="31">
        <f>SUM(NV_FINANCIAL)</f>
        <v>0</v>
      </c>
      <c r="H34" s="30"/>
      <c r="I34" s="30"/>
      <c r="J34" s="30"/>
      <c r="K34" s="30"/>
      <c r="L34" s="29"/>
      <c r="M34" s="30"/>
      <c r="N34" s="30"/>
      <c r="O34" s="30"/>
      <c r="P34" s="30"/>
      <c r="Q34" s="30"/>
      <c r="R34" s="30"/>
      <c r="S34" s="30"/>
      <c r="T34" s="30"/>
      <c r="U34" s="30"/>
      <c r="V34" s="31"/>
    </row>
    <row r="35" spans="1:22">
      <c r="A35" s="1" t="s">
        <v>56</v>
      </c>
      <c r="B35" s="29">
        <v>0</v>
      </c>
      <c r="C35" s="30">
        <v>0</v>
      </c>
      <c r="D35" s="30">
        <v>0</v>
      </c>
      <c r="E35" s="30">
        <v>0</v>
      </c>
      <c r="F35" s="30">
        <v>0</v>
      </c>
      <c r="G35" s="31">
        <f>SUM(NH_FINANCIAL)</f>
        <v>0</v>
      </c>
      <c r="H35" s="30"/>
      <c r="I35" s="30"/>
      <c r="J35" s="30"/>
      <c r="K35" s="30"/>
      <c r="L35" s="29"/>
      <c r="M35" s="30"/>
      <c r="N35" s="30"/>
      <c r="O35" s="30"/>
      <c r="P35" s="30"/>
      <c r="Q35" s="30"/>
      <c r="R35" s="30"/>
      <c r="S35" s="30"/>
      <c r="T35" s="30"/>
      <c r="U35" s="30"/>
      <c r="V35" s="31"/>
    </row>
    <row r="36" spans="1:22">
      <c r="A36" s="1" t="s">
        <v>57</v>
      </c>
      <c r="B36" s="29">
        <v>0</v>
      </c>
      <c r="C36" s="30">
        <v>0</v>
      </c>
      <c r="D36" s="30">
        <v>0</v>
      </c>
      <c r="E36" s="30">
        <v>0</v>
      </c>
      <c r="F36" s="30">
        <v>0</v>
      </c>
      <c r="G36" s="31">
        <f>SUM(NJ_FINANCIAL)</f>
        <v>0</v>
      </c>
      <c r="H36" s="30"/>
      <c r="I36" s="30"/>
      <c r="J36" s="30"/>
      <c r="K36" s="30"/>
      <c r="L36" s="29"/>
      <c r="M36" s="30"/>
      <c r="N36" s="30"/>
      <c r="O36" s="30"/>
      <c r="P36" s="30"/>
      <c r="Q36" s="30"/>
      <c r="R36" s="30"/>
      <c r="S36" s="30"/>
      <c r="T36" s="30"/>
      <c r="U36" s="30"/>
      <c r="V36" s="31"/>
    </row>
    <row r="37" spans="1:22">
      <c r="A37" s="1" t="s">
        <v>58</v>
      </c>
      <c r="B37" s="29">
        <v>0</v>
      </c>
      <c r="C37" s="30">
        <v>0</v>
      </c>
      <c r="D37" s="30">
        <v>0</v>
      </c>
      <c r="E37" s="30">
        <v>0</v>
      </c>
      <c r="F37" s="30">
        <v>0</v>
      </c>
      <c r="G37" s="31">
        <f>SUM(NM_FINANCIAL)</f>
        <v>0</v>
      </c>
      <c r="H37" s="30"/>
      <c r="I37" s="30"/>
      <c r="J37" s="30"/>
      <c r="K37" s="30"/>
      <c r="L37" s="29"/>
      <c r="M37" s="30"/>
      <c r="N37" s="30"/>
      <c r="O37" s="30"/>
      <c r="P37" s="30"/>
      <c r="Q37" s="30"/>
      <c r="R37" s="30"/>
      <c r="S37" s="30"/>
      <c r="T37" s="30"/>
      <c r="U37" s="30"/>
      <c r="V37" s="31"/>
    </row>
    <row r="38" spans="1:22">
      <c r="A38" s="1" t="s">
        <v>59</v>
      </c>
      <c r="B38" s="29">
        <v>0</v>
      </c>
      <c r="C38" s="30">
        <v>0</v>
      </c>
      <c r="D38" s="30">
        <v>0</v>
      </c>
      <c r="E38" s="30">
        <v>0</v>
      </c>
      <c r="F38" s="30">
        <v>0</v>
      </c>
      <c r="G38" s="31">
        <f>SUM(NY_FINANCIAL)</f>
        <v>0</v>
      </c>
      <c r="H38" s="30"/>
      <c r="I38" s="30"/>
      <c r="J38" s="30"/>
      <c r="K38" s="30"/>
      <c r="L38" s="29"/>
      <c r="M38" s="30"/>
      <c r="N38" s="30"/>
      <c r="O38" s="30"/>
      <c r="P38" s="30"/>
      <c r="Q38" s="30"/>
      <c r="R38" s="30"/>
      <c r="S38" s="30"/>
      <c r="T38" s="30"/>
      <c r="U38" s="30"/>
      <c r="V38" s="31"/>
    </row>
    <row r="39" spans="1:22">
      <c r="A39" s="1" t="s">
        <v>60</v>
      </c>
      <c r="B39" s="29">
        <v>0</v>
      </c>
      <c r="C39" s="30">
        <v>0</v>
      </c>
      <c r="D39" s="30">
        <v>0</v>
      </c>
      <c r="E39" s="30">
        <v>0</v>
      </c>
      <c r="F39" s="30">
        <v>0</v>
      </c>
      <c r="G39" s="31">
        <f>SUM(NC_FINANCIAL)</f>
        <v>0</v>
      </c>
      <c r="H39" s="30"/>
      <c r="I39" s="30"/>
      <c r="J39" s="30"/>
      <c r="K39" s="30"/>
      <c r="L39" s="29"/>
      <c r="M39" s="30"/>
      <c r="N39" s="30"/>
      <c r="O39" s="30"/>
      <c r="P39" s="30"/>
      <c r="Q39" s="30"/>
      <c r="R39" s="30"/>
      <c r="S39" s="30"/>
      <c r="T39" s="30"/>
      <c r="U39" s="30"/>
      <c r="V39" s="31"/>
    </row>
    <row r="40" spans="1:22">
      <c r="A40" s="1" t="s">
        <v>61</v>
      </c>
      <c r="B40" s="29">
        <v>0</v>
      </c>
      <c r="C40" s="30">
        <v>0</v>
      </c>
      <c r="D40" s="30">
        <v>0</v>
      </c>
      <c r="E40" s="30">
        <v>0</v>
      </c>
      <c r="F40" s="30">
        <v>0</v>
      </c>
      <c r="G40" s="31">
        <f>SUM(ND_FINANCIAL)</f>
        <v>0</v>
      </c>
      <c r="H40" s="30"/>
      <c r="I40" s="30"/>
      <c r="J40" s="30"/>
      <c r="K40" s="30"/>
      <c r="L40" s="29"/>
      <c r="M40" s="30"/>
      <c r="N40" s="30"/>
      <c r="O40" s="30"/>
      <c r="P40" s="30"/>
      <c r="Q40" s="30"/>
      <c r="R40" s="30"/>
      <c r="S40" s="30"/>
      <c r="T40" s="30"/>
      <c r="U40" s="30"/>
      <c r="V40" s="31"/>
    </row>
    <row r="41" spans="1:22">
      <c r="A41" s="1" t="s">
        <v>62</v>
      </c>
      <c r="B41" s="29">
        <v>0</v>
      </c>
      <c r="C41" s="30">
        <v>0</v>
      </c>
      <c r="D41" s="30">
        <v>0</v>
      </c>
      <c r="E41" s="30">
        <v>0</v>
      </c>
      <c r="F41" s="30">
        <v>0</v>
      </c>
      <c r="G41" s="31">
        <f>SUM(OH_FINANCIAL)</f>
        <v>0</v>
      </c>
      <c r="H41" s="30"/>
      <c r="I41" s="30"/>
      <c r="J41" s="30"/>
      <c r="K41" s="30"/>
      <c r="L41" s="29"/>
      <c r="M41" s="30"/>
      <c r="N41" s="30"/>
      <c r="O41" s="30"/>
      <c r="P41" s="30"/>
      <c r="Q41" s="30"/>
      <c r="R41" s="30"/>
      <c r="S41" s="30"/>
      <c r="T41" s="30"/>
      <c r="U41" s="30"/>
      <c r="V41" s="31"/>
    </row>
    <row r="42" spans="1:22">
      <c r="A42" s="1" t="s">
        <v>63</v>
      </c>
      <c r="B42" s="29">
        <v>0</v>
      </c>
      <c r="C42" s="30">
        <v>0</v>
      </c>
      <c r="D42" s="30">
        <v>0</v>
      </c>
      <c r="E42" s="30">
        <v>0</v>
      </c>
      <c r="F42" s="30">
        <v>0</v>
      </c>
      <c r="G42" s="31">
        <f>SUM(OK_FINANCIAL)</f>
        <v>0</v>
      </c>
      <c r="H42" s="30"/>
      <c r="I42" s="30"/>
      <c r="J42" s="30"/>
      <c r="K42" s="30"/>
      <c r="L42" s="29"/>
      <c r="M42" s="30"/>
      <c r="N42" s="30"/>
      <c r="O42" s="30"/>
      <c r="P42" s="30"/>
      <c r="Q42" s="30"/>
      <c r="R42" s="30"/>
      <c r="S42" s="30"/>
      <c r="T42" s="30"/>
      <c r="U42" s="30"/>
      <c r="V42" s="31"/>
    </row>
    <row r="43" spans="1:22">
      <c r="A43" s="1" t="s">
        <v>64</v>
      </c>
      <c r="B43" s="29">
        <v>0</v>
      </c>
      <c r="C43" s="30">
        <v>0</v>
      </c>
      <c r="D43" s="30">
        <v>0</v>
      </c>
      <c r="E43" s="30">
        <v>0</v>
      </c>
      <c r="F43" s="30">
        <v>0</v>
      </c>
      <c r="G43" s="31">
        <f>SUM(OR_FINANCIAL)</f>
        <v>0</v>
      </c>
      <c r="H43" s="30"/>
      <c r="I43" s="30"/>
      <c r="J43" s="30"/>
      <c r="K43" s="30"/>
      <c r="L43" s="29"/>
      <c r="M43" s="30"/>
      <c r="N43" s="30"/>
      <c r="O43" s="30"/>
      <c r="P43" s="30"/>
      <c r="Q43" s="30"/>
      <c r="R43" s="30"/>
      <c r="S43" s="30"/>
      <c r="T43" s="30"/>
      <c r="U43" s="30"/>
      <c r="V43" s="31"/>
    </row>
    <row r="44" spans="1:22">
      <c r="A44" s="1" t="s">
        <v>65</v>
      </c>
      <c r="B44" s="29">
        <v>1844565.2836090024</v>
      </c>
      <c r="C44" s="30">
        <v>158376487.58018017</v>
      </c>
      <c r="D44" s="30">
        <v>24905.093270529975</v>
      </c>
      <c r="E44" s="30">
        <v>0</v>
      </c>
      <c r="F44" s="30">
        <v>0</v>
      </c>
      <c r="G44" s="31">
        <f>SUM(PA_FINANCIAL)</f>
        <v>160245957.95705971</v>
      </c>
      <c r="H44" s="30"/>
      <c r="I44" s="30"/>
      <c r="J44" s="30"/>
      <c r="K44" s="30"/>
      <c r="L44" s="29">
        <v>88612897</v>
      </c>
      <c r="M44" s="30">
        <v>0</v>
      </c>
      <c r="N44" s="30"/>
      <c r="O44" s="30">
        <v>63334564</v>
      </c>
      <c r="P44" s="30">
        <v>0</v>
      </c>
      <c r="Q44" s="30"/>
      <c r="R44" s="30">
        <v>0</v>
      </c>
      <c r="S44" s="30">
        <v>0</v>
      </c>
      <c r="T44" s="30"/>
      <c r="U44" s="30">
        <v>67153313</v>
      </c>
      <c r="V44" s="31">
        <v>0</v>
      </c>
    </row>
    <row r="45" spans="1:22">
      <c r="A45" s="1" t="s">
        <v>66</v>
      </c>
      <c r="B45" s="29">
        <v>0</v>
      </c>
      <c r="C45" s="30">
        <v>0</v>
      </c>
      <c r="D45" s="30">
        <v>0</v>
      </c>
      <c r="E45" s="30">
        <v>0</v>
      </c>
      <c r="F45" s="30">
        <v>0</v>
      </c>
      <c r="G45" s="31">
        <f>SUM(PR_FINANCIAL)</f>
        <v>0</v>
      </c>
      <c r="H45" s="30"/>
      <c r="I45" s="30"/>
      <c r="J45" s="30"/>
      <c r="K45" s="30"/>
      <c r="L45" s="29"/>
      <c r="M45" s="30"/>
      <c r="N45" s="30"/>
      <c r="O45" s="30"/>
      <c r="P45" s="30"/>
      <c r="Q45" s="30"/>
      <c r="R45" s="30"/>
      <c r="S45" s="30"/>
      <c r="T45" s="30"/>
      <c r="U45" s="30"/>
      <c r="V45" s="31"/>
    </row>
    <row r="46" spans="1:22">
      <c r="A46" s="1" t="s">
        <v>67</v>
      </c>
      <c r="B46" s="29">
        <v>0</v>
      </c>
      <c r="C46" s="30">
        <v>0</v>
      </c>
      <c r="D46" s="30">
        <v>0</v>
      </c>
      <c r="E46" s="30">
        <v>0</v>
      </c>
      <c r="F46" s="30">
        <v>0</v>
      </c>
      <c r="G46" s="31">
        <f>SUM(RI_FINANCIAL)</f>
        <v>0</v>
      </c>
      <c r="H46" s="30"/>
      <c r="I46" s="30"/>
      <c r="J46" s="30"/>
      <c r="K46" s="30"/>
      <c r="L46" s="29"/>
      <c r="M46" s="30"/>
      <c r="N46" s="30"/>
      <c r="O46" s="30"/>
      <c r="P46" s="30"/>
      <c r="Q46" s="30"/>
      <c r="R46" s="30"/>
      <c r="S46" s="30"/>
      <c r="T46" s="30"/>
      <c r="U46" s="30"/>
      <c r="V46" s="31"/>
    </row>
    <row r="47" spans="1:22">
      <c r="A47" s="1" t="s">
        <v>68</v>
      </c>
      <c r="B47" s="29">
        <v>0</v>
      </c>
      <c r="C47" s="30">
        <v>0</v>
      </c>
      <c r="D47" s="30">
        <v>0</v>
      </c>
      <c r="E47" s="30">
        <v>0</v>
      </c>
      <c r="F47" s="30">
        <v>0</v>
      </c>
      <c r="G47" s="31">
        <f>SUM(SC_FINANCIAL)</f>
        <v>0</v>
      </c>
      <c r="H47" s="30"/>
      <c r="I47" s="30"/>
      <c r="J47" s="30"/>
      <c r="K47" s="30"/>
      <c r="L47" s="29"/>
      <c r="M47" s="30"/>
      <c r="N47" s="30"/>
      <c r="O47" s="30"/>
      <c r="P47" s="30"/>
      <c r="Q47" s="30"/>
      <c r="R47" s="30"/>
      <c r="S47" s="30"/>
      <c r="T47" s="30"/>
      <c r="U47" s="30"/>
      <c r="V47" s="31"/>
    </row>
    <row r="48" spans="1:22">
      <c r="A48" s="1" t="s">
        <v>69</v>
      </c>
      <c r="B48" s="29">
        <v>0</v>
      </c>
      <c r="C48" s="30">
        <v>0</v>
      </c>
      <c r="D48" s="30">
        <v>0</v>
      </c>
      <c r="E48" s="30">
        <v>0</v>
      </c>
      <c r="F48" s="30">
        <v>0</v>
      </c>
      <c r="G48" s="31">
        <f>SUM(SD_FINANCIAL)</f>
        <v>0</v>
      </c>
      <c r="H48" s="30"/>
      <c r="I48" s="30"/>
      <c r="J48" s="30"/>
      <c r="K48" s="30"/>
      <c r="L48" s="29"/>
      <c r="M48" s="30"/>
      <c r="N48" s="30"/>
      <c r="O48" s="30"/>
      <c r="P48" s="30"/>
      <c r="Q48" s="30"/>
      <c r="R48" s="30"/>
      <c r="S48" s="30"/>
      <c r="T48" s="30"/>
      <c r="U48" s="30"/>
      <c r="V48" s="31"/>
    </row>
    <row r="49" spans="1:22">
      <c r="A49" s="1" t="s">
        <v>70</v>
      </c>
      <c r="B49" s="29">
        <v>0</v>
      </c>
      <c r="C49" s="30">
        <v>0</v>
      </c>
      <c r="D49" s="30">
        <v>0</v>
      </c>
      <c r="E49" s="30">
        <v>0</v>
      </c>
      <c r="F49" s="30">
        <v>0</v>
      </c>
      <c r="G49" s="31">
        <f>SUM(TN_FINANCIAL)</f>
        <v>0</v>
      </c>
      <c r="H49" s="30"/>
      <c r="I49" s="30"/>
      <c r="J49" s="30"/>
      <c r="K49" s="30"/>
      <c r="L49" s="29"/>
      <c r="M49" s="30"/>
      <c r="N49" s="30"/>
      <c r="O49" s="30"/>
      <c r="P49" s="30"/>
      <c r="Q49" s="30"/>
      <c r="R49" s="30"/>
      <c r="S49" s="30"/>
      <c r="T49" s="30"/>
      <c r="U49" s="30"/>
      <c r="V49" s="31"/>
    </row>
    <row r="50" spans="1:22">
      <c r="A50" s="1" t="s">
        <v>71</v>
      </c>
      <c r="B50" s="29">
        <v>0</v>
      </c>
      <c r="C50" s="30">
        <v>0</v>
      </c>
      <c r="D50" s="30">
        <v>0</v>
      </c>
      <c r="E50" s="30">
        <v>0</v>
      </c>
      <c r="F50" s="30">
        <v>0</v>
      </c>
      <c r="G50" s="31">
        <f>SUM(TX_FINANCIAL)</f>
        <v>0</v>
      </c>
      <c r="H50" s="30"/>
      <c r="I50" s="30"/>
      <c r="J50" s="30"/>
      <c r="K50" s="30"/>
      <c r="L50" s="29"/>
      <c r="M50" s="30"/>
      <c r="N50" s="30"/>
      <c r="O50" s="30"/>
      <c r="P50" s="30"/>
      <c r="Q50" s="30"/>
      <c r="R50" s="30"/>
      <c r="S50" s="30"/>
      <c r="T50" s="30"/>
      <c r="U50" s="30"/>
      <c r="V50" s="31"/>
    </row>
    <row r="51" spans="1:22">
      <c r="A51" s="1" t="s">
        <v>72</v>
      </c>
      <c r="B51" s="29">
        <v>0</v>
      </c>
      <c r="C51" s="30">
        <v>0</v>
      </c>
      <c r="D51" s="30">
        <v>0</v>
      </c>
      <c r="E51" s="30">
        <v>0</v>
      </c>
      <c r="F51" s="30">
        <v>0</v>
      </c>
      <c r="G51" s="31">
        <f>SUM(UT_FINANCIAL)</f>
        <v>0</v>
      </c>
      <c r="H51" s="30"/>
      <c r="I51" s="30"/>
      <c r="J51" s="30"/>
      <c r="K51" s="30"/>
      <c r="L51" s="29"/>
      <c r="M51" s="30"/>
      <c r="N51" s="30"/>
      <c r="O51" s="30"/>
      <c r="P51" s="30"/>
      <c r="Q51" s="30"/>
      <c r="R51" s="30"/>
      <c r="S51" s="30"/>
      <c r="T51" s="30"/>
      <c r="U51" s="30"/>
      <c r="V51" s="31"/>
    </row>
    <row r="52" spans="1:22">
      <c r="A52" s="1" t="s">
        <v>73</v>
      </c>
      <c r="B52" s="29">
        <v>0</v>
      </c>
      <c r="C52" s="30">
        <v>0</v>
      </c>
      <c r="D52" s="30">
        <v>0</v>
      </c>
      <c r="E52" s="30">
        <v>0</v>
      </c>
      <c r="F52" s="30">
        <v>0</v>
      </c>
      <c r="G52" s="31">
        <f>SUM(VT_FINANCIAL)</f>
        <v>0</v>
      </c>
      <c r="H52" s="30"/>
      <c r="I52" s="30"/>
      <c r="J52" s="30"/>
      <c r="K52" s="30"/>
      <c r="L52" s="29"/>
      <c r="M52" s="30"/>
      <c r="N52" s="30"/>
      <c r="O52" s="30"/>
      <c r="P52" s="30"/>
      <c r="Q52" s="30"/>
      <c r="R52" s="30"/>
      <c r="S52" s="30"/>
      <c r="T52" s="30"/>
      <c r="U52" s="30"/>
      <c r="V52" s="31"/>
    </row>
    <row r="53" spans="1:22">
      <c r="A53" s="1" t="s">
        <v>74</v>
      </c>
      <c r="B53" s="29">
        <v>0</v>
      </c>
      <c r="C53" s="30">
        <v>0</v>
      </c>
      <c r="D53" s="30">
        <v>0</v>
      </c>
      <c r="E53" s="30">
        <v>0</v>
      </c>
      <c r="F53" s="30">
        <v>0</v>
      </c>
      <c r="G53" s="31">
        <f>SUM(VA_FINANCIAL)</f>
        <v>0</v>
      </c>
      <c r="H53" s="30"/>
      <c r="I53" s="30"/>
      <c r="J53" s="30"/>
      <c r="K53" s="30"/>
      <c r="L53" s="29"/>
      <c r="M53" s="30"/>
      <c r="N53" s="30"/>
      <c r="O53" s="30"/>
      <c r="P53" s="30"/>
      <c r="Q53" s="30"/>
      <c r="R53" s="30"/>
      <c r="S53" s="30"/>
      <c r="T53" s="30"/>
      <c r="U53" s="30"/>
      <c r="V53" s="31"/>
    </row>
    <row r="54" spans="1:22">
      <c r="A54" s="1" t="s">
        <v>75</v>
      </c>
      <c r="B54" s="29">
        <v>0</v>
      </c>
      <c r="C54" s="30">
        <v>0</v>
      </c>
      <c r="D54" s="30">
        <v>0</v>
      </c>
      <c r="E54" s="30">
        <v>0</v>
      </c>
      <c r="F54" s="30">
        <v>0</v>
      </c>
      <c r="G54" s="31">
        <f>SUM(WA_FINANCIAL)</f>
        <v>0</v>
      </c>
      <c r="H54" s="30"/>
      <c r="I54" s="30"/>
      <c r="J54" s="30"/>
      <c r="K54" s="30"/>
      <c r="L54" s="29"/>
      <c r="M54" s="30"/>
      <c r="N54" s="30"/>
      <c r="O54" s="30"/>
      <c r="P54" s="30"/>
      <c r="Q54" s="30"/>
      <c r="R54" s="30"/>
      <c r="S54" s="30"/>
      <c r="T54" s="30"/>
      <c r="U54" s="30"/>
      <c r="V54" s="31"/>
    </row>
    <row r="55" spans="1:22">
      <c r="A55" s="1" t="s">
        <v>76</v>
      </c>
      <c r="B55" s="29">
        <v>0</v>
      </c>
      <c r="C55" s="30">
        <v>0</v>
      </c>
      <c r="D55" s="30">
        <v>0</v>
      </c>
      <c r="E55" s="30">
        <v>0</v>
      </c>
      <c r="F55" s="30">
        <v>0</v>
      </c>
      <c r="G55" s="31">
        <f>SUM(WV_FINANCIAL)</f>
        <v>0</v>
      </c>
      <c r="H55" s="30"/>
      <c r="I55" s="30"/>
      <c r="J55" s="30"/>
      <c r="K55" s="30"/>
      <c r="L55" s="29"/>
      <c r="M55" s="30"/>
      <c r="N55" s="30"/>
      <c r="O55" s="30"/>
      <c r="P55" s="30"/>
      <c r="Q55" s="30"/>
      <c r="R55" s="30"/>
      <c r="S55" s="30"/>
      <c r="T55" s="30"/>
      <c r="U55" s="30"/>
      <c r="V55" s="31"/>
    </row>
    <row r="56" spans="1:22">
      <c r="A56" s="1" t="s">
        <v>77</v>
      </c>
      <c r="B56" s="29">
        <v>0</v>
      </c>
      <c r="C56" s="30">
        <v>0</v>
      </c>
      <c r="D56" s="30">
        <v>0</v>
      </c>
      <c r="E56" s="30">
        <v>0</v>
      </c>
      <c r="F56" s="30">
        <v>0</v>
      </c>
      <c r="G56" s="31">
        <f>SUM(WI_FINANCIAL)</f>
        <v>0</v>
      </c>
      <c r="H56" s="30"/>
      <c r="I56" s="30"/>
      <c r="J56" s="30"/>
      <c r="K56" s="30"/>
      <c r="L56" s="29"/>
      <c r="M56" s="30"/>
      <c r="N56" s="30"/>
      <c r="O56" s="30"/>
      <c r="P56" s="30"/>
      <c r="Q56" s="30"/>
      <c r="R56" s="30"/>
      <c r="S56" s="30"/>
      <c r="T56" s="30"/>
      <c r="U56" s="30"/>
      <c r="V56" s="31"/>
    </row>
    <row r="57" spans="1:22">
      <c r="A57" s="1" t="s">
        <v>78</v>
      </c>
      <c r="B57" s="29">
        <v>0</v>
      </c>
      <c r="C57" s="30">
        <v>78296.080376478145</v>
      </c>
      <c r="D57" s="30">
        <v>0</v>
      </c>
      <c r="E57" s="30">
        <v>0</v>
      </c>
      <c r="F57" s="30">
        <v>0</v>
      </c>
      <c r="G57" s="31">
        <f>SUM(WY_FINANCIAL)</f>
        <v>78296.080376478145</v>
      </c>
      <c r="H57" s="30"/>
      <c r="I57" s="30"/>
      <c r="J57" s="30"/>
      <c r="K57" s="30"/>
      <c r="L57" s="29">
        <v>111616</v>
      </c>
      <c r="M57" s="30">
        <v>0</v>
      </c>
      <c r="N57" s="30"/>
      <c r="O57" s="30">
        <v>0</v>
      </c>
      <c r="P57" s="30">
        <v>0</v>
      </c>
      <c r="Q57" s="30"/>
      <c r="R57" s="30">
        <v>0</v>
      </c>
      <c r="S57" s="30">
        <v>0</v>
      </c>
      <c r="T57" s="30"/>
      <c r="U57" s="30">
        <v>0</v>
      </c>
      <c r="V57" s="31">
        <v>0</v>
      </c>
    </row>
    <row r="58" spans="1:22">
      <c r="A58" s="1" t="s">
        <v>79</v>
      </c>
      <c r="B58" s="29">
        <v>0</v>
      </c>
      <c r="C58" s="30">
        <v>0</v>
      </c>
      <c r="D58" s="30">
        <v>0</v>
      </c>
      <c r="E58" s="30">
        <v>0</v>
      </c>
      <c r="F58" s="30">
        <v>0</v>
      </c>
      <c r="G58" s="31">
        <f>SUM(OT_FINANCIAL)</f>
        <v>0</v>
      </c>
      <c r="H58" s="30"/>
      <c r="I58" s="30"/>
      <c r="J58" s="30"/>
      <c r="K58" s="30"/>
      <c r="L58" s="29"/>
      <c r="M58" s="30"/>
      <c r="N58" s="30"/>
      <c r="O58" s="30"/>
      <c r="P58" s="30"/>
      <c r="Q58" s="30"/>
      <c r="R58" s="30"/>
      <c r="S58" s="30"/>
      <c r="T58" s="30"/>
      <c r="U58" s="30"/>
      <c r="V58" s="31"/>
    </row>
    <row r="59" spans="1:22">
      <c r="B59" s="29"/>
      <c r="C59" s="30"/>
      <c r="D59" s="30"/>
      <c r="E59" s="30"/>
      <c r="F59" s="30"/>
      <c r="G59" s="31"/>
      <c r="H59" s="30"/>
      <c r="I59" s="30"/>
      <c r="J59" s="30"/>
      <c r="K59" s="30"/>
      <c r="L59" s="29"/>
      <c r="M59" s="30"/>
      <c r="N59" s="30"/>
      <c r="O59" s="30"/>
      <c r="P59" s="30"/>
      <c r="Q59" s="30"/>
      <c r="R59" s="30"/>
      <c r="S59" s="30"/>
      <c r="T59" s="30"/>
      <c r="U59" s="30"/>
      <c r="V59" s="31"/>
    </row>
    <row r="60" spans="1:22">
      <c r="A60" s="1" t="s">
        <v>8</v>
      </c>
      <c r="B60" s="29">
        <f>SUM(LIFE)</f>
        <v>2485907.0505228303</v>
      </c>
      <c r="C60" s="30">
        <f>SUM(ALLOCATED)</f>
        <v>170712718.23676884</v>
      </c>
      <c r="D60" s="30">
        <f>SUM(HEALTH)</f>
        <v>389201.58535833366</v>
      </c>
      <c r="E60" s="30">
        <f>SUM(UNALLOCATED)</f>
        <v>0</v>
      </c>
      <c r="F60" s="30">
        <f>SUM(LTC)</f>
        <v>0</v>
      </c>
      <c r="G60" s="31">
        <f>SUM(ALL_BLOCKS)</f>
        <v>173587826.87265003</v>
      </c>
      <c r="H60" s="30"/>
      <c r="I60" s="30"/>
      <c r="J60" s="30"/>
      <c r="K60" s="30"/>
      <c r="L60" s="29">
        <f>SUM(LIFE_CALLED)</f>
        <v>94012513</v>
      </c>
      <c r="M60" s="30">
        <f>SUM(LIFE_REFUNDED)</f>
        <v>0</v>
      </c>
      <c r="N60" s="30"/>
      <c r="O60" s="30">
        <f>SUM(ALLOC_CALLED)</f>
        <v>76061564</v>
      </c>
      <c r="P60" s="30">
        <f>SUM(ALLOC_REFUNDED)</f>
        <v>0</v>
      </c>
      <c r="Q60" s="30"/>
      <c r="R60" s="30">
        <f>SUM(HEALTH_CALLED)</f>
        <v>250000</v>
      </c>
      <c r="S60" s="30">
        <f>SUM(HEALTH_REFUNDED)</f>
        <v>0</v>
      </c>
      <c r="T60" s="30"/>
      <c r="U60" s="30">
        <f>SUM(UNALLOC_CALLED)</f>
        <v>67153313</v>
      </c>
      <c r="V60" s="31">
        <f>SUM(UNALLOC_REFUNDED)</f>
        <v>0</v>
      </c>
    </row>
    <row r="61" spans="1:22" ht="5.0999999999999996" customHeight="1">
      <c r="B61" s="8"/>
      <c r="G61" s="11"/>
      <c r="L61" s="8"/>
      <c r="V61" s="11"/>
    </row>
    <row r="62" spans="1:22">
      <c r="B62" s="8"/>
      <c r="G62" s="11"/>
      <c r="L62" s="122" t="s">
        <v>80</v>
      </c>
      <c r="M62" s="123"/>
      <c r="N62" s="123"/>
      <c r="O62" s="123"/>
      <c r="P62" s="123"/>
      <c r="Q62" s="123"/>
      <c r="R62" s="123"/>
      <c r="S62" s="123"/>
      <c r="T62" s="123"/>
      <c r="U62" s="123"/>
      <c r="V62" s="124"/>
    </row>
    <row r="63" spans="1:22">
      <c r="B63" s="8"/>
      <c r="G63" s="11"/>
      <c r="L63" s="125"/>
      <c r="M63" s="123"/>
      <c r="N63" s="123"/>
      <c r="O63" s="123"/>
      <c r="P63" s="123"/>
      <c r="Q63" s="123"/>
      <c r="R63" s="123"/>
      <c r="S63" s="123"/>
      <c r="T63" s="123"/>
      <c r="U63" s="123"/>
      <c r="V63" s="124"/>
    </row>
    <row r="64" spans="1:22">
      <c r="B64" s="10"/>
      <c r="C64" s="7"/>
      <c r="D64" s="7"/>
      <c r="E64" s="7"/>
      <c r="F64" s="7"/>
      <c r="G64" s="13"/>
      <c r="L64" s="126"/>
      <c r="M64" s="127"/>
      <c r="N64" s="127"/>
      <c r="O64" s="127"/>
      <c r="P64" s="127"/>
      <c r="Q64" s="127"/>
      <c r="R64" s="127"/>
      <c r="S64" s="127"/>
      <c r="T64" s="127"/>
      <c r="U64" s="127"/>
      <c r="V64" s="128"/>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V64"/>
  <sheetViews>
    <sheetView zoomScale="75" workbookViewId="0">
      <selection sqref="A1:XFD1048576"/>
    </sheetView>
  </sheetViews>
  <sheetFormatPr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129" t="s">
        <v>107</v>
      </c>
      <c r="B1" s="123"/>
      <c r="C1" s="123"/>
      <c r="D1" s="123"/>
      <c r="E1" s="123"/>
      <c r="F1" s="123"/>
      <c r="G1" s="123"/>
    </row>
    <row r="3" spans="1:22">
      <c r="B3" s="130" t="s">
        <v>1</v>
      </c>
      <c r="C3" s="131"/>
      <c r="D3" s="131"/>
      <c r="E3" s="131"/>
      <c r="F3" s="131"/>
      <c r="G3" s="132"/>
      <c r="L3" s="133" t="s">
        <v>2</v>
      </c>
      <c r="M3" s="134"/>
      <c r="N3" s="134"/>
      <c r="O3" s="134"/>
      <c r="P3" s="134"/>
      <c r="Q3" s="134"/>
      <c r="R3" s="134"/>
      <c r="S3" s="134"/>
      <c r="T3" s="134"/>
      <c r="U3" s="134"/>
      <c r="V3" s="135"/>
    </row>
    <row r="4" spans="1:22">
      <c r="B4" s="8"/>
      <c r="G4" s="11"/>
      <c r="L4" s="136" t="s">
        <v>3</v>
      </c>
      <c r="M4" s="137"/>
      <c r="N4" s="4"/>
      <c r="O4" s="138" t="s">
        <v>4</v>
      </c>
      <c r="P4" s="137"/>
      <c r="Q4" s="4"/>
      <c r="R4" s="138" t="s">
        <v>5</v>
      </c>
      <c r="S4" s="137"/>
      <c r="T4" s="4"/>
      <c r="U4" s="138" t="s">
        <v>6</v>
      </c>
      <c r="V4" s="139"/>
    </row>
    <row r="5" spans="1:22" ht="60" customHeight="1">
      <c r="B5" s="9" t="s">
        <v>3</v>
      </c>
      <c r="C5" s="5" t="s">
        <v>4</v>
      </c>
      <c r="D5" s="5" t="s">
        <v>5</v>
      </c>
      <c r="E5" s="5" t="s">
        <v>6</v>
      </c>
      <c r="F5" s="5" t="s">
        <v>7</v>
      </c>
      <c r="G5" s="12" t="s">
        <v>8</v>
      </c>
      <c r="L5" s="15" t="s">
        <v>9</v>
      </c>
      <c r="M5" s="14" t="s">
        <v>10</v>
      </c>
      <c r="N5" s="14"/>
      <c r="O5" s="14" t="s">
        <v>9</v>
      </c>
      <c r="P5" s="14" t="s">
        <v>10</v>
      </c>
      <c r="Q5" s="14"/>
      <c r="R5" s="14" t="s">
        <v>9</v>
      </c>
      <c r="S5" s="14" t="s">
        <v>10</v>
      </c>
      <c r="T5" s="14"/>
      <c r="U5" s="14" t="s">
        <v>9</v>
      </c>
      <c r="V5" s="16" t="s">
        <v>10</v>
      </c>
    </row>
    <row r="6" spans="1:22">
      <c r="A6" s="1" t="s">
        <v>11</v>
      </c>
      <c r="B6" s="29">
        <v>0</v>
      </c>
      <c r="C6" s="30">
        <v>24807.655085628186</v>
      </c>
      <c r="D6" s="30">
        <v>0</v>
      </c>
      <c r="E6" s="30">
        <v>0</v>
      </c>
      <c r="F6" s="30">
        <v>0</v>
      </c>
      <c r="G6" s="31">
        <f>SUM(AL_FINANCIAL)</f>
        <v>24807.655085628186</v>
      </c>
      <c r="H6" s="30"/>
      <c r="I6" s="30"/>
      <c r="J6" s="30"/>
      <c r="K6" s="30"/>
      <c r="L6" s="29"/>
      <c r="M6" s="30"/>
      <c r="N6" s="30"/>
      <c r="O6" s="30"/>
      <c r="P6" s="30"/>
      <c r="Q6" s="30"/>
      <c r="R6" s="30"/>
      <c r="S6" s="30"/>
      <c r="T6" s="30"/>
      <c r="U6" s="30"/>
      <c r="V6" s="31"/>
    </row>
    <row r="7" spans="1:22">
      <c r="A7" s="1" t="s">
        <v>12</v>
      </c>
      <c r="B7" s="29">
        <v>0</v>
      </c>
      <c r="C7" s="30">
        <v>0</v>
      </c>
      <c r="D7" s="30">
        <v>0</v>
      </c>
      <c r="E7" s="30">
        <v>0</v>
      </c>
      <c r="F7" s="30">
        <v>0</v>
      </c>
      <c r="G7" s="31">
        <f>SUM(AK_FINANCIAL)</f>
        <v>0</v>
      </c>
      <c r="H7" s="30"/>
      <c r="I7" s="32"/>
      <c r="J7" s="33"/>
      <c r="K7" s="30"/>
      <c r="L7" s="29"/>
      <c r="M7" s="30"/>
      <c r="N7" s="30"/>
      <c r="O7" s="30"/>
      <c r="P7" s="30"/>
      <c r="Q7" s="30"/>
      <c r="R7" s="30"/>
      <c r="S7" s="30"/>
      <c r="T7" s="30"/>
      <c r="U7" s="30"/>
      <c r="V7" s="31"/>
    </row>
    <row r="8" spans="1:22">
      <c r="A8" s="1" t="s">
        <v>13</v>
      </c>
      <c r="B8" s="29">
        <v>0</v>
      </c>
      <c r="C8" s="30">
        <v>4109513.1712134164</v>
      </c>
      <c r="D8" s="30">
        <v>0</v>
      </c>
      <c r="E8" s="30">
        <v>0</v>
      </c>
      <c r="F8" s="30">
        <v>0</v>
      </c>
      <c r="G8" s="31">
        <f>SUM(AZ_FINANCIAL)</f>
        <v>4109513.1712134164</v>
      </c>
      <c r="H8" s="30"/>
      <c r="I8" s="34" t="s">
        <v>14</v>
      </c>
      <c r="J8" s="35"/>
      <c r="K8" s="30"/>
      <c r="L8" s="29">
        <v>0</v>
      </c>
      <c r="M8" s="30">
        <v>0</v>
      </c>
      <c r="N8" s="30"/>
      <c r="O8" s="30">
        <v>0</v>
      </c>
      <c r="P8" s="30">
        <v>0</v>
      </c>
      <c r="Q8" s="30"/>
      <c r="R8" s="30">
        <v>11693421</v>
      </c>
      <c r="S8" s="30">
        <v>0</v>
      </c>
      <c r="T8" s="30"/>
      <c r="U8" s="30">
        <v>0</v>
      </c>
      <c r="V8" s="31">
        <v>0</v>
      </c>
    </row>
    <row r="9" spans="1:22">
      <c r="A9" s="1" t="s">
        <v>15</v>
      </c>
      <c r="B9" s="29">
        <v>0</v>
      </c>
      <c r="C9" s="30">
        <v>515306.77187743748</v>
      </c>
      <c r="D9" s="30">
        <v>0</v>
      </c>
      <c r="E9" s="30">
        <v>0</v>
      </c>
      <c r="F9" s="30">
        <v>0</v>
      </c>
      <c r="G9" s="31">
        <f>SUM(AR_FINANCIAL)</f>
        <v>515306.77187743748</v>
      </c>
      <c r="H9" s="30"/>
      <c r="I9" s="34"/>
      <c r="J9" s="35"/>
      <c r="K9" s="30"/>
      <c r="L9" s="29">
        <v>27819</v>
      </c>
      <c r="M9" s="30">
        <v>0</v>
      </c>
      <c r="N9" s="30"/>
      <c r="O9" s="30">
        <v>0</v>
      </c>
      <c r="P9" s="30">
        <v>0</v>
      </c>
      <c r="Q9" s="30"/>
      <c r="R9" s="30">
        <v>0</v>
      </c>
      <c r="S9" s="30">
        <v>0</v>
      </c>
      <c r="T9" s="30"/>
      <c r="U9" s="30">
        <v>0</v>
      </c>
      <c r="V9" s="31">
        <v>0</v>
      </c>
    </row>
    <row r="10" spans="1:22">
      <c r="A10" s="1" t="s">
        <v>16</v>
      </c>
      <c r="B10" s="29">
        <v>0</v>
      </c>
      <c r="C10" s="30">
        <v>0</v>
      </c>
      <c r="D10" s="30">
        <v>0</v>
      </c>
      <c r="E10" s="30">
        <v>0</v>
      </c>
      <c r="F10" s="30">
        <v>0</v>
      </c>
      <c r="G10" s="31">
        <f>SUM(CA_FINANCIAL)</f>
        <v>0</v>
      </c>
      <c r="H10" s="30"/>
      <c r="I10" s="34" t="s">
        <v>17</v>
      </c>
      <c r="J10" s="35">
        <v>18947440</v>
      </c>
      <c r="K10" s="30"/>
      <c r="L10" s="29"/>
      <c r="M10" s="30"/>
      <c r="N10" s="30"/>
      <c r="O10" s="30"/>
      <c r="P10" s="30"/>
      <c r="Q10" s="30"/>
      <c r="R10" s="30"/>
      <c r="S10" s="30"/>
      <c r="T10" s="30"/>
      <c r="U10" s="30"/>
      <c r="V10" s="31"/>
    </row>
    <row r="11" spans="1:22">
      <c r="A11" s="1" t="s">
        <v>18</v>
      </c>
      <c r="B11" s="29">
        <v>0</v>
      </c>
      <c r="C11" s="30">
        <v>0</v>
      </c>
      <c r="D11" s="30">
        <v>0</v>
      </c>
      <c r="E11" s="30">
        <v>0</v>
      </c>
      <c r="F11" s="30">
        <v>0</v>
      </c>
      <c r="G11" s="31">
        <f>SUM(CO_FINANCIAL)</f>
        <v>0</v>
      </c>
      <c r="H11" s="30"/>
      <c r="I11" s="34"/>
      <c r="J11" s="35"/>
      <c r="K11" s="30"/>
      <c r="L11" s="29"/>
      <c r="M11" s="30"/>
      <c r="N11" s="30"/>
      <c r="O11" s="30"/>
      <c r="P11" s="30"/>
      <c r="Q11" s="30"/>
      <c r="R11" s="30"/>
      <c r="S11" s="30"/>
      <c r="T11" s="30"/>
      <c r="U11" s="30"/>
      <c r="V11" s="31"/>
    </row>
    <row r="12" spans="1:22">
      <c r="A12" s="1" t="s">
        <v>19</v>
      </c>
      <c r="B12" s="29">
        <v>0</v>
      </c>
      <c r="C12" s="30">
        <v>0</v>
      </c>
      <c r="D12" s="30">
        <v>0</v>
      </c>
      <c r="E12" s="30">
        <v>0</v>
      </c>
      <c r="F12" s="30">
        <v>0</v>
      </c>
      <c r="G12" s="31">
        <f>SUM(CT_FINANCIAL)</f>
        <v>0</v>
      </c>
      <c r="H12" s="30"/>
      <c r="I12" s="34" t="s">
        <v>20</v>
      </c>
      <c r="J12" s="35"/>
      <c r="K12" s="30"/>
      <c r="L12" s="29"/>
      <c r="M12" s="30"/>
      <c r="N12" s="30"/>
      <c r="O12" s="30"/>
      <c r="P12" s="30"/>
      <c r="Q12" s="30"/>
      <c r="R12" s="30"/>
      <c r="S12" s="30"/>
      <c r="T12" s="30"/>
      <c r="U12" s="30"/>
      <c r="V12" s="31"/>
    </row>
    <row r="13" spans="1:22">
      <c r="A13" s="1" t="s">
        <v>21</v>
      </c>
      <c r="B13" s="29">
        <v>0</v>
      </c>
      <c r="C13" s="30">
        <v>10856.295177866774</v>
      </c>
      <c r="D13" s="30">
        <v>0</v>
      </c>
      <c r="E13" s="30">
        <v>0</v>
      </c>
      <c r="F13" s="30">
        <v>0</v>
      </c>
      <c r="G13" s="31">
        <f>SUM(DE_FINANCIAL)</f>
        <v>10856.295177866774</v>
      </c>
      <c r="H13" s="30"/>
      <c r="I13" s="34" t="s">
        <v>22</v>
      </c>
      <c r="J13" s="35">
        <v>67243</v>
      </c>
      <c r="K13" s="30"/>
      <c r="L13" s="29">
        <v>0</v>
      </c>
      <c r="M13" s="30">
        <v>0</v>
      </c>
      <c r="N13" s="30"/>
      <c r="O13" s="30">
        <v>15000</v>
      </c>
      <c r="P13" s="30">
        <v>0</v>
      </c>
      <c r="Q13" s="30"/>
      <c r="R13" s="30">
        <v>25000</v>
      </c>
      <c r="S13" s="30">
        <v>0</v>
      </c>
      <c r="T13" s="30"/>
      <c r="U13" s="30">
        <v>0</v>
      </c>
      <c r="V13" s="31">
        <v>0</v>
      </c>
    </row>
    <row r="14" spans="1:22">
      <c r="A14" s="1" t="s">
        <v>23</v>
      </c>
      <c r="B14" s="29">
        <v>0</v>
      </c>
      <c r="C14" s="30">
        <v>0</v>
      </c>
      <c r="D14" s="30">
        <v>0</v>
      </c>
      <c r="E14" s="30">
        <v>0</v>
      </c>
      <c r="F14" s="30">
        <v>0</v>
      </c>
      <c r="G14" s="31">
        <f>SUM(DC_FINANCIAL)</f>
        <v>0</v>
      </c>
      <c r="H14" s="30"/>
      <c r="I14" s="34" t="s">
        <v>24</v>
      </c>
      <c r="J14" s="35">
        <v>201589</v>
      </c>
      <c r="K14" s="30"/>
      <c r="L14" s="29"/>
      <c r="M14" s="30"/>
      <c r="N14" s="30"/>
      <c r="O14" s="30"/>
      <c r="P14" s="30"/>
      <c r="Q14" s="30"/>
      <c r="R14" s="30"/>
      <c r="S14" s="30"/>
      <c r="T14" s="30"/>
      <c r="U14" s="30"/>
      <c r="V14" s="31"/>
    </row>
    <row r="15" spans="1:22">
      <c r="A15" s="1" t="s">
        <v>25</v>
      </c>
      <c r="B15" s="29">
        <v>0</v>
      </c>
      <c r="C15" s="30">
        <v>178730.68009906751</v>
      </c>
      <c r="D15" s="30">
        <v>0</v>
      </c>
      <c r="E15" s="30">
        <v>0</v>
      </c>
      <c r="F15" s="30">
        <v>0</v>
      </c>
      <c r="G15" s="31">
        <f>SUM(FL_FINANCIAL)</f>
        <v>178730.68009906751</v>
      </c>
      <c r="H15" s="30"/>
      <c r="I15" s="34" t="s">
        <v>26</v>
      </c>
      <c r="J15" s="35">
        <v>755048.84000000008</v>
      </c>
      <c r="K15" s="30"/>
      <c r="L15" s="29"/>
      <c r="M15" s="30"/>
      <c r="N15" s="30"/>
      <c r="O15" s="30"/>
      <c r="P15" s="30"/>
      <c r="Q15" s="30"/>
      <c r="R15" s="30"/>
      <c r="S15" s="30"/>
      <c r="T15" s="30"/>
      <c r="U15" s="30"/>
      <c r="V15" s="31"/>
    </row>
    <row r="16" spans="1:22">
      <c r="A16" s="1" t="s">
        <v>27</v>
      </c>
      <c r="B16" s="29">
        <v>0</v>
      </c>
      <c r="C16" s="30">
        <v>-1833.1288433224472</v>
      </c>
      <c r="D16" s="30">
        <v>0</v>
      </c>
      <c r="E16" s="30">
        <v>0</v>
      </c>
      <c r="F16" s="30">
        <v>0</v>
      </c>
      <c r="G16" s="31">
        <f>SUM(GA_FINANCIAL)</f>
        <v>-1833.1288433224472</v>
      </c>
      <c r="H16" s="30"/>
      <c r="I16" s="34" t="s">
        <v>28</v>
      </c>
      <c r="J16" s="35">
        <v>0</v>
      </c>
      <c r="K16" s="30"/>
      <c r="L16" s="29"/>
      <c r="M16" s="30"/>
      <c r="N16" s="30"/>
      <c r="O16" s="30"/>
      <c r="P16" s="30"/>
      <c r="Q16" s="30"/>
      <c r="R16" s="30"/>
      <c r="S16" s="30"/>
      <c r="T16" s="30"/>
      <c r="U16" s="30"/>
      <c r="V16" s="31"/>
    </row>
    <row r="17" spans="1:22">
      <c r="A17" s="1" t="s">
        <v>29</v>
      </c>
      <c r="B17" s="29">
        <v>0</v>
      </c>
      <c r="C17" s="30">
        <v>0</v>
      </c>
      <c r="D17" s="30">
        <v>0</v>
      </c>
      <c r="E17" s="30">
        <v>0</v>
      </c>
      <c r="F17" s="30">
        <v>0</v>
      </c>
      <c r="G17" s="31">
        <f>SUM(HI_FINANCIAL)</f>
        <v>0</v>
      </c>
      <c r="H17" s="30"/>
      <c r="I17" s="34"/>
      <c r="J17" s="35"/>
      <c r="K17" s="30"/>
      <c r="L17" s="29"/>
      <c r="M17" s="30"/>
      <c r="N17" s="30"/>
      <c r="O17" s="30"/>
      <c r="P17" s="30"/>
      <c r="Q17" s="30"/>
      <c r="R17" s="30"/>
      <c r="S17" s="30"/>
      <c r="T17" s="30"/>
      <c r="U17" s="30"/>
      <c r="V17" s="31"/>
    </row>
    <row r="18" spans="1:22">
      <c r="A18" s="1" t="s">
        <v>30</v>
      </c>
      <c r="B18" s="29">
        <v>0</v>
      </c>
      <c r="C18" s="30">
        <v>0</v>
      </c>
      <c r="D18" s="30">
        <v>0</v>
      </c>
      <c r="E18" s="30">
        <v>0</v>
      </c>
      <c r="F18" s="30">
        <v>0</v>
      </c>
      <c r="G18" s="31">
        <f>SUM(ID_FINANCIAL)</f>
        <v>0</v>
      </c>
      <c r="H18" s="30"/>
      <c r="I18" s="34" t="s">
        <v>31</v>
      </c>
      <c r="J18" s="35"/>
      <c r="K18" s="30"/>
      <c r="L18" s="29"/>
      <c r="M18" s="30"/>
      <c r="N18" s="30"/>
      <c r="O18" s="30"/>
      <c r="P18" s="30"/>
      <c r="Q18" s="30"/>
      <c r="R18" s="30"/>
      <c r="S18" s="30"/>
      <c r="T18" s="30"/>
      <c r="U18" s="30"/>
      <c r="V18" s="31"/>
    </row>
    <row r="19" spans="1:22">
      <c r="A19" s="1" t="s">
        <v>32</v>
      </c>
      <c r="B19" s="29">
        <v>0</v>
      </c>
      <c r="C19" s="30">
        <v>1523645.9306260133</v>
      </c>
      <c r="D19" s="30">
        <v>0</v>
      </c>
      <c r="E19" s="30">
        <v>0</v>
      </c>
      <c r="F19" s="30">
        <v>0</v>
      </c>
      <c r="G19" s="31">
        <f>SUM(IL_FINANCIAL)</f>
        <v>1523645.9306260133</v>
      </c>
      <c r="H19" s="30"/>
      <c r="I19" s="34" t="s">
        <v>33</v>
      </c>
      <c r="J19" s="35">
        <v>0</v>
      </c>
      <c r="K19" s="30"/>
      <c r="L19" s="29">
        <v>0</v>
      </c>
      <c r="M19" s="30">
        <v>0</v>
      </c>
      <c r="N19" s="30"/>
      <c r="O19" s="30">
        <v>3000000</v>
      </c>
      <c r="P19" s="30">
        <v>1395000</v>
      </c>
      <c r="Q19" s="30"/>
      <c r="R19" s="30">
        <v>0</v>
      </c>
      <c r="S19" s="30">
        <v>0</v>
      </c>
      <c r="T19" s="30"/>
      <c r="U19" s="30">
        <v>0</v>
      </c>
      <c r="V19" s="31">
        <v>0</v>
      </c>
    </row>
    <row r="20" spans="1:22">
      <c r="A20" s="1" t="s">
        <v>34</v>
      </c>
      <c r="B20" s="29">
        <v>0</v>
      </c>
      <c r="C20" s="30">
        <v>74986.228288465718</v>
      </c>
      <c r="D20" s="30">
        <v>0</v>
      </c>
      <c r="E20" s="30">
        <v>0</v>
      </c>
      <c r="F20" s="30">
        <v>0</v>
      </c>
      <c r="G20" s="31">
        <f>SUM(IN_FINANCIAL)</f>
        <v>74986.228288465718</v>
      </c>
      <c r="H20" s="30"/>
      <c r="I20" s="34" t="s">
        <v>35</v>
      </c>
      <c r="J20" s="35">
        <v>-4124280.4800000014</v>
      </c>
      <c r="K20" s="30"/>
      <c r="L20" s="29"/>
      <c r="M20" s="30"/>
      <c r="N20" s="30"/>
      <c r="O20" s="30"/>
      <c r="P20" s="30"/>
      <c r="Q20" s="30"/>
      <c r="R20" s="30"/>
      <c r="S20" s="30"/>
      <c r="T20" s="30"/>
      <c r="U20" s="30"/>
      <c r="V20" s="31"/>
    </row>
    <row r="21" spans="1:22">
      <c r="A21" s="1" t="s">
        <v>36</v>
      </c>
      <c r="B21" s="29">
        <v>0</v>
      </c>
      <c r="C21" s="30">
        <v>13323.24501161047</v>
      </c>
      <c r="D21" s="30">
        <v>0</v>
      </c>
      <c r="E21" s="30">
        <v>0</v>
      </c>
      <c r="F21" s="30">
        <v>0</v>
      </c>
      <c r="G21" s="31">
        <f>SUM(IA_FINANCIAL)</f>
        <v>13323.24501161047</v>
      </c>
      <c r="H21" s="30"/>
      <c r="I21" s="34" t="s">
        <v>37</v>
      </c>
      <c r="J21" s="35"/>
      <c r="K21" s="30"/>
      <c r="L21" s="29">
        <v>0</v>
      </c>
      <c r="M21" s="30">
        <v>0</v>
      </c>
      <c r="N21" s="30"/>
      <c r="O21" s="30">
        <v>24520</v>
      </c>
      <c r="P21" s="30">
        <v>0</v>
      </c>
      <c r="Q21" s="30"/>
      <c r="R21" s="30">
        <v>0</v>
      </c>
      <c r="S21" s="30">
        <v>0</v>
      </c>
      <c r="T21" s="30"/>
      <c r="U21" s="30">
        <v>0</v>
      </c>
      <c r="V21" s="31">
        <v>0</v>
      </c>
    </row>
    <row r="22" spans="1:22">
      <c r="A22" s="1" t="s">
        <v>38</v>
      </c>
      <c r="B22" s="29">
        <v>0</v>
      </c>
      <c r="C22" s="30">
        <v>58223.572119643664</v>
      </c>
      <c r="D22" s="30">
        <v>0</v>
      </c>
      <c r="E22" s="30">
        <v>0</v>
      </c>
      <c r="F22" s="30">
        <v>0</v>
      </c>
      <c r="G22" s="31">
        <f>SUM(KS_FINANCIAL)</f>
        <v>58223.572119643664</v>
      </c>
      <c r="H22" s="30"/>
      <c r="I22" s="34" t="s">
        <v>39</v>
      </c>
      <c r="J22" s="35">
        <v>999999.99999999919</v>
      </c>
      <c r="K22" s="30"/>
      <c r="L22" s="29"/>
      <c r="M22" s="30"/>
      <c r="N22" s="30"/>
      <c r="O22" s="30"/>
      <c r="P22" s="30"/>
      <c r="Q22" s="30"/>
      <c r="R22" s="30"/>
      <c r="S22" s="30"/>
      <c r="T22" s="30"/>
      <c r="U22" s="30"/>
      <c r="V22" s="31"/>
    </row>
    <row r="23" spans="1:22">
      <c r="A23" s="1" t="s">
        <v>40</v>
      </c>
      <c r="B23" s="29">
        <v>0</v>
      </c>
      <c r="C23" s="30">
        <v>96952.205328923112</v>
      </c>
      <c r="D23" s="30">
        <v>0</v>
      </c>
      <c r="E23" s="30">
        <v>0</v>
      </c>
      <c r="F23" s="30">
        <v>0</v>
      </c>
      <c r="G23" s="31">
        <f>SUM(KY_FINANCIAL)</f>
        <v>96952.205328923112</v>
      </c>
      <c r="H23" s="30"/>
      <c r="I23" s="34" t="s">
        <v>41</v>
      </c>
      <c r="J23" s="35"/>
      <c r="K23" s="30"/>
      <c r="L23" s="29"/>
      <c r="M23" s="30"/>
      <c r="N23" s="30"/>
      <c r="O23" s="30"/>
      <c r="P23" s="30"/>
      <c r="Q23" s="30"/>
      <c r="R23" s="30"/>
      <c r="S23" s="30"/>
      <c r="T23" s="30"/>
      <c r="U23" s="30"/>
      <c r="V23" s="31"/>
    </row>
    <row r="24" spans="1:22">
      <c r="A24" s="1" t="s">
        <v>42</v>
      </c>
      <c r="B24" s="29">
        <v>0</v>
      </c>
      <c r="C24" s="30">
        <v>0</v>
      </c>
      <c r="D24" s="30">
        <v>0</v>
      </c>
      <c r="E24" s="30">
        <v>0</v>
      </c>
      <c r="F24" s="30">
        <v>0</v>
      </c>
      <c r="G24" s="31">
        <f>SUM(LA_FINANCIAL)</f>
        <v>0</v>
      </c>
      <c r="H24" s="30"/>
      <c r="I24" s="34" t="s">
        <v>43</v>
      </c>
      <c r="J24" s="35">
        <v>11002270.350000003</v>
      </c>
      <c r="K24" s="30"/>
      <c r="L24" s="29"/>
      <c r="M24" s="30"/>
      <c r="N24" s="30"/>
      <c r="O24" s="30"/>
      <c r="P24" s="30"/>
      <c r="Q24" s="30"/>
      <c r="R24" s="30"/>
      <c r="S24" s="30"/>
      <c r="T24" s="30"/>
      <c r="U24" s="30"/>
      <c r="V24" s="31"/>
    </row>
    <row r="25" spans="1:22">
      <c r="A25" s="1" t="s">
        <v>44</v>
      </c>
      <c r="B25" s="29">
        <v>0</v>
      </c>
      <c r="C25" s="30">
        <v>0</v>
      </c>
      <c r="D25" s="30">
        <v>0</v>
      </c>
      <c r="E25" s="30">
        <v>0</v>
      </c>
      <c r="F25" s="30">
        <v>0</v>
      </c>
      <c r="G25" s="31">
        <f>SUM(ME_FINANCIAL)</f>
        <v>0</v>
      </c>
      <c r="H25" s="30"/>
      <c r="I25" s="34"/>
      <c r="J25" s="35"/>
      <c r="K25" s="30"/>
      <c r="L25" s="29"/>
      <c r="M25" s="30"/>
      <c r="N25" s="30"/>
      <c r="O25" s="30"/>
      <c r="P25" s="30"/>
      <c r="Q25" s="30"/>
      <c r="R25" s="30"/>
      <c r="S25" s="30"/>
      <c r="T25" s="30"/>
      <c r="U25" s="30"/>
      <c r="V25" s="31"/>
    </row>
    <row r="26" spans="1:22">
      <c r="A26" s="1" t="s">
        <v>45</v>
      </c>
      <c r="B26" s="29">
        <v>0</v>
      </c>
      <c r="C26" s="30">
        <v>66778.970484925681</v>
      </c>
      <c r="D26" s="30">
        <v>0</v>
      </c>
      <c r="E26" s="30">
        <v>0</v>
      </c>
      <c r="F26" s="30">
        <v>0</v>
      </c>
      <c r="G26" s="31">
        <f>SUM(MD_FINANCIAL)</f>
        <v>66778.970484925681</v>
      </c>
      <c r="H26" s="30"/>
      <c r="I26" s="34" t="s">
        <v>46</v>
      </c>
      <c r="J26" s="35">
        <f>SUM(ADD_FINANCIAL)-SUM(LESS_FINANCIAL)</f>
        <v>12093330.969999999</v>
      </c>
      <c r="K26" s="30"/>
      <c r="L26" s="29">
        <v>130963</v>
      </c>
      <c r="M26" s="30">
        <v>0</v>
      </c>
      <c r="N26" s="30"/>
      <c r="O26" s="30">
        <v>0</v>
      </c>
      <c r="P26" s="30">
        <v>0</v>
      </c>
      <c r="Q26" s="30"/>
      <c r="R26" s="30">
        <v>0</v>
      </c>
      <c r="S26" s="30">
        <v>0</v>
      </c>
      <c r="T26" s="30"/>
      <c r="U26" s="30">
        <v>0</v>
      </c>
      <c r="V26" s="31">
        <v>0</v>
      </c>
    </row>
    <row r="27" spans="1:22">
      <c r="A27" s="1" t="s">
        <v>47</v>
      </c>
      <c r="B27" s="29">
        <v>0</v>
      </c>
      <c r="C27" s="30">
        <v>1118.2065159010308</v>
      </c>
      <c r="D27" s="30">
        <v>0</v>
      </c>
      <c r="E27" s="30">
        <v>0</v>
      </c>
      <c r="F27" s="30">
        <v>0</v>
      </c>
      <c r="G27" s="31">
        <f>SUM(MA_FINANCIAL)</f>
        <v>1118.2065159010308</v>
      </c>
      <c r="H27" s="30"/>
      <c r="I27" s="34" t="s">
        <v>48</v>
      </c>
      <c r="J27" s="35">
        <f>SUM(ALL_BLOCKS)</f>
        <v>12093330.970000001</v>
      </c>
      <c r="K27" s="30"/>
      <c r="L27" s="29"/>
      <c r="M27" s="30"/>
      <c r="N27" s="30"/>
      <c r="O27" s="30"/>
      <c r="P27" s="30"/>
      <c r="Q27" s="30"/>
      <c r="R27" s="30"/>
      <c r="S27" s="30"/>
      <c r="T27" s="30"/>
      <c r="U27" s="30"/>
      <c r="V27" s="31"/>
    </row>
    <row r="28" spans="1:22">
      <c r="A28" s="1" t="s">
        <v>49</v>
      </c>
      <c r="B28" s="29">
        <v>0</v>
      </c>
      <c r="C28" s="30">
        <v>45589.051984940532</v>
      </c>
      <c r="D28" s="30">
        <v>0</v>
      </c>
      <c r="E28" s="30">
        <v>0</v>
      </c>
      <c r="F28" s="30">
        <v>0</v>
      </c>
      <c r="G28" s="31">
        <f>SUM(MI_FINANCIAL)</f>
        <v>45589.051984940532</v>
      </c>
      <c r="H28" s="30"/>
      <c r="I28" s="36"/>
      <c r="J28" s="37"/>
      <c r="K28" s="30"/>
      <c r="L28" s="29"/>
      <c r="M28" s="30"/>
      <c r="N28" s="30"/>
      <c r="O28" s="30"/>
      <c r="P28" s="30"/>
      <c r="Q28" s="30"/>
      <c r="R28" s="30"/>
      <c r="S28" s="30"/>
      <c r="T28" s="30"/>
      <c r="U28" s="30"/>
      <c r="V28" s="31"/>
    </row>
    <row r="29" spans="1:22">
      <c r="A29" s="1" t="s">
        <v>50</v>
      </c>
      <c r="B29" s="29">
        <v>0</v>
      </c>
      <c r="C29" s="30">
        <v>15622.338578024655</v>
      </c>
      <c r="D29" s="30">
        <v>0</v>
      </c>
      <c r="E29" s="30">
        <v>0</v>
      </c>
      <c r="F29" s="30">
        <v>0</v>
      </c>
      <c r="G29" s="31">
        <f>SUM(MN_FINANCIAL)</f>
        <v>15622.338578024655</v>
      </c>
      <c r="H29" s="30"/>
      <c r="I29" s="30"/>
      <c r="J29" s="30"/>
      <c r="K29" s="30"/>
      <c r="L29" s="29">
        <v>0</v>
      </c>
      <c r="M29" s="30">
        <v>0</v>
      </c>
      <c r="N29" s="30"/>
      <c r="O29" s="30">
        <v>56000</v>
      </c>
      <c r="P29" s="30">
        <v>0</v>
      </c>
      <c r="Q29" s="30"/>
      <c r="R29" s="30">
        <v>0</v>
      </c>
      <c r="S29" s="30">
        <v>0</v>
      </c>
      <c r="T29" s="30"/>
      <c r="U29" s="30">
        <v>0</v>
      </c>
      <c r="V29" s="31">
        <v>0</v>
      </c>
    </row>
    <row r="30" spans="1:22">
      <c r="A30" s="1" t="s">
        <v>51</v>
      </c>
      <c r="B30" s="29">
        <v>0</v>
      </c>
      <c r="C30" s="30">
        <v>48552.046838224116</v>
      </c>
      <c r="D30" s="30">
        <v>0</v>
      </c>
      <c r="E30" s="30">
        <v>0</v>
      </c>
      <c r="F30" s="30">
        <v>0</v>
      </c>
      <c r="G30" s="31">
        <f>SUM(MS_FINANCIAL)</f>
        <v>48552.046838224116</v>
      </c>
      <c r="H30" s="30"/>
      <c r="I30" s="30"/>
      <c r="J30" s="30"/>
      <c r="K30" s="30"/>
      <c r="L30" s="29">
        <v>297</v>
      </c>
      <c r="M30" s="30">
        <v>0</v>
      </c>
      <c r="N30" s="30"/>
      <c r="O30" s="30">
        <v>0</v>
      </c>
      <c r="P30" s="30">
        <v>0</v>
      </c>
      <c r="Q30" s="30"/>
      <c r="R30" s="30">
        <v>4703</v>
      </c>
      <c r="S30" s="30">
        <v>0</v>
      </c>
      <c r="T30" s="30"/>
      <c r="U30" s="30">
        <v>0</v>
      </c>
      <c r="V30" s="31">
        <v>0</v>
      </c>
    </row>
    <row r="31" spans="1:22">
      <c r="A31" s="1" t="s">
        <v>52</v>
      </c>
      <c r="B31" s="29">
        <v>0</v>
      </c>
      <c r="C31" s="30">
        <v>407334.3480132292</v>
      </c>
      <c r="D31" s="30">
        <v>0</v>
      </c>
      <c r="E31" s="30">
        <v>0</v>
      </c>
      <c r="F31" s="30">
        <v>0</v>
      </c>
      <c r="G31" s="31">
        <f>SUM(MO_FINANCIAL)</f>
        <v>407334.3480132292</v>
      </c>
      <c r="H31" s="30"/>
      <c r="I31" s="30"/>
      <c r="J31" s="30"/>
      <c r="K31" s="30"/>
      <c r="L31" s="29">
        <v>0</v>
      </c>
      <c r="M31" s="30">
        <v>0</v>
      </c>
      <c r="N31" s="30"/>
      <c r="O31" s="30">
        <v>1449393</v>
      </c>
      <c r="P31" s="30">
        <v>0</v>
      </c>
      <c r="Q31" s="30"/>
      <c r="R31" s="30">
        <v>0</v>
      </c>
      <c r="S31" s="30">
        <v>0</v>
      </c>
      <c r="T31" s="30"/>
      <c r="U31" s="30">
        <v>0</v>
      </c>
      <c r="V31" s="31">
        <v>0</v>
      </c>
    </row>
    <row r="32" spans="1:22">
      <c r="A32" s="1" t="s">
        <v>53</v>
      </c>
      <c r="B32" s="29">
        <v>0</v>
      </c>
      <c r="C32" s="30">
        <v>0</v>
      </c>
      <c r="D32" s="30">
        <v>0</v>
      </c>
      <c r="E32" s="30">
        <v>0</v>
      </c>
      <c r="F32" s="30">
        <v>0</v>
      </c>
      <c r="G32" s="31">
        <f>SUM(MT_FINANCIAL)</f>
        <v>0</v>
      </c>
      <c r="H32" s="30"/>
      <c r="I32" s="30"/>
      <c r="J32" s="30"/>
      <c r="K32" s="30"/>
      <c r="L32" s="29"/>
      <c r="M32" s="30"/>
      <c r="N32" s="30"/>
      <c r="O32" s="30"/>
      <c r="P32" s="30"/>
      <c r="Q32" s="30"/>
      <c r="R32" s="30"/>
      <c r="S32" s="30"/>
      <c r="T32" s="30"/>
      <c r="U32" s="30"/>
      <c r="V32" s="31"/>
    </row>
    <row r="33" spans="1:22">
      <c r="A33" s="1" t="s">
        <v>54</v>
      </c>
      <c r="B33" s="29">
        <v>0</v>
      </c>
      <c r="C33" s="30">
        <v>0</v>
      </c>
      <c r="D33" s="30">
        <v>0</v>
      </c>
      <c r="E33" s="30">
        <v>0</v>
      </c>
      <c r="F33" s="30">
        <v>0</v>
      </c>
      <c r="G33" s="31">
        <f>SUM(NE_FINANCIAL)</f>
        <v>0</v>
      </c>
      <c r="H33" s="30"/>
      <c r="I33" s="30"/>
      <c r="J33" s="30"/>
      <c r="K33" s="30"/>
      <c r="L33" s="29"/>
      <c r="M33" s="30"/>
      <c r="N33" s="30"/>
      <c r="O33" s="30"/>
      <c r="P33" s="30"/>
      <c r="Q33" s="30"/>
      <c r="R33" s="30"/>
      <c r="S33" s="30"/>
      <c r="T33" s="30"/>
      <c r="U33" s="30"/>
      <c r="V33" s="31"/>
    </row>
    <row r="34" spans="1:22">
      <c r="A34" s="1" t="s">
        <v>55</v>
      </c>
      <c r="B34" s="29">
        <v>0</v>
      </c>
      <c r="C34" s="30">
        <v>21488.867383801276</v>
      </c>
      <c r="D34" s="30">
        <v>0</v>
      </c>
      <c r="E34" s="30">
        <v>0</v>
      </c>
      <c r="F34" s="30">
        <v>0</v>
      </c>
      <c r="G34" s="31">
        <f>SUM(NV_FINANCIAL)</f>
        <v>21488.867383801276</v>
      </c>
      <c r="H34" s="30"/>
      <c r="I34" s="30"/>
      <c r="J34" s="30"/>
      <c r="K34" s="30"/>
      <c r="L34" s="29">
        <v>0</v>
      </c>
      <c r="M34" s="30">
        <v>0</v>
      </c>
      <c r="N34" s="30"/>
      <c r="O34" s="30">
        <v>35100</v>
      </c>
      <c r="P34" s="30">
        <v>0</v>
      </c>
      <c r="Q34" s="30"/>
      <c r="R34" s="30">
        <v>0</v>
      </c>
      <c r="S34" s="30">
        <v>0</v>
      </c>
      <c r="T34" s="30"/>
      <c r="U34" s="30">
        <v>0</v>
      </c>
      <c r="V34" s="31">
        <v>0</v>
      </c>
    </row>
    <row r="35" spans="1:22">
      <c r="A35" s="1" t="s">
        <v>56</v>
      </c>
      <c r="B35" s="29">
        <v>0</v>
      </c>
      <c r="C35" s="30">
        <v>0</v>
      </c>
      <c r="D35" s="30">
        <v>0</v>
      </c>
      <c r="E35" s="30">
        <v>0</v>
      </c>
      <c r="F35" s="30">
        <v>0</v>
      </c>
      <c r="G35" s="31">
        <f>SUM(NH_FINANCIAL)</f>
        <v>0</v>
      </c>
      <c r="H35" s="30"/>
      <c r="I35" s="30"/>
      <c r="J35" s="30"/>
      <c r="K35" s="30"/>
      <c r="L35" s="29"/>
      <c r="M35" s="30"/>
      <c r="N35" s="30"/>
      <c r="O35" s="30"/>
      <c r="P35" s="30"/>
      <c r="Q35" s="30"/>
      <c r="R35" s="30"/>
      <c r="S35" s="30"/>
      <c r="T35" s="30"/>
      <c r="U35" s="30"/>
      <c r="V35" s="31"/>
    </row>
    <row r="36" spans="1:22">
      <c r="A36" s="1" t="s">
        <v>57</v>
      </c>
      <c r="B36" s="29">
        <v>0</v>
      </c>
      <c r="C36" s="30">
        <v>0</v>
      </c>
      <c r="D36" s="30">
        <v>0</v>
      </c>
      <c r="E36" s="30">
        <v>0</v>
      </c>
      <c r="F36" s="30">
        <v>0</v>
      </c>
      <c r="G36" s="31">
        <f>SUM(NJ_FINANCIAL)</f>
        <v>0</v>
      </c>
      <c r="H36" s="30"/>
      <c r="I36" s="30"/>
      <c r="J36" s="30"/>
      <c r="K36" s="30"/>
      <c r="L36" s="29"/>
      <c r="M36" s="30"/>
      <c r="N36" s="30"/>
      <c r="O36" s="30"/>
      <c r="P36" s="30"/>
      <c r="Q36" s="30"/>
      <c r="R36" s="30"/>
      <c r="S36" s="30"/>
      <c r="T36" s="30"/>
      <c r="U36" s="30"/>
      <c r="V36" s="31"/>
    </row>
    <row r="37" spans="1:22">
      <c r="A37" s="1" t="s">
        <v>58</v>
      </c>
      <c r="B37" s="29">
        <v>0</v>
      </c>
      <c r="C37" s="30">
        <v>0</v>
      </c>
      <c r="D37" s="30">
        <v>0</v>
      </c>
      <c r="E37" s="30">
        <v>0</v>
      </c>
      <c r="F37" s="30">
        <v>0</v>
      </c>
      <c r="G37" s="31">
        <f>SUM(NM_FINANCIAL)</f>
        <v>0</v>
      </c>
      <c r="H37" s="30"/>
      <c r="I37" s="30"/>
      <c r="J37" s="30"/>
      <c r="K37" s="30"/>
      <c r="L37" s="29"/>
      <c r="M37" s="30"/>
      <c r="N37" s="30"/>
      <c r="O37" s="30"/>
      <c r="P37" s="30"/>
      <c r="Q37" s="30"/>
      <c r="R37" s="30"/>
      <c r="S37" s="30"/>
      <c r="T37" s="30"/>
      <c r="U37" s="30"/>
      <c r="V37" s="31"/>
    </row>
    <row r="38" spans="1:22">
      <c r="A38" s="1" t="s">
        <v>59</v>
      </c>
      <c r="B38" s="29">
        <v>0</v>
      </c>
      <c r="C38" s="30">
        <v>0</v>
      </c>
      <c r="D38" s="30">
        <v>0</v>
      </c>
      <c r="E38" s="30">
        <v>0</v>
      </c>
      <c r="F38" s="30">
        <v>0</v>
      </c>
      <c r="G38" s="31">
        <f>SUM(NY_FINANCIAL)</f>
        <v>0</v>
      </c>
      <c r="H38" s="30"/>
      <c r="I38" s="30"/>
      <c r="J38" s="30"/>
      <c r="K38" s="30"/>
      <c r="L38" s="29"/>
      <c r="M38" s="30"/>
      <c r="N38" s="30"/>
      <c r="O38" s="30"/>
      <c r="P38" s="30"/>
      <c r="Q38" s="30"/>
      <c r="R38" s="30"/>
      <c r="S38" s="30"/>
      <c r="T38" s="30"/>
      <c r="U38" s="30"/>
      <c r="V38" s="31"/>
    </row>
    <row r="39" spans="1:22">
      <c r="A39" s="1" t="s">
        <v>60</v>
      </c>
      <c r="B39" s="29">
        <v>0</v>
      </c>
      <c r="C39" s="30">
        <v>1266.0453002083527</v>
      </c>
      <c r="D39" s="30">
        <v>0</v>
      </c>
      <c r="E39" s="30">
        <v>0</v>
      </c>
      <c r="F39" s="30">
        <v>0</v>
      </c>
      <c r="G39" s="31">
        <f>SUM(NC_FINANCIAL)</f>
        <v>1266.0453002083527</v>
      </c>
      <c r="H39" s="30"/>
      <c r="I39" s="30"/>
      <c r="J39" s="30"/>
      <c r="K39" s="30"/>
      <c r="L39" s="29"/>
      <c r="M39" s="30"/>
      <c r="N39" s="30"/>
      <c r="O39" s="30"/>
      <c r="P39" s="30"/>
      <c r="Q39" s="30"/>
      <c r="R39" s="30"/>
      <c r="S39" s="30"/>
      <c r="T39" s="30"/>
      <c r="U39" s="30"/>
      <c r="V39" s="31"/>
    </row>
    <row r="40" spans="1:22">
      <c r="A40" s="1" t="s">
        <v>61</v>
      </c>
      <c r="B40" s="29">
        <v>0</v>
      </c>
      <c r="C40" s="30">
        <v>60813.148946237707</v>
      </c>
      <c r="D40" s="30">
        <v>0</v>
      </c>
      <c r="E40" s="30">
        <v>0</v>
      </c>
      <c r="F40" s="30">
        <v>0</v>
      </c>
      <c r="G40" s="31">
        <f>SUM(ND_FINANCIAL)</f>
        <v>60813.148946237707</v>
      </c>
      <c r="H40" s="30"/>
      <c r="I40" s="30"/>
      <c r="J40" s="30"/>
      <c r="K40" s="30"/>
      <c r="L40" s="29">
        <v>0</v>
      </c>
      <c r="M40" s="30">
        <v>0</v>
      </c>
      <c r="N40" s="30"/>
      <c r="O40" s="30">
        <v>146270</v>
      </c>
      <c r="P40" s="30">
        <v>0</v>
      </c>
      <c r="Q40" s="30"/>
      <c r="R40" s="30">
        <v>0</v>
      </c>
      <c r="S40" s="30">
        <v>0</v>
      </c>
      <c r="T40" s="30"/>
      <c r="U40" s="30">
        <v>0</v>
      </c>
      <c r="V40" s="31">
        <v>0</v>
      </c>
    </row>
    <row r="41" spans="1:22">
      <c r="A41" s="1" t="s">
        <v>62</v>
      </c>
      <c r="B41" s="29">
        <v>0</v>
      </c>
      <c r="C41" s="30">
        <v>112497.82753344816</v>
      </c>
      <c r="D41" s="30">
        <v>0</v>
      </c>
      <c r="E41" s="30">
        <v>0</v>
      </c>
      <c r="F41" s="30">
        <v>0</v>
      </c>
      <c r="G41" s="31">
        <f>SUM(OH_FINANCIAL)</f>
        <v>112497.82753344816</v>
      </c>
      <c r="H41" s="30"/>
      <c r="I41" s="30"/>
      <c r="J41" s="30"/>
      <c r="K41" s="30"/>
      <c r="L41" s="29"/>
      <c r="M41" s="30"/>
      <c r="N41" s="30"/>
      <c r="O41" s="30"/>
      <c r="P41" s="30"/>
      <c r="Q41" s="30"/>
      <c r="R41" s="30"/>
      <c r="S41" s="30"/>
      <c r="T41" s="30"/>
      <c r="U41" s="30"/>
      <c r="V41" s="31"/>
    </row>
    <row r="42" spans="1:22">
      <c r="A42" s="1" t="s">
        <v>63</v>
      </c>
      <c r="B42" s="29">
        <v>0</v>
      </c>
      <c r="C42" s="30">
        <v>248123.53016991977</v>
      </c>
      <c r="D42" s="30">
        <v>0</v>
      </c>
      <c r="E42" s="30">
        <v>0</v>
      </c>
      <c r="F42" s="30">
        <v>0</v>
      </c>
      <c r="G42" s="31">
        <f>SUM(OK_FINANCIAL)</f>
        <v>248123.53016991977</v>
      </c>
      <c r="H42" s="30"/>
      <c r="I42" s="30"/>
      <c r="J42" s="30"/>
      <c r="K42" s="30"/>
      <c r="L42" s="29">
        <v>0</v>
      </c>
      <c r="M42" s="30">
        <v>0</v>
      </c>
      <c r="N42" s="30"/>
      <c r="O42" s="30">
        <v>602500</v>
      </c>
      <c r="P42" s="30">
        <v>150000</v>
      </c>
      <c r="Q42" s="30"/>
      <c r="R42" s="30">
        <v>0</v>
      </c>
      <c r="S42" s="30">
        <v>0</v>
      </c>
      <c r="T42" s="30"/>
      <c r="U42" s="30">
        <v>0</v>
      </c>
      <c r="V42" s="31">
        <v>0</v>
      </c>
    </row>
    <row r="43" spans="1:22">
      <c r="A43" s="1" t="s">
        <v>64</v>
      </c>
      <c r="B43" s="29">
        <v>0</v>
      </c>
      <c r="C43" s="30">
        <v>97869.019630502837</v>
      </c>
      <c r="D43" s="30">
        <v>0</v>
      </c>
      <c r="E43" s="30">
        <v>0</v>
      </c>
      <c r="F43" s="30">
        <v>0</v>
      </c>
      <c r="G43" s="31">
        <f>SUM(OR_FINANCIAL)</f>
        <v>97869.019630502837</v>
      </c>
      <c r="H43" s="30"/>
      <c r="I43" s="30"/>
      <c r="J43" s="30"/>
      <c r="K43" s="30"/>
      <c r="L43" s="29"/>
      <c r="M43" s="30"/>
      <c r="N43" s="30"/>
      <c r="O43" s="30"/>
      <c r="P43" s="30"/>
      <c r="Q43" s="30"/>
      <c r="R43" s="30"/>
      <c r="S43" s="30"/>
      <c r="T43" s="30"/>
      <c r="U43" s="30"/>
      <c r="V43" s="31"/>
    </row>
    <row r="44" spans="1:22">
      <c r="A44" s="1" t="s">
        <v>65</v>
      </c>
      <c r="B44" s="29">
        <v>0</v>
      </c>
      <c r="C44" s="30">
        <v>3874417.1712134159</v>
      </c>
      <c r="D44" s="30">
        <v>0</v>
      </c>
      <c r="E44" s="30">
        <v>0</v>
      </c>
      <c r="F44" s="30">
        <v>0</v>
      </c>
      <c r="G44" s="31">
        <f>SUM(PA_FINANCIAL)</f>
        <v>3874417.1712134159</v>
      </c>
      <c r="H44" s="30"/>
      <c r="I44" s="30"/>
      <c r="J44" s="30"/>
      <c r="K44" s="30"/>
      <c r="L44" s="29"/>
      <c r="M44" s="30"/>
      <c r="N44" s="30"/>
      <c r="O44" s="30"/>
      <c r="P44" s="30"/>
      <c r="Q44" s="30"/>
      <c r="R44" s="30"/>
      <c r="S44" s="30"/>
      <c r="T44" s="30"/>
      <c r="U44" s="30"/>
      <c r="V44" s="31"/>
    </row>
    <row r="45" spans="1:22">
      <c r="A45" s="1" t="s">
        <v>66</v>
      </c>
      <c r="B45" s="29">
        <v>0</v>
      </c>
      <c r="C45" s="30">
        <v>0</v>
      </c>
      <c r="D45" s="30">
        <v>0</v>
      </c>
      <c r="E45" s="30">
        <v>0</v>
      </c>
      <c r="F45" s="30">
        <v>0</v>
      </c>
      <c r="G45" s="31">
        <f>SUM(PR_FINANCIAL)</f>
        <v>0</v>
      </c>
      <c r="H45" s="30"/>
      <c r="I45" s="30"/>
      <c r="J45" s="30"/>
      <c r="K45" s="30"/>
      <c r="L45" s="29"/>
      <c r="M45" s="30"/>
      <c r="N45" s="30"/>
      <c r="O45" s="30"/>
      <c r="P45" s="30"/>
      <c r="Q45" s="30"/>
      <c r="R45" s="30"/>
      <c r="S45" s="30"/>
      <c r="T45" s="30"/>
      <c r="U45" s="30"/>
      <c r="V45" s="31"/>
    </row>
    <row r="46" spans="1:22">
      <c r="A46" s="1" t="s">
        <v>67</v>
      </c>
      <c r="B46" s="29">
        <v>0</v>
      </c>
      <c r="C46" s="30">
        <v>0</v>
      </c>
      <c r="D46" s="30">
        <v>0</v>
      </c>
      <c r="E46" s="30">
        <v>0</v>
      </c>
      <c r="F46" s="30">
        <v>0</v>
      </c>
      <c r="G46" s="31">
        <f>SUM(RI_FINANCIAL)</f>
        <v>0</v>
      </c>
      <c r="H46" s="30"/>
      <c r="I46" s="30"/>
      <c r="J46" s="30"/>
      <c r="K46" s="30"/>
      <c r="L46" s="29"/>
      <c r="M46" s="30"/>
      <c r="N46" s="30"/>
      <c r="O46" s="30"/>
      <c r="P46" s="30"/>
      <c r="Q46" s="30"/>
      <c r="R46" s="30"/>
      <c r="S46" s="30"/>
      <c r="T46" s="30"/>
      <c r="U46" s="30"/>
      <c r="V46" s="31"/>
    </row>
    <row r="47" spans="1:22">
      <c r="A47" s="1" t="s">
        <v>68</v>
      </c>
      <c r="B47" s="29">
        <v>0</v>
      </c>
      <c r="C47" s="30">
        <v>0</v>
      </c>
      <c r="D47" s="30">
        <v>0</v>
      </c>
      <c r="E47" s="30">
        <v>0</v>
      </c>
      <c r="F47" s="30">
        <v>0</v>
      </c>
      <c r="G47" s="31">
        <f>SUM(SC_FINANCIAL)</f>
        <v>0</v>
      </c>
      <c r="H47" s="30"/>
      <c r="I47" s="30"/>
      <c r="J47" s="30"/>
      <c r="K47" s="30"/>
      <c r="L47" s="29"/>
      <c r="M47" s="30"/>
      <c r="N47" s="30"/>
      <c r="O47" s="30"/>
      <c r="P47" s="30"/>
      <c r="Q47" s="30"/>
      <c r="R47" s="30"/>
      <c r="S47" s="30"/>
      <c r="T47" s="30"/>
      <c r="U47" s="30"/>
      <c r="V47" s="31"/>
    </row>
    <row r="48" spans="1:22">
      <c r="A48" s="1" t="s">
        <v>69</v>
      </c>
      <c r="B48" s="29">
        <v>0</v>
      </c>
      <c r="C48" s="30">
        <v>23003.381612816807</v>
      </c>
      <c r="D48" s="30">
        <v>0</v>
      </c>
      <c r="E48" s="30">
        <v>0</v>
      </c>
      <c r="F48" s="30">
        <v>0</v>
      </c>
      <c r="G48" s="31">
        <f>SUM(SD_FINANCIAL)</f>
        <v>23003.381612816807</v>
      </c>
      <c r="H48" s="30"/>
      <c r="I48" s="30"/>
      <c r="J48" s="30"/>
      <c r="K48" s="30"/>
      <c r="L48" s="29">
        <v>0</v>
      </c>
      <c r="M48" s="30">
        <v>0</v>
      </c>
      <c r="N48" s="30"/>
      <c r="O48" s="30">
        <v>25712</v>
      </c>
      <c r="P48" s="30">
        <v>0</v>
      </c>
      <c r="Q48" s="30"/>
      <c r="R48" s="30">
        <v>0</v>
      </c>
      <c r="S48" s="30">
        <v>0</v>
      </c>
      <c r="T48" s="30"/>
      <c r="U48" s="30">
        <v>0</v>
      </c>
      <c r="V48" s="31">
        <v>0</v>
      </c>
    </row>
    <row r="49" spans="1:22">
      <c r="A49" s="1" t="s">
        <v>70</v>
      </c>
      <c r="B49" s="29">
        <v>0</v>
      </c>
      <c r="C49" s="30">
        <v>129900.87758438346</v>
      </c>
      <c r="D49" s="30">
        <v>0</v>
      </c>
      <c r="E49" s="30">
        <v>0</v>
      </c>
      <c r="F49" s="30">
        <v>0</v>
      </c>
      <c r="G49" s="31">
        <f>SUM(TN_FINANCIAL)</f>
        <v>129900.87758438346</v>
      </c>
      <c r="H49" s="30"/>
      <c r="I49" s="30"/>
      <c r="J49" s="30"/>
      <c r="K49" s="30"/>
      <c r="L49" s="29">
        <v>0</v>
      </c>
      <c r="M49" s="30">
        <v>0</v>
      </c>
      <c r="N49" s="30"/>
      <c r="O49" s="30">
        <v>325000</v>
      </c>
      <c r="P49" s="30">
        <v>0</v>
      </c>
      <c r="Q49" s="30"/>
      <c r="R49" s="30">
        <v>0</v>
      </c>
      <c r="S49" s="30">
        <v>0</v>
      </c>
      <c r="T49" s="30"/>
      <c r="U49" s="30">
        <v>0</v>
      </c>
      <c r="V49" s="31">
        <v>0</v>
      </c>
    </row>
    <row r="50" spans="1:22">
      <c r="A50" s="1" t="s">
        <v>71</v>
      </c>
      <c r="B50" s="29">
        <v>0</v>
      </c>
      <c r="C50" s="30">
        <v>163167.71308673479</v>
      </c>
      <c r="D50" s="30">
        <v>0</v>
      </c>
      <c r="E50" s="30">
        <v>0</v>
      </c>
      <c r="F50" s="30">
        <v>0</v>
      </c>
      <c r="G50" s="31">
        <f>SUM(TX_FINANCIAL)</f>
        <v>163167.71308673479</v>
      </c>
      <c r="H50" s="30"/>
      <c r="I50" s="30"/>
      <c r="J50" s="30"/>
      <c r="K50" s="30"/>
      <c r="L50" s="29">
        <v>17723</v>
      </c>
      <c r="M50" s="30">
        <v>237.5558</v>
      </c>
      <c r="N50" s="30"/>
      <c r="O50" s="30">
        <v>0</v>
      </c>
      <c r="P50" s="30">
        <v>0</v>
      </c>
      <c r="Q50" s="30"/>
      <c r="R50" s="30">
        <v>280946</v>
      </c>
      <c r="S50" s="30">
        <v>3768.4441999999999</v>
      </c>
      <c r="T50" s="30"/>
      <c r="U50" s="30">
        <v>0</v>
      </c>
      <c r="V50" s="31">
        <v>0</v>
      </c>
    </row>
    <row r="51" spans="1:22">
      <c r="A51" s="1" t="s">
        <v>72</v>
      </c>
      <c r="B51" s="29">
        <v>0</v>
      </c>
      <c r="C51" s="30">
        <v>14640.63898197309</v>
      </c>
      <c r="D51" s="30">
        <v>0</v>
      </c>
      <c r="E51" s="30">
        <v>0</v>
      </c>
      <c r="F51" s="30">
        <v>0</v>
      </c>
      <c r="G51" s="31">
        <f>SUM(UT_FINANCIAL)</f>
        <v>14640.63898197309</v>
      </c>
      <c r="H51" s="30"/>
      <c r="I51" s="30"/>
      <c r="J51" s="30"/>
      <c r="K51" s="30"/>
      <c r="L51" s="29">
        <v>0</v>
      </c>
      <c r="M51" s="30">
        <v>0</v>
      </c>
      <c r="N51" s="30"/>
      <c r="O51" s="30">
        <v>28000</v>
      </c>
      <c r="P51" s="30">
        <v>0</v>
      </c>
      <c r="Q51" s="30"/>
      <c r="R51" s="30">
        <v>0</v>
      </c>
      <c r="S51" s="30">
        <v>0</v>
      </c>
      <c r="T51" s="30"/>
      <c r="U51" s="30">
        <v>0</v>
      </c>
      <c r="V51" s="31">
        <v>0</v>
      </c>
    </row>
    <row r="52" spans="1:22">
      <c r="A52" s="1" t="s">
        <v>73</v>
      </c>
      <c r="B52" s="29">
        <v>0</v>
      </c>
      <c r="C52" s="30">
        <v>0</v>
      </c>
      <c r="D52" s="30">
        <v>0</v>
      </c>
      <c r="E52" s="30">
        <v>0</v>
      </c>
      <c r="F52" s="30">
        <v>0</v>
      </c>
      <c r="G52" s="31">
        <f>SUM(VT_FINANCIAL)</f>
        <v>0</v>
      </c>
      <c r="H52" s="30"/>
      <c r="I52" s="30"/>
      <c r="J52" s="30"/>
      <c r="K52" s="30"/>
      <c r="L52" s="29"/>
      <c r="M52" s="30"/>
      <c r="N52" s="30"/>
      <c r="O52" s="30"/>
      <c r="P52" s="30"/>
      <c r="Q52" s="30"/>
      <c r="R52" s="30"/>
      <c r="S52" s="30"/>
      <c r="T52" s="30"/>
      <c r="U52" s="30"/>
      <c r="V52" s="31"/>
    </row>
    <row r="53" spans="1:22">
      <c r="A53" s="1" t="s">
        <v>74</v>
      </c>
      <c r="B53" s="29">
        <v>0</v>
      </c>
      <c r="C53" s="30">
        <v>9373.6299544011963</v>
      </c>
      <c r="D53" s="30">
        <v>0</v>
      </c>
      <c r="E53" s="30">
        <v>0</v>
      </c>
      <c r="F53" s="30">
        <v>0</v>
      </c>
      <c r="G53" s="31">
        <f>SUM(VA_FINANCIAL)</f>
        <v>9373.6299544011963</v>
      </c>
      <c r="H53" s="30"/>
      <c r="I53" s="30"/>
      <c r="J53" s="30"/>
      <c r="K53" s="30"/>
      <c r="L53" s="29"/>
      <c r="M53" s="30"/>
      <c r="N53" s="30"/>
      <c r="O53" s="30"/>
      <c r="P53" s="30"/>
      <c r="Q53" s="30"/>
      <c r="R53" s="30"/>
      <c r="S53" s="30"/>
      <c r="T53" s="30"/>
      <c r="U53" s="30"/>
      <c r="V53" s="31"/>
    </row>
    <row r="54" spans="1:22">
      <c r="A54" s="1" t="s">
        <v>75</v>
      </c>
      <c r="B54" s="29">
        <v>0</v>
      </c>
      <c r="C54" s="30">
        <v>59484.005654188724</v>
      </c>
      <c r="D54" s="30">
        <v>0</v>
      </c>
      <c r="E54" s="30">
        <v>0</v>
      </c>
      <c r="F54" s="30">
        <v>0</v>
      </c>
      <c r="G54" s="31">
        <f>SUM(WA_FINANCIAL)</f>
        <v>59484.005654188724</v>
      </c>
      <c r="H54" s="30"/>
      <c r="I54" s="30"/>
      <c r="J54" s="30"/>
      <c r="K54" s="30"/>
      <c r="L54" s="29">
        <v>0</v>
      </c>
      <c r="M54" s="30">
        <v>0</v>
      </c>
      <c r="N54" s="30"/>
      <c r="O54" s="30">
        <v>100000</v>
      </c>
      <c r="P54" s="30">
        <v>0</v>
      </c>
      <c r="Q54" s="30"/>
      <c r="R54" s="30">
        <v>0</v>
      </c>
      <c r="S54" s="30">
        <v>0</v>
      </c>
      <c r="T54" s="30"/>
      <c r="U54" s="30">
        <v>0</v>
      </c>
      <c r="V54" s="31">
        <v>0</v>
      </c>
    </row>
    <row r="55" spans="1:22">
      <c r="A55" s="1" t="s">
        <v>76</v>
      </c>
      <c r="B55" s="29">
        <v>0</v>
      </c>
      <c r="C55" s="30">
        <v>-37367.999999999985</v>
      </c>
      <c r="D55" s="30">
        <v>0</v>
      </c>
      <c r="E55" s="30">
        <v>0</v>
      </c>
      <c r="F55" s="30">
        <v>0</v>
      </c>
      <c r="G55" s="31">
        <f>SUM(WV_FINANCIAL)</f>
        <v>-37367.999999999985</v>
      </c>
      <c r="H55" s="30"/>
      <c r="I55" s="30"/>
      <c r="J55" s="30"/>
      <c r="K55" s="30"/>
      <c r="L55" s="29">
        <v>0</v>
      </c>
      <c r="M55" s="30">
        <v>0</v>
      </c>
      <c r="N55" s="30"/>
      <c r="O55" s="30">
        <v>0</v>
      </c>
      <c r="P55" s="30">
        <v>0</v>
      </c>
      <c r="Q55" s="30"/>
      <c r="R55" s="30">
        <v>0</v>
      </c>
      <c r="S55" s="30">
        <v>82075</v>
      </c>
      <c r="T55" s="30"/>
      <c r="U55" s="30">
        <v>0</v>
      </c>
      <c r="V55" s="31">
        <v>0</v>
      </c>
    </row>
    <row r="56" spans="1:22">
      <c r="A56" s="1" t="s">
        <v>77</v>
      </c>
      <c r="B56" s="29">
        <v>0</v>
      </c>
      <c r="C56" s="30">
        <v>125145.52454797344</v>
      </c>
      <c r="D56" s="30">
        <v>0</v>
      </c>
      <c r="E56" s="30">
        <v>0</v>
      </c>
      <c r="F56" s="30">
        <v>0</v>
      </c>
      <c r="G56" s="31">
        <f>SUM(WI_FINANCIAL)</f>
        <v>125145.52454797344</v>
      </c>
      <c r="H56" s="30"/>
      <c r="I56" s="30"/>
      <c r="J56" s="30"/>
      <c r="K56" s="30"/>
      <c r="L56" s="29">
        <v>0</v>
      </c>
      <c r="M56" s="30">
        <v>0</v>
      </c>
      <c r="N56" s="30"/>
      <c r="O56" s="30">
        <v>150000</v>
      </c>
      <c r="P56" s="30">
        <v>0</v>
      </c>
      <c r="Q56" s="30"/>
      <c r="R56" s="30">
        <v>0</v>
      </c>
      <c r="S56" s="30">
        <v>0</v>
      </c>
      <c r="T56" s="30"/>
      <c r="U56" s="30">
        <v>0</v>
      </c>
      <c r="V56" s="31">
        <v>0</v>
      </c>
    </row>
    <row r="57" spans="1:22">
      <c r="A57" s="1" t="s">
        <v>78</v>
      </c>
      <c r="B57" s="29">
        <v>0</v>
      </c>
      <c r="C57" s="30">
        <v>0</v>
      </c>
      <c r="D57" s="30">
        <v>0</v>
      </c>
      <c r="E57" s="30">
        <v>0</v>
      </c>
      <c r="F57" s="30">
        <v>0</v>
      </c>
      <c r="G57" s="31">
        <f>SUM(WY_FINANCIAL)</f>
        <v>0</v>
      </c>
      <c r="H57" s="30"/>
      <c r="I57" s="30"/>
      <c r="J57" s="30"/>
      <c r="K57" s="30"/>
      <c r="L57" s="29"/>
      <c r="M57" s="30"/>
      <c r="N57" s="30"/>
      <c r="O57" s="30"/>
      <c r="P57" s="30"/>
      <c r="Q57" s="30"/>
      <c r="R57" s="30"/>
      <c r="S57" s="30"/>
      <c r="T57" s="30"/>
      <c r="U57" s="30"/>
      <c r="V57" s="31"/>
    </row>
    <row r="58" spans="1:22">
      <c r="A58" s="1" t="s">
        <v>79</v>
      </c>
      <c r="B58" s="29">
        <v>0</v>
      </c>
      <c r="C58" s="30">
        <v>0</v>
      </c>
      <c r="D58" s="30">
        <v>0</v>
      </c>
      <c r="E58" s="30">
        <v>0</v>
      </c>
      <c r="F58" s="30">
        <v>0</v>
      </c>
      <c r="G58" s="31">
        <f>SUM(OT_FINANCIAL)</f>
        <v>0</v>
      </c>
      <c r="H58" s="30"/>
      <c r="I58" s="30"/>
      <c r="J58" s="30"/>
      <c r="K58" s="30"/>
      <c r="L58" s="29"/>
      <c r="M58" s="30"/>
      <c r="N58" s="30"/>
      <c r="O58" s="30"/>
      <c r="P58" s="30"/>
      <c r="Q58" s="30"/>
      <c r="R58" s="30"/>
      <c r="S58" s="30"/>
      <c r="T58" s="30"/>
      <c r="U58" s="30"/>
      <c r="V58" s="31"/>
    </row>
    <row r="59" spans="1:22">
      <c r="B59" s="29"/>
      <c r="C59" s="30"/>
      <c r="D59" s="30"/>
      <c r="E59" s="30"/>
      <c r="F59" s="30"/>
      <c r="G59" s="31"/>
      <c r="H59" s="30"/>
      <c r="I59" s="30"/>
      <c r="J59" s="30"/>
      <c r="K59" s="30"/>
      <c r="L59" s="29"/>
      <c r="M59" s="30"/>
      <c r="N59" s="30"/>
      <c r="O59" s="30"/>
      <c r="P59" s="30"/>
      <c r="Q59" s="30"/>
      <c r="R59" s="30"/>
      <c r="S59" s="30"/>
      <c r="T59" s="30"/>
      <c r="U59" s="30"/>
      <c r="V59" s="31"/>
    </row>
    <row r="60" spans="1:22">
      <c r="A60" s="1" t="s">
        <v>8</v>
      </c>
      <c r="B60" s="29">
        <f>SUM(LIFE)</f>
        <v>0</v>
      </c>
      <c r="C60" s="30">
        <f>SUM(ALLOCATED)</f>
        <v>12093330.970000001</v>
      </c>
      <c r="D60" s="30">
        <f>SUM(HEALTH)</f>
        <v>0</v>
      </c>
      <c r="E60" s="30">
        <f>SUM(UNALLOCATED)</f>
        <v>0</v>
      </c>
      <c r="F60" s="30">
        <f>SUM(LTC)</f>
        <v>0</v>
      </c>
      <c r="G60" s="31">
        <f>SUM(ALL_BLOCKS)</f>
        <v>12093330.970000001</v>
      </c>
      <c r="H60" s="30"/>
      <c r="I60" s="30"/>
      <c r="J60" s="30"/>
      <c r="K60" s="30"/>
      <c r="L60" s="29">
        <f>SUM(LIFE_CALLED)</f>
        <v>176802</v>
      </c>
      <c r="M60" s="30">
        <f>SUM(LIFE_REFUNDED)</f>
        <v>237.5558</v>
      </c>
      <c r="N60" s="30"/>
      <c r="O60" s="30">
        <f>SUM(ALLOC_CALLED)</f>
        <v>5957495</v>
      </c>
      <c r="P60" s="30">
        <f>SUM(ALLOC_REFUNDED)</f>
        <v>1545000</v>
      </c>
      <c r="Q60" s="30"/>
      <c r="R60" s="30">
        <f>SUM(HEALTH_CALLED)</f>
        <v>12004070</v>
      </c>
      <c r="S60" s="30">
        <f>SUM(HEALTH_REFUNDED)</f>
        <v>85843.444199999998</v>
      </c>
      <c r="T60" s="30"/>
      <c r="U60" s="30">
        <f>SUM(UNALLOC_CALLED)</f>
        <v>0</v>
      </c>
      <c r="V60" s="31">
        <f>SUM(UNALLOC_REFUNDED)</f>
        <v>0</v>
      </c>
    </row>
    <row r="61" spans="1:22" ht="5.0999999999999996" customHeight="1">
      <c r="B61" s="8"/>
      <c r="G61" s="11"/>
      <c r="L61" s="8"/>
      <c r="V61" s="11"/>
    </row>
    <row r="62" spans="1:22">
      <c r="B62" s="8"/>
      <c r="G62" s="11"/>
      <c r="L62" s="122" t="s">
        <v>80</v>
      </c>
      <c r="M62" s="123"/>
      <c r="N62" s="123"/>
      <c r="O62" s="123"/>
      <c r="P62" s="123"/>
      <c r="Q62" s="123"/>
      <c r="R62" s="123"/>
      <c r="S62" s="123"/>
      <c r="T62" s="123"/>
      <c r="U62" s="123"/>
      <c r="V62" s="124"/>
    </row>
    <row r="63" spans="1:22">
      <c r="B63" s="8"/>
      <c r="G63" s="11"/>
      <c r="L63" s="125"/>
      <c r="M63" s="123"/>
      <c r="N63" s="123"/>
      <c r="O63" s="123"/>
      <c r="P63" s="123"/>
      <c r="Q63" s="123"/>
      <c r="R63" s="123"/>
      <c r="S63" s="123"/>
      <c r="T63" s="123"/>
      <c r="U63" s="123"/>
      <c r="V63" s="124"/>
    </row>
    <row r="64" spans="1:22">
      <c r="B64" s="10"/>
      <c r="C64" s="7"/>
      <c r="D64" s="7"/>
      <c r="E64" s="7"/>
      <c r="F64" s="7"/>
      <c r="G64" s="13"/>
      <c r="L64" s="126"/>
      <c r="M64" s="127"/>
      <c r="N64" s="127"/>
      <c r="O64" s="127"/>
      <c r="P64" s="127"/>
      <c r="Q64" s="127"/>
      <c r="R64" s="127"/>
      <c r="S64" s="127"/>
      <c r="T64" s="127"/>
      <c r="U64" s="127"/>
      <c r="V64" s="128"/>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V64"/>
  <sheetViews>
    <sheetView zoomScale="75" workbookViewId="0">
      <selection sqref="A1:XFD1048576"/>
    </sheetView>
  </sheetViews>
  <sheetFormatPr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129" t="s">
        <v>108</v>
      </c>
      <c r="B1" s="123"/>
      <c r="C1" s="123"/>
      <c r="D1" s="123"/>
      <c r="E1" s="123"/>
      <c r="F1" s="123"/>
      <c r="G1" s="123"/>
    </row>
    <row r="3" spans="1:22">
      <c r="B3" s="130" t="s">
        <v>1</v>
      </c>
      <c r="C3" s="131"/>
      <c r="D3" s="131"/>
      <c r="E3" s="131"/>
      <c r="F3" s="131"/>
      <c r="G3" s="132"/>
      <c r="L3" s="133" t="s">
        <v>2</v>
      </c>
      <c r="M3" s="134"/>
      <c r="N3" s="134"/>
      <c r="O3" s="134"/>
      <c r="P3" s="134"/>
      <c r="Q3" s="134"/>
      <c r="R3" s="134"/>
      <c r="S3" s="134"/>
      <c r="T3" s="134"/>
      <c r="U3" s="134"/>
      <c r="V3" s="135"/>
    </row>
    <row r="4" spans="1:22">
      <c r="B4" s="8"/>
      <c r="G4" s="11"/>
      <c r="L4" s="136" t="s">
        <v>3</v>
      </c>
      <c r="M4" s="137"/>
      <c r="N4" s="4"/>
      <c r="O4" s="138" t="s">
        <v>4</v>
      </c>
      <c r="P4" s="137"/>
      <c r="Q4" s="4"/>
      <c r="R4" s="138" t="s">
        <v>5</v>
      </c>
      <c r="S4" s="137"/>
      <c r="T4" s="4"/>
      <c r="U4" s="138" t="s">
        <v>6</v>
      </c>
      <c r="V4" s="139"/>
    </row>
    <row r="5" spans="1:22" ht="60" customHeight="1">
      <c r="B5" s="9" t="s">
        <v>3</v>
      </c>
      <c r="C5" s="5" t="s">
        <v>4</v>
      </c>
      <c r="D5" s="5" t="s">
        <v>5</v>
      </c>
      <c r="E5" s="5" t="s">
        <v>6</v>
      </c>
      <c r="F5" s="5" t="s">
        <v>7</v>
      </c>
      <c r="G5" s="12" t="s">
        <v>8</v>
      </c>
      <c r="L5" s="15" t="s">
        <v>9</v>
      </c>
      <c r="M5" s="14" t="s">
        <v>10</v>
      </c>
      <c r="N5" s="14"/>
      <c r="O5" s="14" t="s">
        <v>9</v>
      </c>
      <c r="P5" s="14" t="s">
        <v>10</v>
      </c>
      <c r="Q5" s="14"/>
      <c r="R5" s="14" t="s">
        <v>9</v>
      </c>
      <c r="S5" s="14" t="s">
        <v>10</v>
      </c>
      <c r="T5" s="14"/>
      <c r="U5" s="14" t="s">
        <v>9</v>
      </c>
      <c r="V5" s="16" t="s">
        <v>10</v>
      </c>
    </row>
    <row r="6" spans="1:22">
      <c r="A6" s="1" t="s">
        <v>11</v>
      </c>
      <c r="B6" s="29">
        <v>0</v>
      </c>
      <c r="C6" s="30">
        <v>0</v>
      </c>
      <c r="D6" s="30">
        <v>0</v>
      </c>
      <c r="E6" s="30">
        <v>0</v>
      </c>
      <c r="F6" s="30">
        <v>0</v>
      </c>
      <c r="G6" s="31">
        <f>SUM(AL_FINANCIAL)</f>
        <v>0</v>
      </c>
      <c r="H6" s="30"/>
      <c r="I6" s="30"/>
      <c r="J6" s="30"/>
      <c r="K6" s="30"/>
      <c r="L6" s="29"/>
      <c r="M6" s="30"/>
      <c r="N6" s="30"/>
      <c r="O6" s="30"/>
      <c r="P6" s="30"/>
      <c r="Q6" s="30"/>
      <c r="R6" s="30"/>
      <c r="S6" s="30"/>
      <c r="T6" s="30"/>
      <c r="U6" s="30"/>
      <c r="V6" s="31"/>
    </row>
    <row r="7" spans="1:22">
      <c r="A7" s="1" t="s">
        <v>12</v>
      </c>
      <c r="B7" s="29">
        <v>0</v>
      </c>
      <c r="C7" s="30">
        <v>0</v>
      </c>
      <c r="D7" s="30">
        <v>0</v>
      </c>
      <c r="E7" s="30">
        <v>0</v>
      </c>
      <c r="F7" s="30">
        <v>0</v>
      </c>
      <c r="G7" s="31">
        <f>SUM(AK_FINANCIAL)</f>
        <v>0</v>
      </c>
      <c r="H7" s="30"/>
      <c r="I7" s="32"/>
      <c r="J7" s="33"/>
      <c r="K7" s="30"/>
      <c r="L7" s="29"/>
      <c r="M7" s="30"/>
      <c r="N7" s="30"/>
      <c r="O7" s="30"/>
      <c r="P7" s="30"/>
      <c r="Q7" s="30"/>
      <c r="R7" s="30"/>
      <c r="S7" s="30"/>
      <c r="T7" s="30"/>
      <c r="U7" s="30"/>
      <c r="V7" s="31"/>
    </row>
    <row r="8" spans="1:22">
      <c r="A8" s="1" t="s">
        <v>13</v>
      </c>
      <c r="B8" s="29">
        <v>0</v>
      </c>
      <c r="C8" s="30">
        <v>0</v>
      </c>
      <c r="D8" s="30">
        <v>0</v>
      </c>
      <c r="E8" s="30">
        <v>0</v>
      </c>
      <c r="F8" s="30">
        <v>0</v>
      </c>
      <c r="G8" s="31">
        <f>SUM(AZ_FINANCIAL)</f>
        <v>0</v>
      </c>
      <c r="H8" s="30"/>
      <c r="I8" s="34" t="s">
        <v>14</v>
      </c>
      <c r="J8" s="35"/>
      <c r="K8" s="30"/>
      <c r="L8" s="29"/>
      <c r="M8" s="30"/>
      <c r="N8" s="30"/>
      <c r="O8" s="30"/>
      <c r="P8" s="30"/>
      <c r="Q8" s="30"/>
      <c r="R8" s="30"/>
      <c r="S8" s="30"/>
      <c r="T8" s="30"/>
      <c r="U8" s="30"/>
      <c r="V8" s="31"/>
    </row>
    <row r="9" spans="1:22">
      <c r="A9" s="1" t="s">
        <v>15</v>
      </c>
      <c r="B9" s="29">
        <v>0</v>
      </c>
      <c r="C9" s="30">
        <v>0</v>
      </c>
      <c r="D9" s="30">
        <v>0</v>
      </c>
      <c r="E9" s="30">
        <v>0</v>
      </c>
      <c r="F9" s="30">
        <v>0</v>
      </c>
      <c r="G9" s="31">
        <f>SUM(AR_FINANCIAL)</f>
        <v>0</v>
      </c>
      <c r="H9" s="30"/>
      <c r="I9" s="34"/>
      <c r="J9" s="35"/>
      <c r="K9" s="30"/>
      <c r="L9" s="29"/>
      <c r="M9" s="30"/>
      <c r="N9" s="30"/>
      <c r="O9" s="30"/>
      <c r="P9" s="30"/>
      <c r="Q9" s="30"/>
      <c r="R9" s="30"/>
      <c r="S9" s="30"/>
      <c r="T9" s="30"/>
      <c r="U9" s="30"/>
      <c r="V9" s="31"/>
    </row>
    <row r="10" spans="1:22">
      <c r="A10" s="1" t="s">
        <v>16</v>
      </c>
      <c r="B10" s="29">
        <v>0</v>
      </c>
      <c r="C10" s="30">
        <v>0</v>
      </c>
      <c r="D10" s="30">
        <v>0</v>
      </c>
      <c r="E10" s="30">
        <v>0</v>
      </c>
      <c r="F10" s="30">
        <v>0</v>
      </c>
      <c r="G10" s="31">
        <f>SUM(CA_FINANCIAL)</f>
        <v>0</v>
      </c>
      <c r="H10" s="30"/>
      <c r="I10" s="34" t="s">
        <v>17</v>
      </c>
      <c r="J10" s="35">
        <v>27362577</v>
      </c>
      <c r="K10" s="30"/>
      <c r="L10" s="29"/>
      <c r="M10" s="30"/>
      <c r="N10" s="30"/>
      <c r="O10" s="30"/>
      <c r="P10" s="30"/>
      <c r="Q10" s="30"/>
      <c r="R10" s="30"/>
      <c r="S10" s="30"/>
      <c r="T10" s="30"/>
      <c r="U10" s="30"/>
      <c r="V10" s="31"/>
    </row>
    <row r="11" spans="1:22">
      <c r="A11" s="1" t="s">
        <v>18</v>
      </c>
      <c r="B11" s="29">
        <v>0</v>
      </c>
      <c r="C11" s="30">
        <v>0</v>
      </c>
      <c r="D11" s="30">
        <v>0</v>
      </c>
      <c r="E11" s="30">
        <v>0</v>
      </c>
      <c r="F11" s="30">
        <v>0</v>
      </c>
      <c r="G11" s="31">
        <f>SUM(CO_FINANCIAL)</f>
        <v>0</v>
      </c>
      <c r="H11" s="30"/>
      <c r="I11" s="34"/>
      <c r="J11" s="35"/>
      <c r="K11" s="30"/>
      <c r="L11" s="29"/>
      <c r="M11" s="30"/>
      <c r="N11" s="30"/>
      <c r="O11" s="30"/>
      <c r="P11" s="30"/>
      <c r="Q11" s="30"/>
      <c r="R11" s="30"/>
      <c r="S11" s="30"/>
      <c r="T11" s="30"/>
      <c r="U11" s="30"/>
      <c r="V11" s="31"/>
    </row>
    <row r="12" spans="1:22">
      <c r="A12" s="1" t="s">
        <v>19</v>
      </c>
      <c r="B12" s="29">
        <v>0</v>
      </c>
      <c r="C12" s="30">
        <v>0</v>
      </c>
      <c r="D12" s="30">
        <v>0</v>
      </c>
      <c r="E12" s="30">
        <v>0</v>
      </c>
      <c r="F12" s="30">
        <v>0</v>
      </c>
      <c r="G12" s="31">
        <f>SUM(CT_FINANCIAL)</f>
        <v>0</v>
      </c>
      <c r="H12" s="30"/>
      <c r="I12" s="34" t="s">
        <v>20</v>
      </c>
      <c r="J12" s="35"/>
      <c r="K12" s="30"/>
      <c r="L12" s="29"/>
      <c r="M12" s="30"/>
      <c r="N12" s="30"/>
      <c r="O12" s="30"/>
      <c r="P12" s="30"/>
      <c r="Q12" s="30"/>
      <c r="R12" s="30"/>
      <c r="S12" s="30"/>
      <c r="T12" s="30"/>
      <c r="U12" s="30"/>
      <c r="V12" s="31"/>
    </row>
    <row r="13" spans="1:22">
      <c r="A13" s="1" t="s">
        <v>21</v>
      </c>
      <c r="B13" s="29">
        <v>0</v>
      </c>
      <c r="C13" s="30">
        <v>0</v>
      </c>
      <c r="D13" s="30">
        <v>0</v>
      </c>
      <c r="E13" s="30">
        <v>0</v>
      </c>
      <c r="F13" s="30">
        <v>0</v>
      </c>
      <c r="G13" s="31">
        <f>SUM(DE_FINANCIAL)</f>
        <v>0</v>
      </c>
      <c r="H13" s="30"/>
      <c r="I13" s="34" t="s">
        <v>22</v>
      </c>
      <c r="J13" s="35">
        <v>3224585</v>
      </c>
      <c r="K13" s="30"/>
      <c r="L13" s="29"/>
      <c r="M13" s="30"/>
      <c r="N13" s="30"/>
      <c r="O13" s="30"/>
      <c r="P13" s="30"/>
      <c r="Q13" s="30"/>
      <c r="R13" s="30"/>
      <c r="S13" s="30"/>
      <c r="T13" s="30"/>
      <c r="U13" s="30"/>
      <c r="V13" s="31"/>
    </row>
    <row r="14" spans="1:22">
      <c r="A14" s="1" t="s">
        <v>23</v>
      </c>
      <c r="B14" s="29">
        <v>0</v>
      </c>
      <c r="C14" s="30">
        <v>0</v>
      </c>
      <c r="D14" s="30">
        <v>0</v>
      </c>
      <c r="E14" s="30">
        <v>0</v>
      </c>
      <c r="F14" s="30">
        <v>0</v>
      </c>
      <c r="G14" s="31">
        <f>SUM(DC_FINANCIAL)</f>
        <v>0</v>
      </c>
      <c r="H14" s="30"/>
      <c r="I14" s="34" t="s">
        <v>24</v>
      </c>
      <c r="J14" s="35">
        <v>124000</v>
      </c>
      <c r="K14" s="30"/>
      <c r="L14" s="29"/>
      <c r="M14" s="30"/>
      <c r="N14" s="30"/>
      <c r="O14" s="30"/>
      <c r="P14" s="30"/>
      <c r="Q14" s="30"/>
      <c r="R14" s="30"/>
      <c r="S14" s="30"/>
      <c r="T14" s="30"/>
      <c r="U14" s="30"/>
      <c r="V14" s="31"/>
    </row>
    <row r="15" spans="1:22">
      <c r="A15" s="1" t="s">
        <v>25</v>
      </c>
      <c r="B15" s="29">
        <v>0</v>
      </c>
      <c r="C15" s="30">
        <v>0</v>
      </c>
      <c r="D15" s="30">
        <v>0</v>
      </c>
      <c r="E15" s="30">
        <v>0</v>
      </c>
      <c r="F15" s="30">
        <v>0</v>
      </c>
      <c r="G15" s="31">
        <f>SUM(FL_FINANCIAL)</f>
        <v>0</v>
      </c>
      <c r="H15" s="30"/>
      <c r="I15" s="34" t="s">
        <v>26</v>
      </c>
      <c r="J15" s="35">
        <v>8893.83</v>
      </c>
      <c r="K15" s="30"/>
      <c r="L15" s="29"/>
      <c r="M15" s="30"/>
      <c r="N15" s="30"/>
      <c r="O15" s="30"/>
      <c r="P15" s="30"/>
      <c r="Q15" s="30"/>
      <c r="R15" s="30"/>
      <c r="S15" s="30"/>
      <c r="T15" s="30"/>
      <c r="U15" s="30"/>
      <c r="V15" s="31"/>
    </row>
    <row r="16" spans="1:22">
      <c r="A16" s="1" t="s">
        <v>27</v>
      </c>
      <c r="B16" s="29">
        <v>0</v>
      </c>
      <c r="C16" s="30">
        <v>0</v>
      </c>
      <c r="D16" s="30">
        <v>0</v>
      </c>
      <c r="E16" s="30">
        <v>0</v>
      </c>
      <c r="F16" s="30">
        <v>0</v>
      </c>
      <c r="G16" s="31">
        <f>SUM(GA_FINANCIAL)</f>
        <v>0</v>
      </c>
      <c r="H16" s="30"/>
      <c r="I16" s="34" t="s">
        <v>28</v>
      </c>
      <c r="J16" s="35">
        <v>0</v>
      </c>
      <c r="K16" s="30"/>
      <c r="L16" s="29"/>
      <c r="M16" s="30"/>
      <c r="N16" s="30"/>
      <c r="O16" s="30"/>
      <c r="P16" s="30"/>
      <c r="Q16" s="30"/>
      <c r="R16" s="30"/>
      <c r="S16" s="30"/>
      <c r="T16" s="30"/>
      <c r="U16" s="30"/>
      <c r="V16" s="31"/>
    </row>
    <row r="17" spans="1:22">
      <c r="A17" s="1" t="s">
        <v>29</v>
      </c>
      <c r="B17" s="29">
        <v>0</v>
      </c>
      <c r="C17" s="30">
        <v>0</v>
      </c>
      <c r="D17" s="30">
        <v>0</v>
      </c>
      <c r="E17" s="30">
        <v>0</v>
      </c>
      <c r="F17" s="30">
        <v>0</v>
      </c>
      <c r="G17" s="31">
        <f>SUM(HI_FINANCIAL)</f>
        <v>0</v>
      </c>
      <c r="H17" s="30"/>
      <c r="I17" s="34"/>
      <c r="J17" s="35"/>
      <c r="K17" s="30"/>
      <c r="L17" s="29"/>
      <c r="M17" s="30"/>
      <c r="N17" s="30"/>
      <c r="O17" s="30"/>
      <c r="P17" s="30"/>
      <c r="Q17" s="30"/>
      <c r="R17" s="30"/>
      <c r="S17" s="30"/>
      <c r="T17" s="30"/>
      <c r="U17" s="30"/>
      <c r="V17" s="31"/>
    </row>
    <row r="18" spans="1:22">
      <c r="A18" s="1" t="s">
        <v>30</v>
      </c>
      <c r="B18" s="29">
        <v>0</v>
      </c>
      <c r="C18" s="30">
        <v>0</v>
      </c>
      <c r="D18" s="30">
        <v>0</v>
      </c>
      <c r="E18" s="30">
        <v>0</v>
      </c>
      <c r="F18" s="30">
        <v>0</v>
      </c>
      <c r="G18" s="31">
        <f>SUM(ID_FINANCIAL)</f>
        <v>0</v>
      </c>
      <c r="H18" s="30"/>
      <c r="I18" s="34" t="s">
        <v>31</v>
      </c>
      <c r="J18" s="35"/>
      <c r="K18" s="30"/>
      <c r="L18" s="29"/>
      <c r="M18" s="30"/>
      <c r="N18" s="30"/>
      <c r="O18" s="30"/>
      <c r="P18" s="30"/>
      <c r="Q18" s="30"/>
      <c r="R18" s="30"/>
      <c r="S18" s="30"/>
      <c r="T18" s="30"/>
      <c r="U18" s="30"/>
      <c r="V18" s="31"/>
    </row>
    <row r="19" spans="1:22">
      <c r="A19" s="1" t="s">
        <v>32</v>
      </c>
      <c r="B19" s="29">
        <v>0</v>
      </c>
      <c r="C19" s="30">
        <v>0</v>
      </c>
      <c r="D19" s="30">
        <v>0</v>
      </c>
      <c r="E19" s="30">
        <v>0</v>
      </c>
      <c r="F19" s="30">
        <v>0</v>
      </c>
      <c r="G19" s="31">
        <f>SUM(IL_FINANCIAL)</f>
        <v>0</v>
      </c>
      <c r="H19" s="30"/>
      <c r="I19" s="34" t="s">
        <v>33</v>
      </c>
      <c r="J19" s="35">
        <v>0</v>
      </c>
      <c r="K19" s="30"/>
      <c r="L19" s="29"/>
      <c r="M19" s="30"/>
      <c r="N19" s="30"/>
      <c r="O19" s="30"/>
      <c r="P19" s="30"/>
      <c r="Q19" s="30"/>
      <c r="R19" s="30"/>
      <c r="S19" s="30"/>
      <c r="T19" s="30"/>
      <c r="U19" s="30"/>
      <c r="V19" s="31"/>
    </row>
    <row r="20" spans="1:22">
      <c r="A20" s="1" t="s">
        <v>34</v>
      </c>
      <c r="B20" s="29">
        <v>0</v>
      </c>
      <c r="C20" s="30">
        <v>0</v>
      </c>
      <c r="D20" s="30">
        <v>0</v>
      </c>
      <c r="E20" s="30">
        <v>0</v>
      </c>
      <c r="F20" s="30">
        <v>0</v>
      </c>
      <c r="G20" s="31">
        <f>SUM(IN_FINANCIAL)</f>
        <v>0</v>
      </c>
      <c r="H20" s="30"/>
      <c r="I20" s="34" t="s">
        <v>35</v>
      </c>
      <c r="J20" s="35">
        <v>3062120</v>
      </c>
      <c r="K20" s="30"/>
      <c r="L20" s="29"/>
      <c r="M20" s="30"/>
      <c r="N20" s="30"/>
      <c r="O20" s="30"/>
      <c r="P20" s="30"/>
      <c r="Q20" s="30"/>
      <c r="R20" s="30"/>
      <c r="S20" s="30"/>
      <c r="T20" s="30"/>
      <c r="U20" s="30"/>
      <c r="V20" s="31"/>
    </row>
    <row r="21" spans="1:22">
      <c r="A21" s="1" t="s">
        <v>36</v>
      </c>
      <c r="B21" s="29">
        <v>0</v>
      </c>
      <c r="C21" s="30">
        <v>0</v>
      </c>
      <c r="D21" s="30">
        <v>0</v>
      </c>
      <c r="E21" s="30">
        <v>0</v>
      </c>
      <c r="F21" s="30">
        <v>0</v>
      </c>
      <c r="G21" s="31">
        <f>SUM(IA_FINANCIAL)</f>
        <v>0</v>
      </c>
      <c r="H21" s="30"/>
      <c r="I21" s="34" t="s">
        <v>37</v>
      </c>
      <c r="J21" s="35"/>
      <c r="K21" s="30"/>
      <c r="L21" s="29"/>
      <c r="M21" s="30"/>
      <c r="N21" s="30"/>
      <c r="O21" s="30"/>
      <c r="P21" s="30"/>
      <c r="Q21" s="30"/>
      <c r="R21" s="30"/>
      <c r="S21" s="30"/>
      <c r="T21" s="30"/>
      <c r="U21" s="30"/>
      <c r="V21" s="31"/>
    </row>
    <row r="22" spans="1:22">
      <c r="A22" s="1" t="s">
        <v>38</v>
      </c>
      <c r="B22" s="29">
        <v>0</v>
      </c>
      <c r="C22" s="30">
        <v>0</v>
      </c>
      <c r="D22" s="30">
        <v>0</v>
      </c>
      <c r="E22" s="30">
        <v>0</v>
      </c>
      <c r="F22" s="30">
        <v>0</v>
      </c>
      <c r="G22" s="31">
        <f>SUM(KS_FINANCIAL)</f>
        <v>0</v>
      </c>
      <c r="H22" s="30"/>
      <c r="I22" s="34" t="s">
        <v>39</v>
      </c>
      <c r="J22" s="35">
        <v>727741</v>
      </c>
      <c r="K22" s="30"/>
      <c r="L22" s="29"/>
      <c r="M22" s="30"/>
      <c r="N22" s="30"/>
      <c r="O22" s="30"/>
      <c r="P22" s="30"/>
      <c r="Q22" s="30"/>
      <c r="R22" s="30"/>
      <c r="S22" s="30"/>
      <c r="T22" s="30"/>
      <c r="U22" s="30"/>
      <c r="V22" s="31"/>
    </row>
    <row r="23" spans="1:22">
      <c r="A23" s="1" t="s">
        <v>40</v>
      </c>
      <c r="B23" s="29">
        <v>0</v>
      </c>
      <c r="C23" s="30">
        <v>0</v>
      </c>
      <c r="D23" s="30">
        <v>0</v>
      </c>
      <c r="E23" s="30">
        <v>0</v>
      </c>
      <c r="F23" s="30">
        <v>0</v>
      </c>
      <c r="G23" s="31">
        <f>SUM(KY_FINANCIAL)</f>
        <v>0</v>
      </c>
      <c r="H23" s="30"/>
      <c r="I23" s="34" t="s">
        <v>41</v>
      </c>
      <c r="J23" s="35"/>
      <c r="K23" s="30"/>
      <c r="L23" s="29"/>
      <c r="M23" s="30"/>
      <c r="N23" s="30"/>
      <c r="O23" s="30"/>
      <c r="P23" s="30"/>
      <c r="Q23" s="30"/>
      <c r="R23" s="30"/>
      <c r="S23" s="30"/>
      <c r="T23" s="30"/>
      <c r="U23" s="30"/>
      <c r="V23" s="31"/>
    </row>
    <row r="24" spans="1:22">
      <c r="A24" s="1" t="s">
        <v>42</v>
      </c>
      <c r="B24" s="29">
        <v>0</v>
      </c>
      <c r="C24" s="30">
        <v>0</v>
      </c>
      <c r="D24" s="30">
        <v>0</v>
      </c>
      <c r="E24" s="30">
        <v>0</v>
      </c>
      <c r="F24" s="30">
        <v>0</v>
      </c>
      <c r="G24" s="31">
        <f>SUM(LA_FINANCIAL)</f>
        <v>0</v>
      </c>
      <c r="H24" s="30"/>
      <c r="I24" s="34" t="s">
        <v>43</v>
      </c>
      <c r="J24" s="35">
        <v>12675123</v>
      </c>
      <c r="K24" s="30"/>
      <c r="L24" s="29"/>
      <c r="M24" s="30"/>
      <c r="N24" s="30"/>
      <c r="O24" s="30"/>
      <c r="P24" s="30"/>
      <c r="Q24" s="30"/>
      <c r="R24" s="30"/>
      <c r="S24" s="30"/>
      <c r="T24" s="30"/>
      <c r="U24" s="30"/>
      <c r="V24" s="31"/>
    </row>
    <row r="25" spans="1:22">
      <c r="A25" s="1" t="s">
        <v>44</v>
      </c>
      <c r="B25" s="29">
        <v>0</v>
      </c>
      <c r="C25" s="30">
        <v>0</v>
      </c>
      <c r="D25" s="30">
        <v>0</v>
      </c>
      <c r="E25" s="30">
        <v>0</v>
      </c>
      <c r="F25" s="30">
        <v>0</v>
      </c>
      <c r="G25" s="31">
        <f>SUM(ME_FINANCIAL)</f>
        <v>0</v>
      </c>
      <c r="H25" s="30"/>
      <c r="I25" s="34"/>
      <c r="J25" s="35"/>
      <c r="K25" s="30"/>
      <c r="L25" s="29"/>
      <c r="M25" s="30"/>
      <c r="N25" s="30"/>
      <c r="O25" s="30"/>
      <c r="P25" s="30"/>
      <c r="Q25" s="30"/>
      <c r="R25" s="30"/>
      <c r="S25" s="30"/>
      <c r="T25" s="30"/>
      <c r="U25" s="30"/>
      <c r="V25" s="31"/>
    </row>
    <row r="26" spans="1:22">
      <c r="A26" s="1" t="s">
        <v>45</v>
      </c>
      <c r="B26" s="29">
        <v>0</v>
      </c>
      <c r="C26" s="30">
        <v>0</v>
      </c>
      <c r="D26" s="30">
        <v>0</v>
      </c>
      <c r="E26" s="30">
        <v>0</v>
      </c>
      <c r="F26" s="30">
        <v>0</v>
      </c>
      <c r="G26" s="31">
        <f>SUM(MD_FINANCIAL)</f>
        <v>0</v>
      </c>
      <c r="H26" s="30"/>
      <c r="I26" s="34" t="s">
        <v>46</v>
      </c>
      <c r="J26" s="35">
        <f>SUM(ADD_FINANCIAL)-SUM(LESS_FINANCIAL)</f>
        <v>14255071.829999998</v>
      </c>
      <c r="K26" s="30"/>
      <c r="L26" s="29"/>
      <c r="M26" s="30"/>
      <c r="N26" s="30"/>
      <c r="O26" s="30"/>
      <c r="P26" s="30"/>
      <c r="Q26" s="30"/>
      <c r="R26" s="30"/>
      <c r="S26" s="30"/>
      <c r="T26" s="30"/>
      <c r="U26" s="30"/>
      <c r="V26" s="31"/>
    </row>
    <row r="27" spans="1:22">
      <c r="A27" s="1" t="s">
        <v>47</v>
      </c>
      <c r="B27" s="29">
        <v>0</v>
      </c>
      <c r="C27" s="30">
        <v>0</v>
      </c>
      <c r="D27" s="30">
        <v>0</v>
      </c>
      <c r="E27" s="30">
        <v>0</v>
      </c>
      <c r="F27" s="30">
        <v>0</v>
      </c>
      <c r="G27" s="31">
        <f>SUM(MA_FINANCIAL)</f>
        <v>0</v>
      </c>
      <c r="H27" s="30"/>
      <c r="I27" s="34" t="s">
        <v>48</v>
      </c>
      <c r="J27" s="35">
        <f>SUM(ALL_BLOCKS)</f>
        <v>14255071.83</v>
      </c>
      <c r="K27" s="30"/>
      <c r="L27" s="29"/>
      <c r="M27" s="30"/>
      <c r="N27" s="30"/>
      <c r="O27" s="30"/>
      <c r="P27" s="30"/>
      <c r="Q27" s="30"/>
      <c r="R27" s="30"/>
      <c r="S27" s="30"/>
      <c r="T27" s="30"/>
      <c r="U27" s="30"/>
      <c r="V27" s="31"/>
    </row>
    <row r="28" spans="1:22">
      <c r="A28" s="1" t="s">
        <v>49</v>
      </c>
      <c r="B28" s="29">
        <v>0</v>
      </c>
      <c r="C28" s="30">
        <v>0</v>
      </c>
      <c r="D28" s="30">
        <v>0</v>
      </c>
      <c r="E28" s="30">
        <v>0</v>
      </c>
      <c r="F28" s="30">
        <v>0</v>
      </c>
      <c r="G28" s="31">
        <f>SUM(MI_FINANCIAL)</f>
        <v>0</v>
      </c>
      <c r="H28" s="30"/>
      <c r="I28" s="36"/>
      <c r="J28" s="37"/>
      <c r="K28" s="30"/>
      <c r="L28" s="29"/>
      <c r="M28" s="30"/>
      <c r="N28" s="30"/>
      <c r="O28" s="30"/>
      <c r="P28" s="30"/>
      <c r="Q28" s="30"/>
      <c r="R28" s="30"/>
      <c r="S28" s="30"/>
      <c r="T28" s="30"/>
      <c r="U28" s="30"/>
      <c r="V28" s="31"/>
    </row>
    <row r="29" spans="1:22">
      <c r="A29" s="1" t="s">
        <v>50</v>
      </c>
      <c r="B29" s="29">
        <v>0</v>
      </c>
      <c r="C29" s="30">
        <v>0</v>
      </c>
      <c r="D29" s="30">
        <v>0</v>
      </c>
      <c r="E29" s="30">
        <v>0</v>
      </c>
      <c r="F29" s="30">
        <v>0</v>
      </c>
      <c r="G29" s="31">
        <f>SUM(MN_FINANCIAL)</f>
        <v>0</v>
      </c>
      <c r="H29" s="30"/>
      <c r="I29" s="30"/>
      <c r="J29" s="30"/>
      <c r="K29" s="30"/>
      <c r="L29" s="29"/>
      <c r="M29" s="30"/>
      <c r="N29" s="30"/>
      <c r="O29" s="30"/>
      <c r="P29" s="30"/>
      <c r="Q29" s="30"/>
      <c r="R29" s="30"/>
      <c r="S29" s="30"/>
      <c r="T29" s="30"/>
      <c r="U29" s="30"/>
      <c r="V29" s="31"/>
    </row>
    <row r="30" spans="1:22">
      <c r="A30" s="1" t="s">
        <v>51</v>
      </c>
      <c r="B30" s="29">
        <v>0</v>
      </c>
      <c r="C30" s="30">
        <v>0</v>
      </c>
      <c r="D30" s="30">
        <v>0</v>
      </c>
      <c r="E30" s="30">
        <v>0</v>
      </c>
      <c r="F30" s="30">
        <v>0</v>
      </c>
      <c r="G30" s="31">
        <f>SUM(MS_FINANCIAL)</f>
        <v>0</v>
      </c>
      <c r="H30" s="30"/>
      <c r="I30" s="30"/>
      <c r="J30" s="30"/>
      <c r="K30" s="30"/>
      <c r="L30" s="29"/>
      <c r="M30" s="30"/>
      <c r="N30" s="30"/>
      <c r="O30" s="30"/>
      <c r="P30" s="30"/>
      <c r="Q30" s="30"/>
      <c r="R30" s="30"/>
      <c r="S30" s="30"/>
      <c r="T30" s="30"/>
      <c r="U30" s="30"/>
      <c r="V30" s="31"/>
    </row>
    <row r="31" spans="1:22">
      <c r="A31" s="1" t="s">
        <v>52</v>
      </c>
      <c r="B31" s="29">
        <v>0</v>
      </c>
      <c r="C31" s="30">
        <v>0</v>
      </c>
      <c r="D31" s="30">
        <v>0</v>
      </c>
      <c r="E31" s="30">
        <v>0</v>
      </c>
      <c r="F31" s="30">
        <v>0</v>
      </c>
      <c r="G31" s="31">
        <f>SUM(MO_FINANCIAL)</f>
        <v>0</v>
      </c>
      <c r="H31" s="30"/>
      <c r="I31" s="30"/>
      <c r="J31" s="30"/>
      <c r="K31" s="30"/>
      <c r="L31" s="29"/>
      <c r="M31" s="30"/>
      <c r="N31" s="30"/>
      <c r="O31" s="30"/>
      <c r="P31" s="30"/>
      <c r="Q31" s="30"/>
      <c r="R31" s="30"/>
      <c r="S31" s="30"/>
      <c r="T31" s="30"/>
      <c r="U31" s="30"/>
      <c r="V31" s="31"/>
    </row>
    <row r="32" spans="1:22">
      <c r="A32" s="1" t="s">
        <v>53</v>
      </c>
      <c r="B32" s="29">
        <v>0</v>
      </c>
      <c r="C32" s="30">
        <v>0</v>
      </c>
      <c r="D32" s="30">
        <v>0</v>
      </c>
      <c r="E32" s="30">
        <v>0</v>
      </c>
      <c r="F32" s="30">
        <v>0</v>
      </c>
      <c r="G32" s="31">
        <f>SUM(MT_FINANCIAL)</f>
        <v>0</v>
      </c>
      <c r="H32" s="30"/>
      <c r="I32" s="30"/>
      <c r="J32" s="30"/>
      <c r="K32" s="30"/>
      <c r="L32" s="29"/>
      <c r="M32" s="30"/>
      <c r="N32" s="30"/>
      <c r="O32" s="30"/>
      <c r="P32" s="30"/>
      <c r="Q32" s="30"/>
      <c r="R32" s="30"/>
      <c r="S32" s="30"/>
      <c r="T32" s="30"/>
      <c r="U32" s="30"/>
      <c r="V32" s="31"/>
    </row>
    <row r="33" spans="1:22">
      <c r="A33" s="1" t="s">
        <v>54</v>
      </c>
      <c r="B33" s="29">
        <v>0</v>
      </c>
      <c r="C33" s="30">
        <v>0</v>
      </c>
      <c r="D33" s="30">
        <v>0</v>
      </c>
      <c r="E33" s="30">
        <v>0</v>
      </c>
      <c r="F33" s="30">
        <v>0</v>
      </c>
      <c r="G33" s="31">
        <f>SUM(NE_FINANCIAL)</f>
        <v>0</v>
      </c>
      <c r="H33" s="30"/>
      <c r="I33" s="30"/>
      <c r="J33" s="30"/>
      <c r="K33" s="30"/>
      <c r="L33" s="29"/>
      <c r="M33" s="30"/>
      <c r="N33" s="30"/>
      <c r="O33" s="30"/>
      <c r="P33" s="30"/>
      <c r="Q33" s="30"/>
      <c r="R33" s="30"/>
      <c r="S33" s="30"/>
      <c r="T33" s="30"/>
      <c r="U33" s="30"/>
      <c r="V33" s="31"/>
    </row>
    <row r="34" spans="1:22">
      <c r="A34" s="1" t="s">
        <v>55</v>
      </c>
      <c r="B34" s="29">
        <v>0</v>
      </c>
      <c r="C34" s="30">
        <v>0</v>
      </c>
      <c r="D34" s="30">
        <v>0</v>
      </c>
      <c r="E34" s="30">
        <v>0</v>
      </c>
      <c r="F34" s="30">
        <v>0</v>
      </c>
      <c r="G34" s="31">
        <f>SUM(NV_FINANCIAL)</f>
        <v>0</v>
      </c>
      <c r="H34" s="30"/>
      <c r="I34" s="30"/>
      <c r="J34" s="30"/>
      <c r="K34" s="30"/>
      <c r="L34" s="29"/>
      <c r="M34" s="30"/>
      <c r="N34" s="30"/>
      <c r="O34" s="30"/>
      <c r="P34" s="30"/>
      <c r="Q34" s="30"/>
      <c r="R34" s="30"/>
      <c r="S34" s="30"/>
      <c r="T34" s="30"/>
      <c r="U34" s="30"/>
      <c r="V34" s="31"/>
    </row>
    <row r="35" spans="1:22">
      <c r="A35" s="1" t="s">
        <v>56</v>
      </c>
      <c r="B35" s="29">
        <v>0</v>
      </c>
      <c r="C35" s="30">
        <v>0</v>
      </c>
      <c r="D35" s="30">
        <v>0</v>
      </c>
      <c r="E35" s="30">
        <v>0</v>
      </c>
      <c r="F35" s="30">
        <v>0</v>
      </c>
      <c r="G35" s="31">
        <f>SUM(NH_FINANCIAL)</f>
        <v>0</v>
      </c>
      <c r="H35" s="30"/>
      <c r="I35" s="30"/>
      <c r="J35" s="30"/>
      <c r="K35" s="30"/>
      <c r="L35" s="29"/>
      <c r="M35" s="30"/>
      <c r="N35" s="30"/>
      <c r="O35" s="30"/>
      <c r="P35" s="30"/>
      <c r="Q35" s="30"/>
      <c r="R35" s="30"/>
      <c r="S35" s="30"/>
      <c r="T35" s="30"/>
      <c r="U35" s="30"/>
      <c r="V35" s="31"/>
    </row>
    <row r="36" spans="1:22">
      <c r="A36" s="1" t="s">
        <v>57</v>
      </c>
      <c r="B36" s="29">
        <v>0</v>
      </c>
      <c r="C36" s="30">
        <v>0</v>
      </c>
      <c r="D36" s="30">
        <v>0</v>
      </c>
      <c r="E36" s="30">
        <v>0</v>
      </c>
      <c r="F36" s="30">
        <v>0</v>
      </c>
      <c r="G36" s="31">
        <f>SUM(NJ_FINANCIAL)</f>
        <v>0</v>
      </c>
      <c r="H36" s="30"/>
      <c r="I36" s="30"/>
      <c r="J36" s="30"/>
      <c r="K36" s="30"/>
      <c r="L36" s="29"/>
      <c r="M36" s="30"/>
      <c r="N36" s="30"/>
      <c r="O36" s="30"/>
      <c r="P36" s="30"/>
      <c r="Q36" s="30"/>
      <c r="R36" s="30"/>
      <c r="S36" s="30"/>
      <c r="T36" s="30"/>
      <c r="U36" s="30"/>
      <c r="V36" s="31"/>
    </row>
    <row r="37" spans="1:22">
      <c r="A37" s="1" t="s">
        <v>58</v>
      </c>
      <c r="B37" s="29">
        <v>0</v>
      </c>
      <c r="C37" s="30">
        <v>0</v>
      </c>
      <c r="D37" s="30">
        <v>0</v>
      </c>
      <c r="E37" s="30">
        <v>0</v>
      </c>
      <c r="F37" s="30">
        <v>0</v>
      </c>
      <c r="G37" s="31">
        <f>SUM(NM_FINANCIAL)</f>
        <v>0</v>
      </c>
      <c r="H37" s="30"/>
      <c r="I37" s="30"/>
      <c r="J37" s="30"/>
      <c r="K37" s="30"/>
      <c r="L37" s="29"/>
      <c r="M37" s="30"/>
      <c r="N37" s="30"/>
      <c r="O37" s="30"/>
      <c r="P37" s="30"/>
      <c r="Q37" s="30"/>
      <c r="R37" s="30"/>
      <c r="S37" s="30"/>
      <c r="T37" s="30"/>
      <c r="U37" s="30"/>
      <c r="V37" s="31"/>
    </row>
    <row r="38" spans="1:22">
      <c r="A38" s="1" t="s">
        <v>59</v>
      </c>
      <c r="B38" s="29">
        <v>0</v>
      </c>
      <c r="C38" s="30">
        <v>0</v>
      </c>
      <c r="D38" s="30">
        <v>0</v>
      </c>
      <c r="E38" s="30">
        <v>0</v>
      </c>
      <c r="F38" s="30">
        <v>0</v>
      </c>
      <c r="G38" s="31">
        <f>SUM(NY_FINANCIAL)</f>
        <v>0</v>
      </c>
      <c r="H38" s="30"/>
      <c r="I38" s="30"/>
      <c r="J38" s="30"/>
      <c r="K38" s="30"/>
      <c r="L38" s="29"/>
      <c r="M38" s="30"/>
      <c r="N38" s="30"/>
      <c r="O38" s="30"/>
      <c r="P38" s="30"/>
      <c r="Q38" s="30"/>
      <c r="R38" s="30"/>
      <c r="S38" s="30"/>
      <c r="T38" s="30"/>
      <c r="U38" s="30"/>
      <c r="V38" s="31"/>
    </row>
    <row r="39" spans="1:22">
      <c r="A39" s="1" t="s">
        <v>60</v>
      </c>
      <c r="B39" s="29">
        <v>0</v>
      </c>
      <c r="C39" s="30">
        <v>0</v>
      </c>
      <c r="D39" s="30">
        <v>0</v>
      </c>
      <c r="E39" s="30">
        <v>0</v>
      </c>
      <c r="F39" s="30">
        <v>0</v>
      </c>
      <c r="G39" s="31">
        <f>SUM(NC_FINANCIAL)</f>
        <v>0</v>
      </c>
      <c r="H39" s="30"/>
      <c r="I39" s="30"/>
      <c r="J39" s="30"/>
      <c r="K39" s="30"/>
      <c r="L39" s="29"/>
      <c r="M39" s="30"/>
      <c r="N39" s="30"/>
      <c r="O39" s="30"/>
      <c r="P39" s="30"/>
      <c r="Q39" s="30"/>
      <c r="R39" s="30"/>
      <c r="S39" s="30"/>
      <c r="T39" s="30"/>
      <c r="U39" s="30"/>
      <c r="V39" s="31"/>
    </row>
    <row r="40" spans="1:22">
      <c r="A40" s="1" t="s">
        <v>61</v>
      </c>
      <c r="B40" s="29">
        <v>0</v>
      </c>
      <c r="C40" s="30">
        <v>0</v>
      </c>
      <c r="D40" s="30">
        <v>0</v>
      </c>
      <c r="E40" s="30">
        <v>0</v>
      </c>
      <c r="F40" s="30">
        <v>0</v>
      </c>
      <c r="G40" s="31">
        <f>SUM(ND_FINANCIAL)</f>
        <v>0</v>
      </c>
      <c r="H40" s="30"/>
      <c r="I40" s="30"/>
      <c r="J40" s="30"/>
      <c r="K40" s="30"/>
      <c r="L40" s="29"/>
      <c r="M40" s="30"/>
      <c r="N40" s="30"/>
      <c r="O40" s="30"/>
      <c r="P40" s="30"/>
      <c r="Q40" s="30"/>
      <c r="R40" s="30"/>
      <c r="S40" s="30"/>
      <c r="T40" s="30"/>
      <c r="U40" s="30"/>
      <c r="V40" s="31"/>
    </row>
    <row r="41" spans="1:22">
      <c r="A41" s="1" t="s">
        <v>62</v>
      </c>
      <c r="B41" s="29">
        <v>0</v>
      </c>
      <c r="C41" s="30">
        <v>0</v>
      </c>
      <c r="D41" s="30">
        <v>0</v>
      </c>
      <c r="E41" s="30">
        <v>0</v>
      </c>
      <c r="F41" s="30">
        <v>0</v>
      </c>
      <c r="G41" s="31">
        <f>SUM(OH_FINANCIAL)</f>
        <v>0</v>
      </c>
      <c r="H41" s="30"/>
      <c r="I41" s="30"/>
      <c r="J41" s="30"/>
      <c r="K41" s="30"/>
      <c r="L41" s="29"/>
      <c r="M41" s="30"/>
      <c r="N41" s="30"/>
      <c r="O41" s="30"/>
      <c r="P41" s="30"/>
      <c r="Q41" s="30"/>
      <c r="R41" s="30"/>
      <c r="S41" s="30"/>
      <c r="T41" s="30"/>
      <c r="U41" s="30"/>
      <c r="V41" s="31"/>
    </row>
    <row r="42" spans="1:22">
      <c r="A42" s="1" t="s">
        <v>63</v>
      </c>
      <c r="B42" s="29">
        <v>0</v>
      </c>
      <c r="C42" s="30">
        <v>0</v>
      </c>
      <c r="D42" s="30">
        <v>0</v>
      </c>
      <c r="E42" s="30">
        <v>0</v>
      </c>
      <c r="F42" s="30">
        <v>0</v>
      </c>
      <c r="G42" s="31">
        <f>SUM(OK_FINANCIAL)</f>
        <v>0</v>
      </c>
      <c r="H42" s="30"/>
      <c r="I42" s="30"/>
      <c r="J42" s="30"/>
      <c r="K42" s="30"/>
      <c r="L42" s="29"/>
      <c r="M42" s="30"/>
      <c r="N42" s="30"/>
      <c r="O42" s="30"/>
      <c r="P42" s="30"/>
      <c r="Q42" s="30"/>
      <c r="R42" s="30"/>
      <c r="S42" s="30"/>
      <c r="T42" s="30"/>
      <c r="U42" s="30"/>
      <c r="V42" s="31"/>
    </row>
    <row r="43" spans="1:22">
      <c r="A43" s="1" t="s">
        <v>64</v>
      </c>
      <c r="B43" s="29">
        <v>0</v>
      </c>
      <c r="C43" s="30">
        <v>0</v>
      </c>
      <c r="D43" s="30">
        <v>0</v>
      </c>
      <c r="E43" s="30">
        <v>0</v>
      </c>
      <c r="F43" s="30">
        <v>0</v>
      </c>
      <c r="G43" s="31">
        <f>SUM(OR_FINANCIAL)</f>
        <v>0</v>
      </c>
      <c r="H43" s="30"/>
      <c r="I43" s="30"/>
      <c r="J43" s="30"/>
      <c r="K43" s="30"/>
      <c r="L43" s="29"/>
      <c r="M43" s="30"/>
      <c r="N43" s="30"/>
      <c r="O43" s="30"/>
      <c r="P43" s="30"/>
      <c r="Q43" s="30"/>
      <c r="R43" s="30"/>
      <c r="S43" s="30"/>
      <c r="T43" s="30"/>
      <c r="U43" s="30"/>
      <c r="V43" s="31"/>
    </row>
    <row r="44" spans="1:22">
      <c r="A44" s="1" t="s">
        <v>65</v>
      </c>
      <c r="B44" s="29">
        <v>11141434.614007073</v>
      </c>
      <c r="C44" s="30">
        <v>3113637.2159929276</v>
      </c>
      <c r="D44" s="30">
        <v>0</v>
      </c>
      <c r="E44" s="30">
        <v>0</v>
      </c>
      <c r="F44" s="30">
        <v>0</v>
      </c>
      <c r="G44" s="31">
        <f>SUM(PA_FINANCIAL)</f>
        <v>14255071.83</v>
      </c>
      <c r="H44" s="30"/>
      <c r="I44" s="30"/>
      <c r="J44" s="30"/>
      <c r="K44" s="30"/>
      <c r="L44" s="29">
        <v>32000000</v>
      </c>
      <c r="M44" s="30">
        <v>0</v>
      </c>
      <c r="N44" s="30"/>
      <c r="O44" s="30">
        <v>0</v>
      </c>
      <c r="P44" s="30">
        <v>0</v>
      </c>
      <c r="Q44" s="30"/>
      <c r="R44" s="30">
        <v>0</v>
      </c>
      <c r="S44" s="30">
        <v>0</v>
      </c>
      <c r="T44" s="30"/>
      <c r="U44" s="30">
        <v>0</v>
      </c>
      <c r="V44" s="31">
        <v>0</v>
      </c>
    </row>
    <row r="45" spans="1:22">
      <c r="A45" s="1" t="s">
        <v>66</v>
      </c>
      <c r="B45" s="29">
        <v>0</v>
      </c>
      <c r="C45" s="30">
        <v>0</v>
      </c>
      <c r="D45" s="30">
        <v>0</v>
      </c>
      <c r="E45" s="30">
        <v>0</v>
      </c>
      <c r="F45" s="30">
        <v>0</v>
      </c>
      <c r="G45" s="31">
        <f>SUM(PR_FINANCIAL)</f>
        <v>0</v>
      </c>
      <c r="H45" s="30"/>
      <c r="I45" s="30"/>
      <c r="J45" s="30"/>
      <c r="K45" s="30"/>
      <c r="L45" s="29"/>
      <c r="M45" s="30"/>
      <c r="N45" s="30"/>
      <c r="O45" s="30"/>
      <c r="P45" s="30"/>
      <c r="Q45" s="30"/>
      <c r="R45" s="30"/>
      <c r="S45" s="30"/>
      <c r="T45" s="30"/>
      <c r="U45" s="30"/>
      <c r="V45" s="31"/>
    </row>
    <row r="46" spans="1:22">
      <c r="A46" s="1" t="s">
        <v>67</v>
      </c>
      <c r="B46" s="29">
        <v>0</v>
      </c>
      <c r="C46" s="30">
        <v>0</v>
      </c>
      <c r="D46" s="30">
        <v>0</v>
      </c>
      <c r="E46" s="30">
        <v>0</v>
      </c>
      <c r="F46" s="30">
        <v>0</v>
      </c>
      <c r="G46" s="31">
        <f>SUM(RI_FINANCIAL)</f>
        <v>0</v>
      </c>
      <c r="H46" s="30"/>
      <c r="I46" s="30"/>
      <c r="J46" s="30"/>
      <c r="K46" s="30"/>
      <c r="L46" s="29"/>
      <c r="M46" s="30"/>
      <c r="N46" s="30"/>
      <c r="O46" s="30"/>
      <c r="P46" s="30"/>
      <c r="Q46" s="30"/>
      <c r="R46" s="30"/>
      <c r="S46" s="30"/>
      <c r="T46" s="30"/>
      <c r="U46" s="30"/>
      <c r="V46" s="31"/>
    </row>
    <row r="47" spans="1:22">
      <c r="A47" s="1" t="s">
        <v>68</v>
      </c>
      <c r="B47" s="29">
        <v>0</v>
      </c>
      <c r="C47" s="30">
        <v>0</v>
      </c>
      <c r="D47" s="30">
        <v>0</v>
      </c>
      <c r="E47" s="30">
        <v>0</v>
      </c>
      <c r="F47" s="30">
        <v>0</v>
      </c>
      <c r="G47" s="31">
        <f>SUM(SC_FINANCIAL)</f>
        <v>0</v>
      </c>
      <c r="H47" s="30"/>
      <c r="I47" s="30"/>
      <c r="J47" s="30"/>
      <c r="K47" s="30"/>
      <c r="L47" s="29"/>
      <c r="M47" s="30"/>
      <c r="N47" s="30"/>
      <c r="O47" s="30"/>
      <c r="P47" s="30"/>
      <c r="Q47" s="30"/>
      <c r="R47" s="30"/>
      <c r="S47" s="30"/>
      <c r="T47" s="30"/>
      <c r="U47" s="30"/>
      <c r="V47" s="31"/>
    </row>
    <row r="48" spans="1:22">
      <c r="A48" s="1" t="s">
        <v>69</v>
      </c>
      <c r="B48" s="29">
        <v>0</v>
      </c>
      <c r="C48" s="30">
        <v>0</v>
      </c>
      <c r="D48" s="30">
        <v>0</v>
      </c>
      <c r="E48" s="30">
        <v>0</v>
      </c>
      <c r="F48" s="30">
        <v>0</v>
      </c>
      <c r="G48" s="31">
        <f>SUM(SD_FINANCIAL)</f>
        <v>0</v>
      </c>
      <c r="H48" s="30"/>
      <c r="I48" s="30"/>
      <c r="J48" s="30"/>
      <c r="K48" s="30"/>
      <c r="L48" s="29"/>
      <c r="M48" s="30"/>
      <c r="N48" s="30"/>
      <c r="O48" s="30"/>
      <c r="P48" s="30"/>
      <c r="Q48" s="30"/>
      <c r="R48" s="30"/>
      <c r="S48" s="30"/>
      <c r="T48" s="30"/>
      <c r="U48" s="30"/>
      <c r="V48" s="31"/>
    </row>
    <row r="49" spans="1:22">
      <c r="A49" s="1" t="s">
        <v>70</v>
      </c>
      <c r="B49" s="29">
        <v>0</v>
      </c>
      <c r="C49" s="30">
        <v>0</v>
      </c>
      <c r="D49" s="30">
        <v>0</v>
      </c>
      <c r="E49" s="30">
        <v>0</v>
      </c>
      <c r="F49" s="30">
        <v>0</v>
      </c>
      <c r="G49" s="31">
        <f>SUM(TN_FINANCIAL)</f>
        <v>0</v>
      </c>
      <c r="H49" s="30"/>
      <c r="I49" s="30"/>
      <c r="J49" s="30"/>
      <c r="K49" s="30"/>
      <c r="L49" s="29"/>
      <c r="M49" s="30"/>
      <c r="N49" s="30"/>
      <c r="O49" s="30"/>
      <c r="P49" s="30"/>
      <c r="Q49" s="30"/>
      <c r="R49" s="30"/>
      <c r="S49" s="30"/>
      <c r="T49" s="30"/>
      <c r="U49" s="30"/>
      <c r="V49" s="31"/>
    </row>
    <row r="50" spans="1:22">
      <c r="A50" s="1" t="s">
        <v>71</v>
      </c>
      <c r="B50" s="29">
        <v>0</v>
      </c>
      <c r="C50" s="30">
        <v>0</v>
      </c>
      <c r="D50" s="30">
        <v>0</v>
      </c>
      <c r="E50" s="30">
        <v>0</v>
      </c>
      <c r="F50" s="30">
        <v>0</v>
      </c>
      <c r="G50" s="31">
        <f>SUM(TX_FINANCIAL)</f>
        <v>0</v>
      </c>
      <c r="H50" s="30"/>
      <c r="I50" s="30"/>
      <c r="J50" s="30"/>
      <c r="K50" s="30"/>
      <c r="L50" s="29"/>
      <c r="M50" s="30"/>
      <c r="N50" s="30"/>
      <c r="O50" s="30"/>
      <c r="P50" s="30"/>
      <c r="Q50" s="30"/>
      <c r="R50" s="30"/>
      <c r="S50" s="30"/>
      <c r="T50" s="30"/>
      <c r="U50" s="30"/>
      <c r="V50" s="31"/>
    </row>
    <row r="51" spans="1:22">
      <c r="A51" s="1" t="s">
        <v>72</v>
      </c>
      <c r="B51" s="29">
        <v>0</v>
      </c>
      <c r="C51" s="30">
        <v>0</v>
      </c>
      <c r="D51" s="30">
        <v>0</v>
      </c>
      <c r="E51" s="30">
        <v>0</v>
      </c>
      <c r="F51" s="30">
        <v>0</v>
      </c>
      <c r="G51" s="31">
        <f>SUM(UT_FINANCIAL)</f>
        <v>0</v>
      </c>
      <c r="H51" s="30"/>
      <c r="I51" s="30"/>
      <c r="J51" s="30"/>
      <c r="K51" s="30"/>
      <c r="L51" s="29"/>
      <c r="M51" s="30"/>
      <c r="N51" s="30"/>
      <c r="O51" s="30"/>
      <c r="P51" s="30"/>
      <c r="Q51" s="30"/>
      <c r="R51" s="30"/>
      <c r="S51" s="30"/>
      <c r="T51" s="30"/>
      <c r="U51" s="30"/>
      <c r="V51" s="31"/>
    </row>
    <row r="52" spans="1:22">
      <c r="A52" s="1" t="s">
        <v>73</v>
      </c>
      <c r="B52" s="29">
        <v>0</v>
      </c>
      <c r="C52" s="30">
        <v>0</v>
      </c>
      <c r="D52" s="30">
        <v>0</v>
      </c>
      <c r="E52" s="30">
        <v>0</v>
      </c>
      <c r="F52" s="30">
        <v>0</v>
      </c>
      <c r="G52" s="31">
        <f>SUM(VT_FINANCIAL)</f>
        <v>0</v>
      </c>
      <c r="H52" s="30"/>
      <c r="I52" s="30"/>
      <c r="J52" s="30"/>
      <c r="K52" s="30"/>
      <c r="L52" s="29"/>
      <c r="M52" s="30"/>
      <c r="N52" s="30"/>
      <c r="O52" s="30"/>
      <c r="P52" s="30"/>
      <c r="Q52" s="30"/>
      <c r="R52" s="30"/>
      <c r="S52" s="30"/>
      <c r="T52" s="30"/>
      <c r="U52" s="30"/>
      <c r="V52" s="31"/>
    </row>
    <row r="53" spans="1:22">
      <c r="A53" s="1" t="s">
        <v>74</v>
      </c>
      <c r="B53" s="29">
        <v>0</v>
      </c>
      <c r="C53" s="30">
        <v>0</v>
      </c>
      <c r="D53" s="30">
        <v>0</v>
      </c>
      <c r="E53" s="30">
        <v>0</v>
      </c>
      <c r="F53" s="30">
        <v>0</v>
      </c>
      <c r="G53" s="31">
        <f>SUM(VA_FINANCIAL)</f>
        <v>0</v>
      </c>
      <c r="H53" s="30"/>
      <c r="I53" s="30"/>
      <c r="J53" s="30"/>
      <c r="K53" s="30"/>
      <c r="L53" s="29"/>
      <c r="M53" s="30"/>
      <c r="N53" s="30"/>
      <c r="O53" s="30"/>
      <c r="P53" s="30"/>
      <c r="Q53" s="30"/>
      <c r="R53" s="30"/>
      <c r="S53" s="30"/>
      <c r="T53" s="30"/>
      <c r="U53" s="30"/>
      <c r="V53" s="31"/>
    </row>
    <row r="54" spans="1:22">
      <c r="A54" s="1" t="s">
        <v>75</v>
      </c>
      <c r="B54" s="29">
        <v>0</v>
      </c>
      <c r="C54" s="30">
        <v>0</v>
      </c>
      <c r="D54" s="30">
        <v>0</v>
      </c>
      <c r="E54" s="30">
        <v>0</v>
      </c>
      <c r="F54" s="30">
        <v>0</v>
      </c>
      <c r="G54" s="31">
        <f>SUM(WA_FINANCIAL)</f>
        <v>0</v>
      </c>
      <c r="H54" s="30"/>
      <c r="I54" s="30"/>
      <c r="J54" s="30"/>
      <c r="K54" s="30"/>
      <c r="L54" s="29"/>
      <c r="M54" s="30"/>
      <c r="N54" s="30"/>
      <c r="O54" s="30"/>
      <c r="P54" s="30"/>
      <c r="Q54" s="30"/>
      <c r="R54" s="30"/>
      <c r="S54" s="30"/>
      <c r="T54" s="30"/>
      <c r="U54" s="30"/>
      <c r="V54" s="31"/>
    </row>
    <row r="55" spans="1:22">
      <c r="A55" s="1" t="s">
        <v>76</v>
      </c>
      <c r="B55" s="29">
        <v>0</v>
      </c>
      <c r="C55" s="30">
        <v>0</v>
      </c>
      <c r="D55" s="30">
        <v>0</v>
      </c>
      <c r="E55" s="30">
        <v>0</v>
      </c>
      <c r="F55" s="30">
        <v>0</v>
      </c>
      <c r="G55" s="31">
        <f>SUM(WV_FINANCIAL)</f>
        <v>0</v>
      </c>
      <c r="H55" s="30"/>
      <c r="I55" s="30"/>
      <c r="J55" s="30"/>
      <c r="K55" s="30"/>
      <c r="L55" s="29"/>
      <c r="M55" s="30"/>
      <c r="N55" s="30"/>
      <c r="O55" s="30"/>
      <c r="P55" s="30"/>
      <c r="Q55" s="30"/>
      <c r="R55" s="30"/>
      <c r="S55" s="30"/>
      <c r="T55" s="30"/>
      <c r="U55" s="30"/>
      <c r="V55" s="31"/>
    </row>
    <row r="56" spans="1:22">
      <c r="A56" s="1" t="s">
        <v>77</v>
      </c>
      <c r="B56" s="29">
        <v>0</v>
      </c>
      <c r="C56" s="30">
        <v>0</v>
      </c>
      <c r="D56" s="30">
        <v>0</v>
      </c>
      <c r="E56" s="30">
        <v>0</v>
      </c>
      <c r="F56" s="30">
        <v>0</v>
      </c>
      <c r="G56" s="31">
        <f>SUM(WI_FINANCIAL)</f>
        <v>0</v>
      </c>
      <c r="H56" s="30"/>
      <c r="I56" s="30"/>
      <c r="J56" s="30"/>
      <c r="K56" s="30"/>
      <c r="L56" s="29"/>
      <c r="M56" s="30"/>
      <c r="N56" s="30"/>
      <c r="O56" s="30"/>
      <c r="P56" s="30"/>
      <c r="Q56" s="30"/>
      <c r="R56" s="30"/>
      <c r="S56" s="30"/>
      <c r="T56" s="30"/>
      <c r="U56" s="30"/>
      <c r="V56" s="31"/>
    </row>
    <row r="57" spans="1:22">
      <c r="A57" s="1" t="s">
        <v>78</v>
      </c>
      <c r="B57" s="29">
        <v>0</v>
      </c>
      <c r="C57" s="30">
        <v>0</v>
      </c>
      <c r="D57" s="30">
        <v>0</v>
      </c>
      <c r="E57" s="30">
        <v>0</v>
      </c>
      <c r="F57" s="30">
        <v>0</v>
      </c>
      <c r="G57" s="31">
        <f>SUM(WY_FINANCIAL)</f>
        <v>0</v>
      </c>
      <c r="H57" s="30"/>
      <c r="I57" s="30"/>
      <c r="J57" s="30"/>
      <c r="K57" s="30"/>
      <c r="L57" s="29"/>
      <c r="M57" s="30"/>
      <c r="N57" s="30"/>
      <c r="O57" s="30"/>
      <c r="P57" s="30"/>
      <c r="Q57" s="30"/>
      <c r="R57" s="30"/>
      <c r="S57" s="30"/>
      <c r="T57" s="30"/>
      <c r="U57" s="30"/>
      <c r="V57" s="31"/>
    </row>
    <row r="58" spans="1:22">
      <c r="A58" s="1" t="s">
        <v>79</v>
      </c>
      <c r="B58" s="29">
        <v>0</v>
      </c>
      <c r="C58" s="30">
        <v>0</v>
      </c>
      <c r="D58" s="30">
        <v>0</v>
      </c>
      <c r="E58" s="30">
        <v>0</v>
      </c>
      <c r="F58" s="30">
        <v>0</v>
      </c>
      <c r="G58" s="31">
        <f>SUM(OT_FINANCIAL)</f>
        <v>0</v>
      </c>
      <c r="H58" s="30"/>
      <c r="I58" s="30"/>
      <c r="J58" s="30"/>
      <c r="K58" s="30"/>
      <c r="L58" s="29"/>
      <c r="M58" s="30"/>
      <c r="N58" s="30"/>
      <c r="O58" s="30"/>
      <c r="P58" s="30"/>
      <c r="Q58" s="30"/>
      <c r="R58" s="30"/>
      <c r="S58" s="30"/>
      <c r="T58" s="30"/>
      <c r="U58" s="30"/>
      <c r="V58" s="31"/>
    </row>
    <row r="59" spans="1:22">
      <c r="B59" s="29"/>
      <c r="C59" s="30"/>
      <c r="D59" s="30"/>
      <c r="E59" s="30"/>
      <c r="F59" s="30"/>
      <c r="G59" s="31"/>
      <c r="H59" s="30"/>
      <c r="I59" s="30"/>
      <c r="J59" s="30"/>
      <c r="K59" s="30"/>
      <c r="L59" s="29"/>
      <c r="M59" s="30"/>
      <c r="N59" s="30"/>
      <c r="O59" s="30"/>
      <c r="P59" s="30"/>
      <c r="Q59" s="30"/>
      <c r="R59" s="30"/>
      <c r="S59" s="30"/>
      <c r="T59" s="30"/>
      <c r="U59" s="30"/>
      <c r="V59" s="31"/>
    </row>
    <row r="60" spans="1:22">
      <c r="A60" s="1" t="s">
        <v>8</v>
      </c>
      <c r="B60" s="29">
        <f>SUM(LIFE)</f>
        <v>11141434.614007073</v>
      </c>
      <c r="C60" s="30">
        <f>SUM(ALLOCATED)</f>
        <v>3113637.2159929276</v>
      </c>
      <c r="D60" s="30">
        <f>SUM(HEALTH)</f>
        <v>0</v>
      </c>
      <c r="E60" s="30">
        <f>SUM(UNALLOCATED)</f>
        <v>0</v>
      </c>
      <c r="F60" s="30">
        <f>SUM(LTC)</f>
        <v>0</v>
      </c>
      <c r="G60" s="31">
        <f>SUM(ALL_BLOCKS)</f>
        <v>14255071.83</v>
      </c>
      <c r="H60" s="30"/>
      <c r="I60" s="30"/>
      <c r="J60" s="30"/>
      <c r="K60" s="30"/>
      <c r="L60" s="29">
        <f>SUM(LIFE_CALLED)</f>
        <v>32000000</v>
      </c>
      <c r="M60" s="30">
        <f>SUM(LIFE_REFUNDED)</f>
        <v>0</v>
      </c>
      <c r="N60" s="30"/>
      <c r="O60" s="30">
        <f>SUM(ALLOC_CALLED)</f>
        <v>0</v>
      </c>
      <c r="P60" s="30">
        <f>SUM(ALLOC_REFUNDED)</f>
        <v>0</v>
      </c>
      <c r="Q60" s="30"/>
      <c r="R60" s="30">
        <f>SUM(HEALTH_CALLED)</f>
        <v>0</v>
      </c>
      <c r="S60" s="30">
        <f>SUM(HEALTH_REFUNDED)</f>
        <v>0</v>
      </c>
      <c r="T60" s="30"/>
      <c r="U60" s="30">
        <f>SUM(UNALLOC_CALLED)</f>
        <v>0</v>
      </c>
      <c r="V60" s="31">
        <f>SUM(UNALLOC_REFUNDED)</f>
        <v>0</v>
      </c>
    </row>
    <row r="61" spans="1:22" ht="5.0999999999999996" customHeight="1">
      <c r="B61" s="8"/>
      <c r="G61" s="11"/>
      <c r="L61" s="8"/>
      <c r="V61" s="11"/>
    </row>
    <row r="62" spans="1:22">
      <c r="B62" s="8"/>
      <c r="G62" s="11"/>
      <c r="L62" s="122" t="s">
        <v>80</v>
      </c>
      <c r="M62" s="123"/>
      <c r="N62" s="123"/>
      <c r="O62" s="123"/>
      <c r="P62" s="123"/>
      <c r="Q62" s="123"/>
      <c r="R62" s="123"/>
      <c r="S62" s="123"/>
      <c r="T62" s="123"/>
      <c r="U62" s="123"/>
      <c r="V62" s="124"/>
    </row>
    <row r="63" spans="1:22">
      <c r="B63" s="8"/>
      <c r="G63" s="11"/>
      <c r="L63" s="125"/>
      <c r="M63" s="123"/>
      <c r="N63" s="123"/>
      <c r="O63" s="123"/>
      <c r="P63" s="123"/>
      <c r="Q63" s="123"/>
      <c r="R63" s="123"/>
      <c r="S63" s="123"/>
      <c r="T63" s="123"/>
      <c r="U63" s="123"/>
      <c r="V63" s="124"/>
    </row>
    <row r="64" spans="1:22">
      <c r="B64" s="10"/>
      <c r="C64" s="7"/>
      <c r="D64" s="7"/>
      <c r="E64" s="7"/>
      <c r="F64" s="7"/>
      <c r="G64" s="13"/>
      <c r="L64" s="126"/>
      <c r="M64" s="127"/>
      <c r="N64" s="127"/>
      <c r="O64" s="127"/>
      <c r="P64" s="127"/>
      <c r="Q64" s="127"/>
      <c r="R64" s="127"/>
      <c r="S64" s="127"/>
      <c r="T64" s="127"/>
      <c r="U64" s="127"/>
      <c r="V64" s="128"/>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V64"/>
  <sheetViews>
    <sheetView zoomScale="75" workbookViewId="0">
      <selection sqref="A1:XFD1048576"/>
    </sheetView>
  </sheetViews>
  <sheetFormatPr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129" t="s">
        <v>82</v>
      </c>
      <c r="B1" s="123"/>
      <c r="C1" s="123"/>
      <c r="D1" s="123"/>
      <c r="E1" s="123"/>
      <c r="F1" s="123"/>
      <c r="G1" s="123"/>
    </row>
    <row r="3" spans="1:22">
      <c r="B3" s="130" t="s">
        <v>1</v>
      </c>
      <c r="C3" s="131"/>
      <c r="D3" s="131"/>
      <c r="E3" s="131"/>
      <c r="F3" s="131"/>
      <c r="G3" s="132"/>
      <c r="L3" s="133" t="s">
        <v>2</v>
      </c>
      <c r="M3" s="134"/>
      <c r="N3" s="134"/>
      <c r="O3" s="134"/>
      <c r="P3" s="134"/>
      <c r="Q3" s="134"/>
      <c r="R3" s="134"/>
      <c r="S3" s="134"/>
      <c r="T3" s="134"/>
      <c r="U3" s="134"/>
      <c r="V3" s="135"/>
    </row>
    <row r="4" spans="1:22">
      <c r="B4" s="8"/>
      <c r="G4" s="11"/>
      <c r="L4" s="136" t="s">
        <v>3</v>
      </c>
      <c r="M4" s="137"/>
      <c r="N4" s="4"/>
      <c r="O4" s="138" t="s">
        <v>4</v>
      </c>
      <c r="P4" s="137"/>
      <c r="Q4" s="4"/>
      <c r="R4" s="138" t="s">
        <v>5</v>
      </c>
      <c r="S4" s="137"/>
      <c r="T4" s="4"/>
      <c r="U4" s="138" t="s">
        <v>6</v>
      </c>
      <c r="V4" s="139"/>
    </row>
    <row r="5" spans="1:22" ht="60" customHeight="1">
      <c r="B5" s="9" t="s">
        <v>3</v>
      </c>
      <c r="C5" s="5" t="s">
        <v>4</v>
      </c>
      <c r="D5" s="5" t="s">
        <v>5</v>
      </c>
      <c r="E5" s="5" t="s">
        <v>6</v>
      </c>
      <c r="F5" s="5" t="s">
        <v>7</v>
      </c>
      <c r="G5" s="12" t="s">
        <v>8</v>
      </c>
      <c r="L5" s="15" t="s">
        <v>9</v>
      </c>
      <c r="M5" s="14" t="s">
        <v>10</v>
      </c>
      <c r="N5" s="14"/>
      <c r="O5" s="14" t="s">
        <v>9</v>
      </c>
      <c r="P5" s="14" t="s">
        <v>10</v>
      </c>
      <c r="Q5" s="14"/>
      <c r="R5" s="14" t="s">
        <v>9</v>
      </c>
      <c r="S5" s="14" t="s">
        <v>10</v>
      </c>
      <c r="T5" s="14"/>
      <c r="U5" s="14" t="s">
        <v>9</v>
      </c>
      <c r="V5" s="16" t="s">
        <v>10</v>
      </c>
    </row>
    <row r="6" spans="1:22">
      <c r="A6" s="1" t="s">
        <v>11</v>
      </c>
      <c r="B6" s="29">
        <v>0</v>
      </c>
      <c r="C6" s="30">
        <v>0</v>
      </c>
      <c r="D6" s="30">
        <v>0</v>
      </c>
      <c r="E6" s="30">
        <v>0</v>
      </c>
      <c r="F6" s="30">
        <v>0</v>
      </c>
      <c r="G6" s="31">
        <f>SUM(AL_FINANCIAL)</f>
        <v>0</v>
      </c>
      <c r="H6" s="30"/>
      <c r="I6" s="30"/>
      <c r="J6" s="30"/>
      <c r="K6" s="30"/>
      <c r="L6" s="29"/>
      <c r="M6" s="30"/>
      <c r="N6" s="30"/>
      <c r="O6" s="30"/>
      <c r="P6" s="30"/>
      <c r="Q6" s="30"/>
      <c r="R6" s="30"/>
      <c r="S6" s="30"/>
      <c r="T6" s="30"/>
      <c r="U6" s="30"/>
      <c r="V6" s="31"/>
    </row>
    <row r="7" spans="1:22">
      <c r="A7" s="1" t="s">
        <v>12</v>
      </c>
      <c r="B7" s="29">
        <v>0</v>
      </c>
      <c r="C7" s="30">
        <v>0</v>
      </c>
      <c r="D7" s="30">
        <v>0</v>
      </c>
      <c r="E7" s="30">
        <v>0</v>
      </c>
      <c r="F7" s="30">
        <v>0</v>
      </c>
      <c r="G7" s="31">
        <f>SUM(AK_FINANCIAL)</f>
        <v>0</v>
      </c>
      <c r="H7" s="30"/>
      <c r="I7" s="32"/>
      <c r="J7" s="33"/>
      <c r="K7" s="30"/>
      <c r="L7" s="29"/>
      <c r="M7" s="30"/>
      <c r="N7" s="30"/>
      <c r="O7" s="30"/>
      <c r="P7" s="30"/>
      <c r="Q7" s="30"/>
      <c r="R7" s="30"/>
      <c r="S7" s="30"/>
      <c r="T7" s="30"/>
      <c r="U7" s="30"/>
      <c r="V7" s="31"/>
    </row>
    <row r="8" spans="1:22">
      <c r="A8" s="1" t="s">
        <v>13</v>
      </c>
      <c r="B8" s="29">
        <v>323.43484233469621</v>
      </c>
      <c r="C8" s="30">
        <v>0</v>
      </c>
      <c r="D8" s="30">
        <v>26876.601993394204</v>
      </c>
      <c r="E8" s="30">
        <v>0</v>
      </c>
      <c r="F8" s="30">
        <v>0</v>
      </c>
      <c r="G8" s="31">
        <f>SUM(AZ_FINANCIAL)</f>
        <v>27200.036835728901</v>
      </c>
      <c r="H8" s="30"/>
      <c r="I8" s="34" t="s">
        <v>14</v>
      </c>
      <c r="J8" s="35"/>
      <c r="K8" s="30"/>
      <c r="L8" s="29"/>
      <c r="M8" s="30"/>
      <c r="N8" s="30"/>
      <c r="O8" s="30"/>
      <c r="P8" s="30"/>
      <c r="Q8" s="30"/>
      <c r="R8" s="30"/>
      <c r="S8" s="30"/>
      <c r="T8" s="30"/>
      <c r="U8" s="30"/>
      <c r="V8" s="31"/>
    </row>
    <row r="9" spans="1:22">
      <c r="A9" s="1" t="s">
        <v>15</v>
      </c>
      <c r="B9" s="29">
        <v>21.3324304098693</v>
      </c>
      <c r="C9" s="30">
        <v>0</v>
      </c>
      <c r="D9" s="30">
        <v>1772.6699991231321</v>
      </c>
      <c r="E9" s="30">
        <v>0</v>
      </c>
      <c r="F9" s="30">
        <v>0</v>
      </c>
      <c r="G9" s="31">
        <f>SUM(AR_FINANCIAL)</f>
        <v>1794.0024295330015</v>
      </c>
      <c r="H9" s="30"/>
      <c r="I9" s="34"/>
      <c r="J9" s="35"/>
      <c r="K9" s="30"/>
      <c r="L9" s="29"/>
      <c r="M9" s="30"/>
      <c r="N9" s="30"/>
      <c r="O9" s="30"/>
      <c r="P9" s="30"/>
      <c r="Q9" s="30"/>
      <c r="R9" s="30"/>
      <c r="S9" s="30"/>
      <c r="T9" s="30"/>
      <c r="U9" s="30"/>
      <c r="V9" s="31"/>
    </row>
    <row r="10" spans="1:22">
      <c r="A10" s="1" t="s">
        <v>16</v>
      </c>
      <c r="B10" s="29">
        <v>0</v>
      </c>
      <c r="C10" s="30">
        <v>0</v>
      </c>
      <c r="D10" s="30">
        <v>0</v>
      </c>
      <c r="E10" s="30">
        <v>0</v>
      </c>
      <c r="F10" s="30">
        <v>0</v>
      </c>
      <c r="G10" s="31">
        <f>SUM(CA_FINANCIAL)</f>
        <v>0</v>
      </c>
      <c r="H10" s="30"/>
      <c r="I10" s="34" t="s">
        <v>17</v>
      </c>
      <c r="J10" s="35">
        <v>0</v>
      </c>
      <c r="K10" s="30"/>
      <c r="L10" s="29"/>
      <c r="M10" s="30"/>
      <c r="N10" s="30"/>
      <c r="O10" s="30"/>
      <c r="P10" s="30"/>
      <c r="Q10" s="30"/>
      <c r="R10" s="30"/>
      <c r="S10" s="30"/>
      <c r="T10" s="30"/>
      <c r="U10" s="30"/>
      <c r="V10" s="31"/>
    </row>
    <row r="11" spans="1:22">
      <c r="A11" s="1" t="s">
        <v>18</v>
      </c>
      <c r="B11" s="29">
        <v>0.61833131622809567</v>
      </c>
      <c r="C11" s="30">
        <v>0</v>
      </c>
      <c r="D11" s="30">
        <v>51.381739105018333</v>
      </c>
      <c r="E11" s="30">
        <v>0</v>
      </c>
      <c r="F11" s="30">
        <v>0</v>
      </c>
      <c r="G11" s="31">
        <f>SUM(CO_FINANCIAL)</f>
        <v>52.000070421246427</v>
      </c>
      <c r="H11" s="30"/>
      <c r="I11" s="34"/>
      <c r="J11" s="35"/>
      <c r="K11" s="30"/>
      <c r="L11" s="29"/>
      <c r="M11" s="30"/>
      <c r="N11" s="30"/>
      <c r="O11" s="30"/>
      <c r="P11" s="30"/>
      <c r="Q11" s="30"/>
      <c r="R11" s="30"/>
      <c r="S11" s="30"/>
      <c r="T11" s="30"/>
      <c r="U11" s="30"/>
      <c r="V11" s="31"/>
    </row>
    <row r="12" spans="1:22">
      <c r="A12" s="1" t="s">
        <v>19</v>
      </c>
      <c r="B12" s="29">
        <v>0</v>
      </c>
      <c r="C12" s="30">
        <v>0</v>
      </c>
      <c r="D12" s="30">
        <v>0</v>
      </c>
      <c r="E12" s="30">
        <v>0</v>
      </c>
      <c r="F12" s="30">
        <v>0</v>
      </c>
      <c r="G12" s="31">
        <f>SUM(CT_FINANCIAL)</f>
        <v>0</v>
      </c>
      <c r="H12" s="30"/>
      <c r="I12" s="34" t="s">
        <v>20</v>
      </c>
      <c r="J12" s="35"/>
      <c r="K12" s="30"/>
      <c r="L12" s="29"/>
      <c r="M12" s="30"/>
      <c r="N12" s="30"/>
      <c r="O12" s="30"/>
      <c r="P12" s="30"/>
      <c r="Q12" s="30"/>
      <c r="R12" s="30"/>
      <c r="S12" s="30"/>
      <c r="T12" s="30"/>
      <c r="U12" s="30"/>
      <c r="V12" s="31"/>
    </row>
    <row r="13" spans="1:22">
      <c r="A13" s="1" t="s">
        <v>21</v>
      </c>
      <c r="B13" s="29">
        <v>0</v>
      </c>
      <c r="C13" s="30">
        <v>0</v>
      </c>
      <c r="D13" s="30">
        <v>0</v>
      </c>
      <c r="E13" s="30">
        <v>0</v>
      </c>
      <c r="F13" s="30">
        <v>0</v>
      </c>
      <c r="G13" s="31">
        <f>SUM(DE_FINANCIAL)</f>
        <v>0</v>
      </c>
      <c r="H13" s="30"/>
      <c r="I13" s="34" t="s">
        <v>22</v>
      </c>
      <c r="J13" s="35">
        <v>0</v>
      </c>
      <c r="K13" s="30"/>
      <c r="L13" s="29"/>
      <c r="M13" s="30"/>
      <c r="N13" s="30"/>
      <c r="O13" s="30"/>
      <c r="P13" s="30"/>
      <c r="Q13" s="30"/>
      <c r="R13" s="30"/>
      <c r="S13" s="30"/>
      <c r="T13" s="30"/>
      <c r="U13" s="30"/>
      <c r="V13" s="31"/>
    </row>
    <row r="14" spans="1:22">
      <c r="A14" s="1" t="s">
        <v>23</v>
      </c>
      <c r="B14" s="29">
        <v>0</v>
      </c>
      <c r="C14" s="30">
        <v>0</v>
      </c>
      <c r="D14" s="30">
        <v>0</v>
      </c>
      <c r="E14" s="30">
        <v>0</v>
      </c>
      <c r="F14" s="30">
        <v>0</v>
      </c>
      <c r="G14" s="31">
        <f>SUM(DC_FINANCIAL)</f>
        <v>0</v>
      </c>
      <c r="H14" s="30"/>
      <c r="I14" s="34" t="s">
        <v>24</v>
      </c>
      <c r="J14" s="35">
        <v>0</v>
      </c>
      <c r="K14" s="30"/>
      <c r="L14" s="29"/>
      <c r="M14" s="30"/>
      <c r="N14" s="30"/>
      <c r="O14" s="30"/>
      <c r="P14" s="30"/>
      <c r="Q14" s="30"/>
      <c r="R14" s="30"/>
      <c r="S14" s="30"/>
      <c r="T14" s="30"/>
      <c r="U14" s="30"/>
      <c r="V14" s="31"/>
    </row>
    <row r="15" spans="1:22">
      <c r="A15" s="1" t="s">
        <v>25</v>
      </c>
      <c r="B15" s="29">
        <v>0</v>
      </c>
      <c r="C15" s="30">
        <v>0</v>
      </c>
      <c r="D15" s="30">
        <v>0</v>
      </c>
      <c r="E15" s="30">
        <v>0</v>
      </c>
      <c r="F15" s="30">
        <v>0</v>
      </c>
      <c r="G15" s="31">
        <f>SUM(FL_FINANCIAL)</f>
        <v>0</v>
      </c>
      <c r="H15" s="30"/>
      <c r="I15" s="34" t="s">
        <v>26</v>
      </c>
      <c r="J15" s="35">
        <v>273213.37</v>
      </c>
      <c r="K15" s="30"/>
      <c r="L15" s="29"/>
      <c r="M15" s="30"/>
      <c r="N15" s="30"/>
      <c r="O15" s="30"/>
      <c r="P15" s="30"/>
      <c r="Q15" s="30"/>
      <c r="R15" s="30"/>
      <c r="S15" s="30"/>
      <c r="T15" s="30"/>
      <c r="U15" s="30"/>
      <c r="V15" s="31"/>
    </row>
    <row r="16" spans="1:22">
      <c r="A16" s="1" t="s">
        <v>27</v>
      </c>
      <c r="B16" s="29">
        <v>0.13080085535594332</v>
      </c>
      <c r="C16" s="30">
        <v>0</v>
      </c>
      <c r="D16" s="30">
        <v>10.869214041446185</v>
      </c>
      <c r="E16" s="30">
        <v>0</v>
      </c>
      <c r="F16" s="30">
        <v>0</v>
      </c>
      <c r="G16" s="31">
        <f>SUM(GA_FINANCIAL)</f>
        <v>11.000014896802128</v>
      </c>
      <c r="H16" s="30"/>
      <c r="I16" s="34" t="s">
        <v>28</v>
      </c>
      <c r="J16" s="35">
        <v>0</v>
      </c>
      <c r="K16" s="30"/>
      <c r="L16" s="29"/>
      <c r="M16" s="30"/>
      <c r="N16" s="30"/>
      <c r="O16" s="30"/>
      <c r="P16" s="30"/>
      <c r="Q16" s="30"/>
      <c r="R16" s="30"/>
      <c r="S16" s="30"/>
      <c r="T16" s="30"/>
      <c r="U16" s="30"/>
      <c r="V16" s="31"/>
    </row>
    <row r="17" spans="1:22">
      <c r="A17" s="1" t="s">
        <v>29</v>
      </c>
      <c r="B17" s="29">
        <v>0</v>
      </c>
      <c r="C17" s="30">
        <v>0</v>
      </c>
      <c r="D17" s="30">
        <v>0</v>
      </c>
      <c r="E17" s="30">
        <v>0</v>
      </c>
      <c r="F17" s="30">
        <v>0</v>
      </c>
      <c r="G17" s="31">
        <f>SUM(HI_FINANCIAL)</f>
        <v>0</v>
      </c>
      <c r="H17" s="30"/>
      <c r="I17" s="34"/>
      <c r="J17" s="35"/>
      <c r="K17" s="30"/>
      <c r="L17" s="29"/>
      <c r="M17" s="30"/>
      <c r="N17" s="30"/>
      <c r="O17" s="30"/>
      <c r="P17" s="30"/>
      <c r="Q17" s="30"/>
      <c r="R17" s="30"/>
      <c r="S17" s="30"/>
      <c r="T17" s="30"/>
      <c r="U17" s="30"/>
      <c r="V17" s="31"/>
    </row>
    <row r="18" spans="1:22">
      <c r="A18" s="1" t="s">
        <v>30</v>
      </c>
      <c r="B18" s="29">
        <v>0</v>
      </c>
      <c r="C18" s="30">
        <v>0</v>
      </c>
      <c r="D18" s="30">
        <v>0</v>
      </c>
      <c r="E18" s="30">
        <v>0</v>
      </c>
      <c r="F18" s="30">
        <v>0</v>
      </c>
      <c r="G18" s="31">
        <f>SUM(ID_FINANCIAL)</f>
        <v>0</v>
      </c>
      <c r="H18" s="30"/>
      <c r="I18" s="34" t="s">
        <v>31</v>
      </c>
      <c r="J18" s="35"/>
      <c r="K18" s="30"/>
      <c r="L18" s="29"/>
      <c r="M18" s="30"/>
      <c r="N18" s="30"/>
      <c r="O18" s="30"/>
      <c r="P18" s="30"/>
      <c r="Q18" s="30"/>
      <c r="R18" s="30"/>
      <c r="S18" s="30"/>
      <c r="T18" s="30"/>
      <c r="U18" s="30"/>
      <c r="V18" s="31"/>
    </row>
    <row r="19" spans="1:22">
      <c r="A19" s="1" t="s">
        <v>32</v>
      </c>
      <c r="B19" s="29">
        <v>278.10640046043659</v>
      </c>
      <c r="C19" s="30">
        <v>0</v>
      </c>
      <c r="D19" s="30">
        <v>23109.925272849396</v>
      </c>
      <c r="E19" s="30">
        <v>0</v>
      </c>
      <c r="F19" s="30">
        <v>0</v>
      </c>
      <c r="G19" s="31">
        <f>SUM(IL_FINANCIAL)</f>
        <v>23388.031673309833</v>
      </c>
      <c r="H19" s="30"/>
      <c r="I19" s="34" t="s">
        <v>33</v>
      </c>
      <c r="J19" s="35">
        <v>0</v>
      </c>
      <c r="K19" s="30"/>
      <c r="L19" s="29"/>
      <c r="M19" s="30"/>
      <c r="N19" s="30"/>
      <c r="O19" s="30"/>
      <c r="P19" s="30"/>
      <c r="Q19" s="30"/>
      <c r="R19" s="30"/>
      <c r="S19" s="30"/>
      <c r="T19" s="30"/>
      <c r="U19" s="30"/>
      <c r="V19" s="31"/>
    </row>
    <row r="20" spans="1:22">
      <c r="A20" s="1" t="s">
        <v>34</v>
      </c>
      <c r="B20" s="29">
        <v>452.23801189974881</v>
      </c>
      <c r="C20" s="30">
        <v>0</v>
      </c>
      <c r="D20" s="30">
        <v>37579.81349311649</v>
      </c>
      <c r="E20" s="30">
        <v>0</v>
      </c>
      <c r="F20" s="30">
        <v>0</v>
      </c>
      <c r="G20" s="31">
        <f>SUM(IN_FINANCIAL)</f>
        <v>38032.051505016236</v>
      </c>
      <c r="H20" s="30"/>
      <c r="I20" s="34" t="s">
        <v>35</v>
      </c>
      <c r="J20" s="35">
        <v>0</v>
      </c>
      <c r="K20" s="30"/>
      <c r="L20" s="29"/>
      <c r="M20" s="30"/>
      <c r="N20" s="30"/>
      <c r="O20" s="30"/>
      <c r="P20" s="30"/>
      <c r="Q20" s="30"/>
      <c r="R20" s="30"/>
      <c r="S20" s="30"/>
      <c r="T20" s="30"/>
      <c r="U20" s="30"/>
      <c r="V20" s="31"/>
    </row>
    <row r="21" spans="1:22">
      <c r="A21" s="1" t="s">
        <v>36</v>
      </c>
      <c r="B21" s="29">
        <v>72.796621499007728</v>
      </c>
      <c r="C21" s="30">
        <v>0</v>
      </c>
      <c r="D21" s="30">
        <v>6049.2116692485042</v>
      </c>
      <c r="E21" s="30">
        <v>0</v>
      </c>
      <c r="F21" s="30">
        <v>0</v>
      </c>
      <c r="G21" s="31">
        <f>SUM(IA_FINANCIAL)</f>
        <v>6122.0082907475116</v>
      </c>
      <c r="H21" s="30"/>
      <c r="I21" s="34" t="s">
        <v>37</v>
      </c>
      <c r="J21" s="35"/>
      <c r="K21" s="30"/>
      <c r="L21" s="29"/>
      <c r="M21" s="30"/>
      <c r="N21" s="30"/>
      <c r="O21" s="30"/>
      <c r="P21" s="30"/>
      <c r="Q21" s="30"/>
      <c r="R21" s="30"/>
      <c r="S21" s="30"/>
      <c r="T21" s="30"/>
      <c r="U21" s="30"/>
      <c r="V21" s="31"/>
    </row>
    <row r="22" spans="1:22">
      <c r="A22" s="1" t="s">
        <v>38</v>
      </c>
      <c r="B22" s="29">
        <v>0</v>
      </c>
      <c r="C22" s="30">
        <v>0</v>
      </c>
      <c r="D22" s="30">
        <v>0</v>
      </c>
      <c r="E22" s="30">
        <v>0</v>
      </c>
      <c r="F22" s="30">
        <v>0</v>
      </c>
      <c r="G22" s="31">
        <f>SUM(KS_FINANCIAL)</f>
        <v>0</v>
      </c>
      <c r="H22" s="30"/>
      <c r="I22" s="34" t="s">
        <v>39</v>
      </c>
      <c r="J22" s="35">
        <v>0</v>
      </c>
      <c r="K22" s="30"/>
      <c r="L22" s="29"/>
      <c r="M22" s="30"/>
      <c r="N22" s="30"/>
      <c r="O22" s="30"/>
      <c r="P22" s="30"/>
      <c r="Q22" s="30"/>
      <c r="R22" s="30"/>
      <c r="S22" s="30"/>
      <c r="T22" s="30"/>
      <c r="U22" s="30"/>
      <c r="V22" s="31"/>
    </row>
    <row r="23" spans="1:22">
      <c r="A23" s="1" t="s">
        <v>40</v>
      </c>
      <c r="B23" s="29">
        <v>0.17836480275810451</v>
      </c>
      <c r="C23" s="30">
        <v>0</v>
      </c>
      <c r="D23" s="30">
        <v>14.82165551106298</v>
      </c>
      <c r="E23" s="30">
        <v>0</v>
      </c>
      <c r="F23" s="30">
        <v>0</v>
      </c>
      <c r="G23" s="31">
        <f>SUM(KY_FINANCIAL)</f>
        <v>15.000020313821084</v>
      </c>
      <c r="H23" s="30"/>
      <c r="I23" s="34" t="s">
        <v>41</v>
      </c>
      <c r="J23" s="35"/>
      <c r="K23" s="30"/>
      <c r="L23" s="29"/>
      <c r="M23" s="30"/>
      <c r="N23" s="30"/>
      <c r="O23" s="30"/>
      <c r="P23" s="30"/>
      <c r="Q23" s="30"/>
      <c r="R23" s="30"/>
      <c r="S23" s="30"/>
      <c r="T23" s="30"/>
      <c r="U23" s="30"/>
      <c r="V23" s="31"/>
    </row>
    <row r="24" spans="1:22">
      <c r="A24" s="1" t="s">
        <v>42</v>
      </c>
      <c r="B24" s="29">
        <v>0</v>
      </c>
      <c r="C24" s="30">
        <v>0</v>
      </c>
      <c r="D24" s="30">
        <v>0</v>
      </c>
      <c r="E24" s="30">
        <v>0</v>
      </c>
      <c r="F24" s="30">
        <v>0</v>
      </c>
      <c r="G24" s="31">
        <f>SUM(LA_FINANCIAL)</f>
        <v>0</v>
      </c>
      <c r="H24" s="30"/>
      <c r="I24" s="34" t="s">
        <v>43</v>
      </c>
      <c r="J24" s="35">
        <v>0</v>
      </c>
      <c r="K24" s="30"/>
      <c r="L24" s="29"/>
      <c r="M24" s="30"/>
      <c r="N24" s="30"/>
      <c r="O24" s="30"/>
      <c r="P24" s="30"/>
      <c r="Q24" s="30"/>
      <c r="R24" s="30"/>
      <c r="S24" s="30"/>
      <c r="T24" s="30"/>
      <c r="U24" s="30"/>
      <c r="V24" s="31"/>
    </row>
    <row r="25" spans="1:22">
      <c r="A25" s="1" t="s">
        <v>44</v>
      </c>
      <c r="B25" s="29">
        <v>0</v>
      </c>
      <c r="C25" s="30">
        <v>0</v>
      </c>
      <c r="D25" s="30">
        <v>0</v>
      </c>
      <c r="E25" s="30">
        <v>0</v>
      </c>
      <c r="F25" s="30">
        <v>0</v>
      </c>
      <c r="G25" s="31">
        <f>SUM(ME_FINANCIAL)</f>
        <v>0</v>
      </c>
      <c r="H25" s="30"/>
      <c r="I25" s="34"/>
      <c r="J25" s="35"/>
      <c r="K25" s="30"/>
      <c r="L25" s="29"/>
      <c r="M25" s="30"/>
      <c r="N25" s="30"/>
      <c r="O25" s="30"/>
      <c r="P25" s="30"/>
      <c r="Q25" s="30"/>
      <c r="R25" s="30"/>
      <c r="S25" s="30"/>
      <c r="T25" s="30"/>
      <c r="U25" s="30"/>
      <c r="V25" s="31"/>
    </row>
    <row r="26" spans="1:22">
      <c r="A26" s="1" t="s">
        <v>45</v>
      </c>
      <c r="B26" s="29">
        <v>1.1890986850540302E-2</v>
      </c>
      <c r="C26" s="30">
        <v>0</v>
      </c>
      <c r="D26" s="30">
        <v>0.98811036740419866</v>
      </c>
      <c r="E26" s="30">
        <v>0</v>
      </c>
      <c r="F26" s="30">
        <v>0</v>
      </c>
      <c r="G26" s="31">
        <f>SUM(MD_FINANCIAL)</f>
        <v>1.000001354254739</v>
      </c>
      <c r="H26" s="30"/>
      <c r="I26" s="34" t="s">
        <v>46</v>
      </c>
      <c r="J26" s="35">
        <f>SUM(ADD_FINANCIAL)-SUM(LESS_FINANCIAL)</f>
        <v>273213.37</v>
      </c>
      <c r="K26" s="30"/>
      <c r="L26" s="29"/>
      <c r="M26" s="30"/>
      <c r="N26" s="30"/>
      <c r="O26" s="30"/>
      <c r="P26" s="30"/>
      <c r="Q26" s="30"/>
      <c r="R26" s="30"/>
      <c r="S26" s="30"/>
      <c r="T26" s="30"/>
      <c r="U26" s="30"/>
      <c r="V26" s="31"/>
    </row>
    <row r="27" spans="1:22">
      <c r="A27" s="1" t="s">
        <v>47</v>
      </c>
      <c r="B27" s="29">
        <v>0</v>
      </c>
      <c r="C27" s="30">
        <v>0</v>
      </c>
      <c r="D27" s="30">
        <v>0</v>
      </c>
      <c r="E27" s="30">
        <v>0</v>
      </c>
      <c r="F27" s="30">
        <v>0</v>
      </c>
      <c r="G27" s="31">
        <f>SUM(MA_FINANCIAL)</f>
        <v>0</v>
      </c>
      <c r="H27" s="30"/>
      <c r="I27" s="34" t="s">
        <v>48</v>
      </c>
      <c r="J27" s="35">
        <f>SUM(ALL_BLOCKS)</f>
        <v>273213.37000000005</v>
      </c>
      <c r="K27" s="30"/>
      <c r="L27" s="29"/>
      <c r="M27" s="30"/>
      <c r="N27" s="30"/>
      <c r="O27" s="30"/>
      <c r="P27" s="30"/>
      <c r="Q27" s="30"/>
      <c r="R27" s="30"/>
      <c r="S27" s="30"/>
      <c r="T27" s="30"/>
      <c r="U27" s="30"/>
      <c r="V27" s="31"/>
    </row>
    <row r="28" spans="1:22">
      <c r="A28" s="1" t="s">
        <v>49</v>
      </c>
      <c r="B28" s="29">
        <v>827.66024874500715</v>
      </c>
      <c r="C28" s="30">
        <v>0</v>
      </c>
      <c r="D28" s="30">
        <v>68776.434012801852</v>
      </c>
      <c r="E28" s="30">
        <v>0</v>
      </c>
      <c r="F28" s="30">
        <v>0</v>
      </c>
      <c r="G28" s="31">
        <f>SUM(MI_FINANCIAL)</f>
        <v>69604.094261546852</v>
      </c>
      <c r="H28" s="30"/>
      <c r="I28" s="36"/>
      <c r="J28" s="37"/>
      <c r="K28" s="30"/>
      <c r="L28" s="29"/>
      <c r="M28" s="30"/>
      <c r="N28" s="30"/>
      <c r="O28" s="30"/>
      <c r="P28" s="30"/>
      <c r="Q28" s="30"/>
      <c r="R28" s="30"/>
      <c r="S28" s="30"/>
      <c r="T28" s="30"/>
      <c r="U28" s="30"/>
      <c r="V28" s="31"/>
    </row>
    <row r="29" spans="1:22">
      <c r="A29" s="1" t="s">
        <v>50</v>
      </c>
      <c r="B29" s="29">
        <v>0</v>
      </c>
      <c r="C29" s="30">
        <v>0</v>
      </c>
      <c r="D29" s="30">
        <v>0</v>
      </c>
      <c r="E29" s="30">
        <v>0</v>
      </c>
      <c r="F29" s="30">
        <v>0</v>
      </c>
      <c r="G29" s="31">
        <f>SUM(MN_FINANCIAL)</f>
        <v>0</v>
      </c>
      <c r="H29" s="30"/>
      <c r="I29" s="30"/>
      <c r="J29" s="30"/>
      <c r="K29" s="30"/>
      <c r="L29" s="29"/>
      <c r="M29" s="30"/>
      <c r="N29" s="30"/>
      <c r="O29" s="30"/>
      <c r="P29" s="30"/>
      <c r="Q29" s="30"/>
      <c r="R29" s="30"/>
      <c r="S29" s="30"/>
      <c r="T29" s="30"/>
      <c r="U29" s="30"/>
      <c r="V29" s="31"/>
    </row>
    <row r="30" spans="1:22">
      <c r="A30" s="1" t="s">
        <v>51</v>
      </c>
      <c r="B30" s="29">
        <v>0</v>
      </c>
      <c r="C30" s="30">
        <v>0</v>
      </c>
      <c r="D30" s="30">
        <v>0</v>
      </c>
      <c r="E30" s="30">
        <v>0</v>
      </c>
      <c r="F30" s="30">
        <v>0</v>
      </c>
      <c r="G30" s="31">
        <f>SUM(MS_FINANCIAL)</f>
        <v>0</v>
      </c>
      <c r="H30" s="30"/>
      <c r="I30" s="30"/>
      <c r="J30" s="30"/>
      <c r="K30" s="30"/>
      <c r="L30" s="29"/>
      <c r="M30" s="30"/>
      <c r="N30" s="30"/>
      <c r="O30" s="30"/>
      <c r="P30" s="30"/>
      <c r="Q30" s="30"/>
      <c r="R30" s="30"/>
      <c r="S30" s="30"/>
      <c r="T30" s="30"/>
      <c r="U30" s="30"/>
      <c r="V30" s="31"/>
    </row>
    <row r="31" spans="1:22">
      <c r="A31" s="1" t="s">
        <v>52</v>
      </c>
      <c r="B31" s="29">
        <v>334.46967813199763</v>
      </c>
      <c r="C31" s="30">
        <v>0</v>
      </c>
      <c r="D31" s="30">
        <v>27793.5684143453</v>
      </c>
      <c r="E31" s="30">
        <v>0</v>
      </c>
      <c r="F31" s="30">
        <v>0</v>
      </c>
      <c r="G31" s="31">
        <f>SUM(MO_FINANCIAL)</f>
        <v>28128.038092477298</v>
      </c>
      <c r="H31" s="30"/>
      <c r="I31" s="30"/>
      <c r="J31" s="30"/>
      <c r="K31" s="30"/>
      <c r="L31" s="29"/>
      <c r="M31" s="30"/>
      <c r="N31" s="30"/>
      <c r="O31" s="30"/>
      <c r="P31" s="30"/>
      <c r="Q31" s="30"/>
      <c r="R31" s="30"/>
      <c r="S31" s="30"/>
      <c r="T31" s="30"/>
      <c r="U31" s="30"/>
      <c r="V31" s="31"/>
    </row>
    <row r="32" spans="1:22">
      <c r="A32" s="1" t="s">
        <v>53</v>
      </c>
      <c r="B32" s="29">
        <v>0</v>
      </c>
      <c r="C32" s="30">
        <v>0</v>
      </c>
      <c r="D32" s="30">
        <v>0</v>
      </c>
      <c r="E32" s="30">
        <v>0</v>
      </c>
      <c r="F32" s="30">
        <v>0</v>
      </c>
      <c r="G32" s="31">
        <f>SUM(MT_FINANCIAL)</f>
        <v>0</v>
      </c>
      <c r="H32" s="30"/>
      <c r="I32" s="30"/>
      <c r="J32" s="30"/>
      <c r="K32" s="30"/>
      <c r="L32" s="29"/>
      <c r="M32" s="30"/>
      <c r="N32" s="30"/>
      <c r="O32" s="30"/>
      <c r="P32" s="30"/>
      <c r="Q32" s="30"/>
      <c r="R32" s="30"/>
      <c r="S32" s="30"/>
      <c r="T32" s="30"/>
      <c r="U32" s="30"/>
      <c r="V32" s="31"/>
    </row>
    <row r="33" spans="1:22">
      <c r="A33" s="1" t="s">
        <v>54</v>
      </c>
      <c r="B33" s="29">
        <v>234.4783697058042</v>
      </c>
      <c r="C33" s="30">
        <v>0</v>
      </c>
      <c r="D33" s="30">
        <v>19484.548334843392</v>
      </c>
      <c r="E33" s="30">
        <v>0</v>
      </c>
      <c r="F33" s="30">
        <v>0</v>
      </c>
      <c r="G33" s="31">
        <f>SUM(NE_FINANCIAL)</f>
        <v>19719.026704549196</v>
      </c>
      <c r="H33" s="30"/>
      <c r="I33" s="30"/>
      <c r="J33" s="30"/>
      <c r="K33" s="30"/>
      <c r="L33" s="29"/>
      <c r="M33" s="30"/>
      <c r="N33" s="30"/>
      <c r="O33" s="30"/>
      <c r="P33" s="30"/>
      <c r="Q33" s="30"/>
      <c r="R33" s="30"/>
      <c r="S33" s="30"/>
      <c r="T33" s="30"/>
      <c r="U33" s="30"/>
      <c r="V33" s="31"/>
    </row>
    <row r="34" spans="1:22">
      <c r="A34" s="1" t="s">
        <v>55</v>
      </c>
      <c r="B34" s="29">
        <v>0</v>
      </c>
      <c r="C34" s="30">
        <v>0</v>
      </c>
      <c r="D34" s="30">
        <v>0</v>
      </c>
      <c r="E34" s="30">
        <v>0</v>
      </c>
      <c r="F34" s="30">
        <v>0</v>
      </c>
      <c r="G34" s="31">
        <f>SUM(NV_FINANCIAL)</f>
        <v>0</v>
      </c>
      <c r="H34" s="30"/>
      <c r="I34" s="30"/>
      <c r="J34" s="30"/>
      <c r="K34" s="30"/>
      <c r="L34" s="29"/>
      <c r="M34" s="30"/>
      <c r="N34" s="30"/>
      <c r="O34" s="30"/>
      <c r="P34" s="30"/>
      <c r="Q34" s="30"/>
      <c r="R34" s="30"/>
      <c r="S34" s="30"/>
      <c r="T34" s="30"/>
      <c r="U34" s="30"/>
      <c r="V34" s="31"/>
    </row>
    <row r="35" spans="1:22">
      <c r="A35" s="1" t="s">
        <v>56</v>
      </c>
      <c r="B35" s="29">
        <v>0</v>
      </c>
      <c r="C35" s="30">
        <v>0</v>
      </c>
      <c r="D35" s="30">
        <v>0</v>
      </c>
      <c r="E35" s="30">
        <v>0</v>
      </c>
      <c r="F35" s="30">
        <v>0</v>
      </c>
      <c r="G35" s="31">
        <f>SUM(NH_FINANCIAL)</f>
        <v>0</v>
      </c>
      <c r="H35" s="30"/>
      <c r="I35" s="30"/>
      <c r="J35" s="30"/>
      <c r="K35" s="30"/>
      <c r="L35" s="29"/>
      <c r="M35" s="30"/>
      <c r="N35" s="30"/>
      <c r="O35" s="30"/>
      <c r="P35" s="30"/>
      <c r="Q35" s="30"/>
      <c r="R35" s="30"/>
      <c r="S35" s="30"/>
      <c r="T35" s="30"/>
      <c r="U35" s="30"/>
      <c r="V35" s="31"/>
    </row>
    <row r="36" spans="1:22">
      <c r="A36" s="1" t="s">
        <v>57</v>
      </c>
      <c r="B36" s="29">
        <v>0</v>
      </c>
      <c r="C36" s="30">
        <v>0</v>
      </c>
      <c r="D36" s="30">
        <v>0</v>
      </c>
      <c r="E36" s="30">
        <v>0</v>
      </c>
      <c r="F36" s="30">
        <v>0</v>
      </c>
      <c r="G36" s="31">
        <f>SUM(NJ_FINANCIAL)</f>
        <v>0</v>
      </c>
      <c r="H36" s="30"/>
      <c r="I36" s="30"/>
      <c r="J36" s="30"/>
      <c r="K36" s="30"/>
      <c r="L36" s="29"/>
      <c r="M36" s="30"/>
      <c r="N36" s="30"/>
      <c r="O36" s="30"/>
      <c r="P36" s="30"/>
      <c r="Q36" s="30"/>
      <c r="R36" s="30"/>
      <c r="S36" s="30"/>
      <c r="T36" s="30"/>
      <c r="U36" s="30"/>
      <c r="V36" s="31"/>
    </row>
    <row r="37" spans="1:22">
      <c r="A37" s="1" t="s">
        <v>58</v>
      </c>
      <c r="B37" s="29">
        <v>0</v>
      </c>
      <c r="C37" s="30">
        <v>0</v>
      </c>
      <c r="D37" s="30">
        <v>0</v>
      </c>
      <c r="E37" s="30">
        <v>0</v>
      </c>
      <c r="F37" s="30">
        <v>0</v>
      </c>
      <c r="G37" s="31">
        <f>SUM(NM_FINANCIAL)</f>
        <v>0</v>
      </c>
      <c r="H37" s="30"/>
      <c r="I37" s="30"/>
      <c r="J37" s="30"/>
      <c r="K37" s="30"/>
      <c r="L37" s="29"/>
      <c r="M37" s="30"/>
      <c r="N37" s="30"/>
      <c r="O37" s="30"/>
      <c r="P37" s="30"/>
      <c r="Q37" s="30"/>
      <c r="R37" s="30"/>
      <c r="S37" s="30"/>
      <c r="T37" s="30"/>
      <c r="U37" s="30"/>
      <c r="V37" s="31"/>
    </row>
    <row r="38" spans="1:22">
      <c r="A38" s="1" t="s">
        <v>59</v>
      </c>
      <c r="B38" s="29">
        <v>0</v>
      </c>
      <c r="C38" s="30">
        <v>0</v>
      </c>
      <c r="D38" s="30">
        <v>0</v>
      </c>
      <c r="E38" s="30">
        <v>0</v>
      </c>
      <c r="F38" s="30">
        <v>0</v>
      </c>
      <c r="G38" s="31">
        <f>SUM(NY_FINANCIAL)</f>
        <v>0</v>
      </c>
      <c r="H38" s="30"/>
      <c r="I38" s="30"/>
      <c r="J38" s="30"/>
      <c r="K38" s="30"/>
      <c r="L38" s="29"/>
      <c r="M38" s="30"/>
      <c r="N38" s="30"/>
      <c r="O38" s="30"/>
      <c r="P38" s="30"/>
      <c r="Q38" s="30"/>
      <c r="R38" s="30"/>
      <c r="S38" s="30"/>
      <c r="T38" s="30"/>
      <c r="U38" s="30"/>
      <c r="V38" s="31"/>
    </row>
    <row r="39" spans="1:22">
      <c r="A39" s="1" t="s">
        <v>60</v>
      </c>
      <c r="B39" s="29">
        <v>0.23781973701080608</v>
      </c>
      <c r="C39" s="30">
        <v>0</v>
      </c>
      <c r="D39" s="30">
        <v>19.762207348083976</v>
      </c>
      <c r="E39" s="30">
        <v>0</v>
      </c>
      <c r="F39" s="30">
        <v>0</v>
      </c>
      <c r="G39" s="31">
        <f>SUM(NC_FINANCIAL)</f>
        <v>20.000027085094782</v>
      </c>
      <c r="H39" s="30"/>
      <c r="I39" s="30"/>
      <c r="J39" s="30"/>
      <c r="K39" s="30"/>
      <c r="L39" s="29"/>
      <c r="M39" s="30"/>
      <c r="N39" s="30"/>
      <c r="O39" s="30"/>
      <c r="P39" s="30"/>
      <c r="Q39" s="30"/>
      <c r="R39" s="30"/>
      <c r="S39" s="30"/>
      <c r="T39" s="30"/>
      <c r="U39" s="30"/>
      <c r="V39" s="31"/>
    </row>
    <row r="40" spans="1:22">
      <c r="A40" s="1" t="s">
        <v>61</v>
      </c>
      <c r="B40" s="29">
        <v>2.3781973701080605E-2</v>
      </c>
      <c r="C40" s="30">
        <v>0</v>
      </c>
      <c r="D40" s="30">
        <v>1.9762207348083973</v>
      </c>
      <c r="E40" s="30">
        <v>0</v>
      </c>
      <c r="F40" s="30">
        <v>0</v>
      </c>
      <c r="G40" s="31">
        <f>SUM(ND_FINANCIAL)</f>
        <v>2.000002708509478</v>
      </c>
      <c r="H40" s="30"/>
      <c r="I40" s="30"/>
      <c r="J40" s="30"/>
      <c r="K40" s="30"/>
      <c r="L40" s="29"/>
      <c r="M40" s="30"/>
      <c r="N40" s="30"/>
      <c r="O40" s="30"/>
      <c r="P40" s="30"/>
      <c r="Q40" s="30"/>
      <c r="R40" s="30"/>
      <c r="S40" s="30"/>
      <c r="T40" s="30"/>
      <c r="U40" s="30"/>
      <c r="V40" s="31"/>
    </row>
    <row r="41" spans="1:22">
      <c r="A41" s="1" t="s">
        <v>62</v>
      </c>
      <c r="B41" s="29">
        <v>528.51869254596477</v>
      </c>
      <c r="C41" s="30">
        <v>0</v>
      </c>
      <c r="D41" s="30">
        <v>43918.54150001442</v>
      </c>
      <c r="E41" s="30">
        <v>0</v>
      </c>
      <c r="F41" s="30">
        <v>0</v>
      </c>
      <c r="G41" s="31">
        <f>SUM(OH_FINANCIAL)</f>
        <v>44447.060192560384</v>
      </c>
      <c r="H41" s="30"/>
      <c r="I41" s="30"/>
      <c r="J41" s="30"/>
      <c r="K41" s="30"/>
      <c r="L41" s="29"/>
      <c r="M41" s="30"/>
      <c r="N41" s="30"/>
      <c r="O41" s="30"/>
      <c r="P41" s="30"/>
      <c r="Q41" s="30"/>
      <c r="R41" s="30"/>
      <c r="S41" s="30"/>
      <c r="T41" s="30"/>
      <c r="U41" s="30"/>
      <c r="V41" s="31"/>
    </row>
    <row r="42" spans="1:22">
      <c r="A42" s="1" t="s">
        <v>63</v>
      </c>
      <c r="B42" s="29">
        <v>22.069671594602799</v>
      </c>
      <c r="C42" s="30">
        <v>0</v>
      </c>
      <c r="D42" s="30">
        <v>1833.9328419021926</v>
      </c>
      <c r="E42" s="30">
        <v>0</v>
      </c>
      <c r="F42" s="30">
        <v>0</v>
      </c>
      <c r="G42" s="31">
        <f>SUM(OK_FINANCIAL)</f>
        <v>1856.0025134967955</v>
      </c>
      <c r="H42" s="30"/>
      <c r="I42" s="30"/>
      <c r="J42" s="30"/>
      <c r="K42" s="30"/>
      <c r="L42" s="29"/>
      <c r="M42" s="30"/>
      <c r="N42" s="30"/>
      <c r="O42" s="30"/>
      <c r="P42" s="30"/>
      <c r="Q42" s="30"/>
      <c r="R42" s="30"/>
      <c r="S42" s="30"/>
      <c r="T42" s="30"/>
      <c r="U42" s="30"/>
      <c r="V42" s="31"/>
    </row>
    <row r="43" spans="1:22">
      <c r="A43" s="1" t="s">
        <v>64</v>
      </c>
      <c r="B43" s="29">
        <v>0</v>
      </c>
      <c r="C43" s="30">
        <v>0</v>
      </c>
      <c r="D43" s="30">
        <v>0</v>
      </c>
      <c r="E43" s="30">
        <v>0</v>
      </c>
      <c r="F43" s="30">
        <v>0</v>
      </c>
      <c r="G43" s="31">
        <f>SUM(OR_FINANCIAL)</f>
        <v>0</v>
      </c>
      <c r="H43" s="30"/>
      <c r="I43" s="30"/>
      <c r="J43" s="30"/>
      <c r="K43" s="30"/>
      <c r="L43" s="29"/>
      <c r="M43" s="30"/>
      <c r="N43" s="30"/>
      <c r="O43" s="30"/>
      <c r="P43" s="30"/>
      <c r="Q43" s="30"/>
      <c r="R43" s="30"/>
      <c r="S43" s="30"/>
      <c r="T43" s="30"/>
      <c r="U43" s="30"/>
      <c r="V43" s="31"/>
    </row>
    <row r="44" spans="1:22">
      <c r="A44" s="1" t="s">
        <v>65</v>
      </c>
      <c r="B44" s="29">
        <v>5.945493425270152E-2</v>
      </c>
      <c r="C44" s="30">
        <v>0</v>
      </c>
      <c r="D44" s="30">
        <v>4.940551837020994</v>
      </c>
      <c r="E44" s="30">
        <v>0</v>
      </c>
      <c r="F44" s="30">
        <v>0</v>
      </c>
      <c r="G44" s="31">
        <f>SUM(PA_FINANCIAL)</f>
        <v>5.0000067712736955</v>
      </c>
      <c r="H44" s="30"/>
      <c r="I44" s="30"/>
      <c r="J44" s="30"/>
      <c r="K44" s="30"/>
      <c r="L44" s="29"/>
      <c r="M44" s="30"/>
      <c r="N44" s="30"/>
      <c r="O44" s="30"/>
      <c r="P44" s="30"/>
      <c r="Q44" s="30"/>
      <c r="R44" s="30"/>
      <c r="S44" s="30"/>
      <c r="T44" s="30"/>
      <c r="U44" s="30"/>
      <c r="V44" s="31"/>
    </row>
    <row r="45" spans="1:22">
      <c r="A45" s="1" t="s">
        <v>66</v>
      </c>
      <c r="B45" s="29">
        <v>0</v>
      </c>
      <c r="C45" s="30">
        <v>0</v>
      </c>
      <c r="D45" s="30">
        <v>0</v>
      </c>
      <c r="E45" s="30">
        <v>0</v>
      </c>
      <c r="F45" s="30">
        <v>0</v>
      </c>
      <c r="G45" s="31">
        <f>SUM(PR_FINANCIAL)</f>
        <v>0</v>
      </c>
      <c r="H45" s="30"/>
      <c r="I45" s="30"/>
      <c r="J45" s="30"/>
      <c r="K45" s="30"/>
      <c r="L45" s="29"/>
      <c r="M45" s="30"/>
      <c r="N45" s="30"/>
      <c r="O45" s="30"/>
      <c r="P45" s="30"/>
      <c r="Q45" s="30"/>
      <c r="R45" s="30"/>
      <c r="S45" s="30"/>
      <c r="T45" s="30"/>
      <c r="U45" s="30"/>
      <c r="V45" s="31"/>
    </row>
    <row r="46" spans="1:22">
      <c r="A46" s="1" t="s">
        <v>67</v>
      </c>
      <c r="B46" s="29">
        <v>0</v>
      </c>
      <c r="C46" s="30">
        <v>0</v>
      </c>
      <c r="D46" s="30">
        <v>0</v>
      </c>
      <c r="E46" s="30">
        <v>0</v>
      </c>
      <c r="F46" s="30">
        <v>0</v>
      </c>
      <c r="G46" s="31">
        <f>SUM(RI_FINANCIAL)</f>
        <v>0</v>
      </c>
      <c r="H46" s="30"/>
      <c r="I46" s="30"/>
      <c r="J46" s="30"/>
      <c r="K46" s="30"/>
      <c r="L46" s="29"/>
      <c r="M46" s="30"/>
      <c r="N46" s="30"/>
      <c r="O46" s="30"/>
      <c r="P46" s="30"/>
      <c r="Q46" s="30"/>
      <c r="R46" s="30"/>
      <c r="S46" s="30"/>
      <c r="T46" s="30"/>
      <c r="U46" s="30"/>
      <c r="V46" s="31"/>
    </row>
    <row r="47" spans="1:22">
      <c r="A47" s="1" t="s">
        <v>68</v>
      </c>
      <c r="B47" s="29">
        <v>9.7981731648452097</v>
      </c>
      <c r="C47" s="30">
        <v>0</v>
      </c>
      <c r="D47" s="30">
        <v>814.2029427410597</v>
      </c>
      <c r="E47" s="30">
        <v>0</v>
      </c>
      <c r="F47" s="30">
        <v>0</v>
      </c>
      <c r="G47" s="31">
        <f>SUM(SC_FINANCIAL)</f>
        <v>824.00111590590495</v>
      </c>
      <c r="H47" s="30"/>
      <c r="I47" s="30"/>
      <c r="J47" s="30"/>
      <c r="K47" s="30"/>
      <c r="L47" s="29"/>
      <c r="M47" s="30"/>
      <c r="N47" s="30"/>
      <c r="O47" s="30"/>
      <c r="P47" s="30"/>
      <c r="Q47" s="30"/>
      <c r="R47" s="30"/>
      <c r="S47" s="30"/>
      <c r="T47" s="30"/>
      <c r="U47" s="30"/>
      <c r="V47" s="31"/>
    </row>
    <row r="48" spans="1:22">
      <c r="A48" s="1" t="s">
        <v>69</v>
      </c>
      <c r="B48" s="29">
        <v>0</v>
      </c>
      <c r="C48" s="30">
        <v>0</v>
      </c>
      <c r="D48" s="30">
        <v>0</v>
      </c>
      <c r="E48" s="30">
        <v>0</v>
      </c>
      <c r="F48" s="30">
        <v>0</v>
      </c>
      <c r="G48" s="31">
        <f>SUM(SD_FINANCIAL)</f>
        <v>0</v>
      </c>
      <c r="H48" s="30"/>
      <c r="I48" s="30"/>
      <c r="J48" s="30"/>
      <c r="K48" s="30"/>
      <c r="L48" s="29"/>
      <c r="M48" s="30"/>
      <c r="N48" s="30"/>
      <c r="O48" s="30"/>
      <c r="P48" s="30"/>
      <c r="Q48" s="30"/>
      <c r="R48" s="30"/>
      <c r="S48" s="30"/>
      <c r="T48" s="30"/>
      <c r="U48" s="30"/>
      <c r="V48" s="31"/>
    </row>
    <row r="49" spans="1:22">
      <c r="A49" s="1" t="s">
        <v>70</v>
      </c>
      <c r="B49" s="29">
        <v>12.283389416608129</v>
      </c>
      <c r="C49" s="30">
        <v>0</v>
      </c>
      <c r="D49" s="30">
        <v>1020.7180095285371</v>
      </c>
      <c r="E49" s="30">
        <v>0</v>
      </c>
      <c r="F49" s="30">
        <v>0</v>
      </c>
      <c r="G49" s="31">
        <f>SUM(TN_FINANCIAL)</f>
        <v>1033.0013989451452</v>
      </c>
      <c r="H49" s="30"/>
      <c r="I49" s="30"/>
      <c r="J49" s="30"/>
      <c r="K49" s="30"/>
      <c r="L49" s="29"/>
      <c r="M49" s="30"/>
      <c r="N49" s="30"/>
      <c r="O49" s="30"/>
      <c r="P49" s="30"/>
      <c r="Q49" s="30"/>
      <c r="R49" s="30"/>
      <c r="S49" s="30"/>
      <c r="T49" s="30"/>
      <c r="U49" s="30"/>
      <c r="V49" s="31"/>
    </row>
    <row r="50" spans="1:22">
      <c r="A50" s="1" t="s">
        <v>71</v>
      </c>
      <c r="B50" s="29">
        <v>58.551219252060449</v>
      </c>
      <c r="C50" s="30">
        <v>0</v>
      </c>
      <c r="D50" s="30">
        <v>4865.4554490982746</v>
      </c>
      <c r="E50" s="30">
        <v>0</v>
      </c>
      <c r="F50" s="30">
        <v>0</v>
      </c>
      <c r="G50" s="31">
        <f>SUM(TX_FINANCIAL)</f>
        <v>4924.0066683503346</v>
      </c>
      <c r="H50" s="30"/>
      <c r="I50" s="30"/>
      <c r="J50" s="30"/>
      <c r="K50" s="30"/>
      <c r="L50" s="29"/>
      <c r="M50" s="30"/>
      <c r="N50" s="30"/>
      <c r="O50" s="30"/>
      <c r="P50" s="30"/>
      <c r="Q50" s="30"/>
      <c r="R50" s="30"/>
      <c r="S50" s="30"/>
      <c r="T50" s="30"/>
      <c r="U50" s="30"/>
      <c r="V50" s="31"/>
    </row>
    <row r="51" spans="1:22">
      <c r="A51" s="1" t="s">
        <v>72</v>
      </c>
      <c r="B51" s="29">
        <v>0</v>
      </c>
      <c r="C51" s="30">
        <v>0</v>
      </c>
      <c r="D51" s="30">
        <v>0</v>
      </c>
      <c r="E51" s="30">
        <v>0</v>
      </c>
      <c r="F51" s="30">
        <v>0</v>
      </c>
      <c r="G51" s="31">
        <f>SUM(UT_FINANCIAL)</f>
        <v>0</v>
      </c>
      <c r="H51" s="30"/>
      <c r="I51" s="30"/>
      <c r="J51" s="30"/>
      <c r="K51" s="30"/>
      <c r="L51" s="29"/>
      <c r="M51" s="30"/>
      <c r="N51" s="30"/>
      <c r="O51" s="30"/>
      <c r="P51" s="30"/>
      <c r="Q51" s="30"/>
      <c r="R51" s="30"/>
      <c r="S51" s="30"/>
      <c r="T51" s="30"/>
      <c r="U51" s="30"/>
      <c r="V51" s="31"/>
    </row>
    <row r="52" spans="1:22">
      <c r="A52" s="1" t="s">
        <v>73</v>
      </c>
      <c r="B52" s="29">
        <v>0</v>
      </c>
      <c r="C52" s="30">
        <v>0</v>
      </c>
      <c r="D52" s="30">
        <v>0</v>
      </c>
      <c r="E52" s="30">
        <v>0</v>
      </c>
      <c r="F52" s="30">
        <v>0</v>
      </c>
      <c r="G52" s="31">
        <f>SUM(VT_FINANCIAL)</f>
        <v>0</v>
      </c>
      <c r="H52" s="30"/>
      <c r="I52" s="30"/>
      <c r="J52" s="30"/>
      <c r="K52" s="30"/>
      <c r="L52" s="29"/>
      <c r="M52" s="30"/>
      <c r="N52" s="30"/>
      <c r="O52" s="30"/>
      <c r="P52" s="30"/>
      <c r="Q52" s="30"/>
      <c r="R52" s="30"/>
      <c r="S52" s="30"/>
      <c r="T52" s="30"/>
      <c r="U52" s="30"/>
      <c r="V52" s="31"/>
    </row>
    <row r="53" spans="1:22">
      <c r="A53" s="1" t="s">
        <v>74</v>
      </c>
      <c r="B53" s="29">
        <v>2.3781973701080605E-2</v>
      </c>
      <c r="C53" s="30">
        <v>0</v>
      </c>
      <c r="D53" s="30">
        <v>1.9762207348083973</v>
      </c>
      <c r="E53" s="30">
        <v>0</v>
      </c>
      <c r="F53" s="30">
        <v>0</v>
      </c>
      <c r="G53" s="31">
        <f>SUM(VA_FINANCIAL)</f>
        <v>2.000002708509478</v>
      </c>
      <c r="H53" s="30"/>
      <c r="I53" s="30"/>
      <c r="J53" s="30"/>
      <c r="K53" s="30"/>
      <c r="L53" s="29"/>
      <c r="M53" s="30"/>
      <c r="N53" s="30"/>
      <c r="O53" s="30"/>
      <c r="P53" s="30"/>
      <c r="Q53" s="30"/>
      <c r="R53" s="30"/>
      <c r="S53" s="30"/>
      <c r="T53" s="30"/>
      <c r="U53" s="30"/>
      <c r="V53" s="31"/>
    </row>
    <row r="54" spans="1:22">
      <c r="A54" s="1" t="s">
        <v>75</v>
      </c>
      <c r="B54" s="29">
        <v>0.24971072386134632</v>
      </c>
      <c r="C54" s="30">
        <v>0</v>
      </c>
      <c r="D54" s="30">
        <v>20.750317715488169</v>
      </c>
      <c r="E54" s="30">
        <v>0</v>
      </c>
      <c r="F54" s="30">
        <v>0</v>
      </c>
      <c r="G54" s="31">
        <f>SUM(WA_FINANCIAL)</f>
        <v>21.000028439349517</v>
      </c>
      <c r="H54" s="30"/>
      <c r="I54" s="30"/>
      <c r="J54" s="30"/>
      <c r="K54" s="30"/>
      <c r="L54" s="29"/>
      <c r="M54" s="30"/>
      <c r="N54" s="30"/>
      <c r="O54" s="30"/>
      <c r="P54" s="30"/>
      <c r="Q54" s="30"/>
      <c r="R54" s="30"/>
      <c r="S54" s="30"/>
      <c r="T54" s="30"/>
      <c r="U54" s="30"/>
      <c r="V54" s="31"/>
    </row>
    <row r="55" spans="1:22">
      <c r="A55" s="1" t="s">
        <v>76</v>
      </c>
      <c r="B55" s="29">
        <v>0</v>
      </c>
      <c r="C55" s="30">
        <v>0</v>
      </c>
      <c r="D55" s="30">
        <v>0</v>
      </c>
      <c r="E55" s="30">
        <v>0</v>
      </c>
      <c r="F55" s="30">
        <v>0</v>
      </c>
      <c r="G55" s="31">
        <f>SUM(WV_FINANCIAL)</f>
        <v>0</v>
      </c>
      <c r="H55" s="30"/>
      <c r="I55" s="30"/>
      <c r="J55" s="30"/>
      <c r="K55" s="30"/>
      <c r="L55" s="29"/>
      <c r="M55" s="30"/>
      <c r="N55" s="30"/>
      <c r="O55" s="30"/>
      <c r="P55" s="30"/>
      <c r="Q55" s="30"/>
      <c r="R55" s="30"/>
      <c r="S55" s="30"/>
      <c r="T55" s="30"/>
      <c r="U55" s="30"/>
      <c r="V55" s="31"/>
    </row>
    <row r="56" spans="1:22">
      <c r="A56" s="1" t="s">
        <v>77</v>
      </c>
      <c r="B56" s="29">
        <v>71.464830971747219</v>
      </c>
      <c r="C56" s="30">
        <v>0</v>
      </c>
      <c r="D56" s="30">
        <v>5938.5433080992343</v>
      </c>
      <c r="E56" s="30">
        <v>0</v>
      </c>
      <c r="F56" s="30">
        <v>0</v>
      </c>
      <c r="G56" s="31">
        <f>SUM(WI_FINANCIAL)</f>
        <v>6010.0081390709811</v>
      </c>
      <c r="H56" s="30"/>
      <c r="I56" s="30"/>
      <c r="J56" s="30"/>
      <c r="K56" s="30"/>
      <c r="L56" s="29"/>
      <c r="M56" s="30"/>
      <c r="N56" s="30"/>
      <c r="O56" s="30"/>
      <c r="P56" s="30"/>
      <c r="Q56" s="30"/>
      <c r="R56" s="30"/>
      <c r="S56" s="30"/>
      <c r="T56" s="30"/>
      <c r="U56" s="30"/>
      <c r="V56" s="31"/>
    </row>
    <row r="57" spans="1:22">
      <c r="A57" s="1" t="s">
        <v>78</v>
      </c>
      <c r="B57" s="29">
        <v>3.5672960551620905E-2</v>
      </c>
      <c r="C57" s="30">
        <v>0</v>
      </c>
      <c r="D57" s="30">
        <v>2.9643311022125962</v>
      </c>
      <c r="E57" s="30">
        <v>0</v>
      </c>
      <c r="F57" s="30">
        <v>0</v>
      </c>
      <c r="G57" s="31">
        <f>SUM(WY_FINANCIAL)</f>
        <v>3.000004062764217</v>
      </c>
      <c r="H57" s="30"/>
      <c r="I57" s="30"/>
      <c r="J57" s="30"/>
      <c r="K57" s="30"/>
      <c r="L57" s="29"/>
      <c r="M57" s="30"/>
      <c r="N57" s="30"/>
      <c r="O57" s="30"/>
      <c r="P57" s="30"/>
      <c r="Q57" s="30"/>
      <c r="R57" s="30"/>
      <c r="S57" s="30"/>
      <c r="T57" s="30"/>
      <c r="U57" s="30"/>
      <c r="V57" s="31"/>
    </row>
    <row r="58" spans="1:22">
      <c r="A58" s="1" t="s">
        <v>79</v>
      </c>
      <c r="B58" s="29">
        <v>0</v>
      </c>
      <c r="C58" s="30">
        <v>0</v>
      </c>
      <c r="D58" s="30">
        <v>0</v>
      </c>
      <c r="E58" s="30">
        <v>0</v>
      </c>
      <c r="F58" s="30">
        <v>0</v>
      </c>
      <c r="G58" s="31">
        <f>SUM(OT_FINANCIAL)</f>
        <v>0</v>
      </c>
      <c r="H58" s="30"/>
      <c r="I58" s="30"/>
      <c r="J58" s="30"/>
      <c r="K58" s="30"/>
      <c r="L58" s="29"/>
      <c r="M58" s="30"/>
      <c r="N58" s="30"/>
      <c r="O58" s="30"/>
      <c r="P58" s="30"/>
      <c r="Q58" s="30"/>
      <c r="R58" s="30"/>
      <c r="S58" s="30"/>
      <c r="T58" s="30"/>
      <c r="U58" s="30"/>
      <c r="V58" s="31"/>
    </row>
    <row r="59" spans="1:22">
      <c r="B59" s="29"/>
      <c r="C59" s="30"/>
      <c r="D59" s="30"/>
      <c r="E59" s="30"/>
      <c r="F59" s="30"/>
      <c r="G59" s="31"/>
      <c r="H59" s="30"/>
      <c r="I59" s="30"/>
      <c r="J59" s="30"/>
      <c r="K59" s="30"/>
      <c r="L59" s="29"/>
      <c r="M59" s="30"/>
      <c r="N59" s="30"/>
      <c r="O59" s="30"/>
      <c r="P59" s="30"/>
      <c r="Q59" s="30"/>
      <c r="R59" s="30"/>
      <c r="S59" s="30"/>
      <c r="T59" s="30"/>
      <c r="U59" s="30"/>
      <c r="V59" s="31"/>
    </row>
    <row r="60" spans="1:22">
      <c r="A60" s="1" t="s">
        <v>8</v>
      </c>
      <c r="B60" s="29">
        <f>SUM(LIFE)</f>
        <v>3248.7721903966681</v>
      </c>
      <c r="C60" s="30">
        <f>SUM(ALLOCATED)</f>
        <v>0</v>
      </c>
      <c r="D60" s="30">
        <f>SUM(HEALTH)</f>
        <v>269964.59780960332</v>
      </c>
      <c r="E60" s="30">
        <f>SUM(UNALLOCATED)</f>
        <v>0</v>
      </c>
      <c r="F60" s="30">
        <f>SUM(LTC)</f>
        <v>0</v>
      </c>
      <c r="G60" s="31">
        <f>SUM(ALL_BLOCKS)</f>
        <v>273213.37000000005</v>
      </c>
      <c r="H60" s="30"/>
      <c r="I60" s="30"/>
      <c r="J60" s="30"/>
      <c r="K60" s="30"/>
      <c r="L60" s="29">
        <f>SUM(LIFE_CALLED)</f>
        <v>0</v>
      </c>
      <c r="M60" s="30">
        <f>SUM(LIFE_REFUNDED)</f>
        <v>0</v>
      </c>
      <c r="N60" s="30"/>
      <c r="O60" s="30">
        <f>SUM(ALLOC_CALLED)</f>
        <v>0</v>
      </c>
      <c r="P60" s="30">
        <f>SUM(ALLOC_REFUNDED)</f>
        <v>0</v>
      </c>
      <c r="Q60" s="30"/>
      <c r="R60" s="30">
        <f>SUM(HEALTH_CALLED)</f>
        <v>0</v>
      </c>
      <c r="S60" s="30">
        <f>SUM(HEALTH_REFUNDED)</f>
        <v>0</v>
      </c>
      <c r="T60" s="30"/>
      <c r="U60" s="30">
        <f>SUM(UNALLOC_CALLED)</f>
        <v>0</v>
      </c>
      <c r="V60" s="31">
        <f>SUM(UNALLOC_REFUNDED)</f>
        <v>0</v>
      </c>
    </row>
    <row r="61" spans="1:22" ht="5.0999999999999996" customHeight="1">
      <c r="B61" s="8"/>
      <c r="G61" s="11"/>
      <c r="L61" s="8"/>
      <c r="V61" s="11"/>
    </row>
    <row r="62" spans="1:22">
      <c r="B62" s="8"/>
      <c r="G62" s="11"/>
      <c r="L62" s="122" t="s">
        <v>80</v>
      </c>
      <c r="M62" s="123"/>
      <c r="N62" s="123"/>
      <c r="O62" s="123"/>
      <c r="P62" s="123"/>
      <c r="Q62" s="123"/>
      <c r="R62" s="123"/>
      <c r="S62" s="123"/>
      <c r="T62" s="123"/>
      <c r="U62" s="123"/>
      <c r="V62" s="124"/>
    </row>
    <row r="63" spans="1:22">
      <c r="B63" s="8"/>
      <c r="G63" s="11"/>
      <c r="L63" s="125"/>
      <c r="M63" s="123"/>
      <c r="N63" s="123"/>
      <c r="O63" s="123"/>
      <c r="P63" s="123"/>
      <c r="Q63" s="123"/>
      <c r="R63" s="123"/>
      <c r="S63" s="123"/>
      <c r="T63" s="123"/>
      <c r="U63" s="123"/>
      <c r="V63" s="124"/>
    </row>
    <row r="64" spans="1:22">
      <c r="B64" s="10"/>
      <c r="C64" s="7"/>
      <c r="D64" s="7"/>
      <c r="E64" s="7"/>
      <c r="F64" s="7"/>
      <c r="G64" s="13"/>
      <c r="L64" s="126"/>
      <c r="M64" s="127"/>
      <c r="N64" s="127"/>
      <c r="O64" s="127"/>
      <c r="P64" s="127"/>
      <c r="Q64" s="127"/>
      <c r="R64" s="127"/>
      <c r="S64" s="127"/>
      <c r="T64" s="127"/>
      <c r="U64" s="127"/>
      <c r="V64" s="128"/>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V64"/>
  <sheetViews>
    <sheetView zoomScale="75" workbookViewId="0">
      <selection sqref="A1:XFD1048576"/>
    </sheetView>
  </sheetViews>
  <sheetFormatPr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129" t="s">
        <v>109</v>
      </c>
      <c r="B1" s="123"/>
      <c r="C1" s="123"/>
      <c r="D1" s="123"/>
      <c r="E1" s="123"/>
      <c r="F1" s="123"/>
      <c r="G1" s="123"/>
    </row>
    <row r="3" spans="1:22">
      <c r="B3" s="130" t="s">
        <v>1</v>
      </c>
      <c r="C3" s="131"/>
      <c r="D3" s="131"/>
      <c r="E3" s="131"/>
      <c r="F3" s="131"/>
      <c r="G3" s="132"/>
      <c r="L3" s="133" t="s">
        <v>2</v>
      </c>
      <c r="M3" s="134"/>
      <c r="N3" s="134"/>
      <c r="O3" s="134"/>
      <c r="P3" s="134"/>
      <c r="Q3" s="134"/>
      <c r="R3" s="134"/>
      <c r="S3" s="134"/>
      <c r="T3" s="134"/>
      <c r="U3" s="134"/>
      <c r="V3" s="135"/>
    </row>
    <row r="4" spans="1:22">
      <c r="B4" s="8"/>
      <c r="G4" s="11"/>
      <c r="L4" s="136" t="s">
        <v>3</v>
      </c>
      <c r="M4" s="137"/>
      <c r="N4" s="4"/>
      <c r="O4" s="138" t="s">
        <v>4</v>
      </c>
      <c r="P4" s="137"/>
      <c r="Q4" s="4"/>
      <c r="R4" s="138" t="s">
        <v>5</v>
      </c>
      <c r="S4" s="137"/>
      <c r="T4" s="4"/>
      <c r="U4" s="138" t="s">
        <v>6</v>
      </c>
      <c r="V4" s="139"/>
    </row>
    <row r="5" spans="1:22" ht="60" customHeight="1">
      <c r="B5" s="9" t="s">
        <v>3</v>
      </c>
      <c r="C5" s="5" t="s">
        <v>4</v>
      </c>
      <c r="D5" s="5" t="s">
        <v>5</v>
      </c>
      <c r="E5" s="5" t="s">
        <v>6</v>
      </c>
      <c r="F5" s="5" t="s">
        <v>7</v>
      </c>
      <c r="G5" s="12" t="s">
        <v>8</v>
      </c>
      <c r="L5" s="15" t="s">
        <v>9</v>
      </c>
      <c r="M5" s="14" t="s">
        <v>10</v>
      </c>
      <c r="N5" s="14"/>
      <c r="O5" s="14" t="s">
        <v>9</v>
      </c>
      <c r="P5" s="14" t="s">
        <v>10</v>
      </c>
      <c r="Q5" s="14"/>
      <c r="R5" s="14" t="s">
        <v>9</v>
      </c>
      <c r="S5" s="14" t="s">
        <v>10</v>
      </c>
      <c r="T5" s="14"/>
      <c r="U5" s="14" t="s">
        <v>9</v>
      </c>
      <c r="V5" s="16" t="s">
        <v>10</v>
      </c>
    </row>
    <row r="6" spans="1:22">
      <c r="A6" s="1" t="s">
        <v>11</v>
      </c>
      <c r="B6" s="29">
        <v>11442378.678240776</v>
      </c>
      <c r="C6" s="30">
        <v>21126289.728310484</v>
      </c>
      <c r="D6" s="30">
        <v>0</v>
      </c>
      <c r="E6" s="30">
        <v>0</v>
      </c>
      <c r="F6" s="30">
        <v>0</v>
      </c>
      <c r="G6" s="31">
        <f>SUM(AL_FINANCIAL)</f>
        <v>32568668.406551261</v>
      </c>
      <c r="H6" s="30"/>
      <c r="I6" s="30"/>
      <c r="J6" s="30"/>
      <c r="K6" s="30"/>
      <c r="L6" s="29">
        <v>9940029</v>
      </c>
      <c r="M6" s="30">
        <v>0</v>
      </c>
      <c r="N6" s="30"/>
      <c r="O6" s="30">
        <v>30931066</v>
      </c>
      <c r="P6" s="30">
        <v>0</v>
      </c>
      <c r="Q6" s="30"/>
      <c r="R6" s="30">
        <v>0</v>
      </c>
      <c r="S6" s="30">
        <v>0</v>
      </c>
      <c r="T6" s="30"/>
      <c r="U6" s="30">
        <v>0</v>
      </c>
      <c r="V6" s="31">
        <v>0</v>
      </c>
    </row>
    <row r="7" spans="1:22">
      <c r="A7" s="1" t="s">
        <v>12</v>
      </c>
      <c r="B7" s="29">
        <v>526563.0680761314</v>
      </c>
      <c r="C7" s="30">
        <v>5517109.8032477107</v>
      </c>
      <c r="D7" s="30">
        <v>0</v>
      </c>
      <c r="E7" s="30">
        <v>0</v>
      </c>
      <c r="F7" s="30">
        <v>0</v>
      </c>
      <c r="G7" s="31">
        <f>SUM(AK_FINANCIAL)</f>
        <v>6043672.8713238426</v>
      </c>
      <c r="H7" s="30"/>
      <c r="I7" s="32"/>
      <c r="J7" s="33"/>
      <c r="K7" s="30"/>
      <c r="L7" s="29">
        <v>1345741</v>
      </c>
      <c r="M7" s="30">
        <v>0</v>
      </c>
      <c r="N7" s="30"/>
      <c r="O7" s="30">
        <v>5975949</v>
      </c>
      <c r="P7" s="30">
        <v>0</v>
      </c>
      <c r="Q7" s="30"/>
      <c r="R7" s="30">
        <v>0</v>
      </c>
      <c r="S7" s="30">
        <v>0</v>
      </c>
      <c r="T7" s="30"/>
      <c r="U7" s="30">
        <v>2422325</v>
      </c>
      <c r="V7" s="31">
        <v>0</v>
      </c>
    </row>
    <row r="8" spans="1:22">
      <c r="A8" s="1" t="s">
        <v>13</v>
      </c>
      <c r="B8" s="29">
        <v>18002230.29054052</v>
      </c>
      <c r="C8" s="30">
        <v>23054813.566311952</v>
      </c>
      <c r="D8" s="30">
        <v>0</v>
      </c>
      <c r="E8" s="30">
        <v>0</v>
      </c>
      <c r="F8" s="30">
        <v>0</v>
      </c>
      <c r="G8" s="31">
        <f>SUM(AZ_FINANCIAL)</f>
        <v>41057043.856852472</v>
      </c>
      <c r="H8" s="30"/>
      <c r="I8" s="34" t="s">
        <v>14</v>
      </c>
      <c r="J8" s="35"/>
      <c r="K8" s="30"/>
      <c r="L8" s="29">
        <v>31372236</v>
      </c>
      <c r="M8" s="30">
        <v>0</v>
      </c>
      <c r="N8" s="30"/>
      <c r="O8" s="30">
        <v>24082717</v>
      </c>
      <c r="P8" s="30">
        <v>0</v>
      </c>
      <c r="Q8" s="30"/>
      <c r="R8" s="30">
        <v>0</v>
      </c>
      <c r="S8" s="30">
        <v>0</v>
      </c>
      <c r="T8" s="30"/>
      <c r="U8" s="30">
        <v>0</v>
      </c>
      <c r="V8" s="31">
        <v>0</v>
      </c>
    </row>
    <row r="9" spans="1:22">
      <c r="A9" s="1" t="s">
        <v>15</v>
      </c>
      <c r="B9" s="29">
        <v>10286870.074686762</v>
      </c>
      <c r="C9" s="30">
        <v>5987768.2986103818</v>
      </c>
      <c r="D9" s="30">
        <v>0</v>
      </c>
      <c r="E9" s="30">
        <v>52674.176698017596</v>
      </c>
      <c r="F9" s="30">
        <v>0</v>
      </c>
      <c r="G9" s="31">
        <f>SUM(AR_FINANCIAL)</f>
        <v>16327312.549995162</v>
      </c>
      <c r="H9" s="30"/>
      <c r="I9" s="34"/>
      <c r="J9" s="35"/>
      <c r="K9" s="30"/>
      <c r="L9" s="29">
        <v>14808588</v>
      </c>
      <c r="M9" s="30">
        <v>0</v>
      </c>
      <c r="N9" s="30"/>
      <c r="O9" s="30">
        <v>0</v>
      </c>
      <c r="P9" s="30">
        <v>0</v>
      </c>
      <c r="Q9" s="30"/>
      <c r="R9" s="30">
        <v>0</v>
      </c>
      <c r="S9" s="30">
        <v>0</v>
      </c>
      <c r="T9" s="30"/>
      <c r="U9" s="30">
        <v>0</v>
      </c>
      <c r="V9" s="31">
        <v>0</v>
      </c>
    </row>
    <row r="10" spans="1:22">
      <c r="A10" s="1" t="s">
        <v>16</v>
      </c>
      <c r="B10" s="29">
        <v>266353875.31223065</v>
      </c>
      <c r="C10" s="30">
        <v>435920568.96320528</v>
      </c>
      <c r="D10" s="30">
        <v>0</v>
      </c>
      <c r="E10" s="30">
        <v>0</v>
      </c>
      <c r="F10" s="30">
        <v>0</v>
      </c>
      <c r="G10" s="31">
        <f>SUM(CA_FINANCIAL)</f>
        <v>702274444.27543592</v>
      </c>
      <c r="H10" s="30"/>
      <c r="I10" s="34" t="s">
        <v>17</v>
      </c>
      <c r="J10" s="35">
        <v>5397032469.7236137</v>
      </c>
      <c r="K10" s="30"/>
      <c r="L10" s="29">
        <v>255293661</v>
      </c>
      <c r="M10" s="30">
        <v>0</v>
      </c>
      <c r="N10" s="30"/>
      <c r="O10" s="30">
        <v>441401833</v>
      </c>
      <c r="P10" s="30">
        <v>0</v>
      </c>
      <c r="Q10" s="30"/>
      <c r="R10" s="30">
        <v>0</v>
      </c>
      <c r="S10" s="30">
        <v>0</v>
      </c>
      <c r="T10" s="30"/>
      <c r="U10" s="30">
        <v>0</v>
      </c>
      <c r="V10" s="31">
        <v>0</v>
      </c>
    </row>
    <row r="11" spans="1:22">
      <c r="A11" s="1" t="s">
        <v>18</v>
      </c>
      <c r="B11" s="29">
        <v>0</v>
      </c>
      <c r="C11" s="30">
        <v>0</v>
      </c>
      <c r="D11" s="30">
        <v>0</v>
      </c>
      <c r="E11" s="30">
        <v>0</v>
      </c>
      <c r="F11" s="30">
        <v>0</v>
      </c>
      <c r="G11" s="31">
        <f>SUM(CO_FINANCIAL)</f>
        <v>0</v>
      </c>
      <c r="H11" s="30"/>
      <c r="I11" s="34"/>
      <c r="J11" s="35"/>
      <c r="K11" s="30"/>
      <c r="L11" s="29">
        <v>170383</v>
      </c>
      <c r="M11" s="30">
        <v>0</v>
      </c>
      <c r="N11" s="30"/>
      <c r="O11" s="30">
        <v>82023</v>
      </c>
      <c r="P11" s="30">
        <v>0</v>
      </c>
      <c r="Q11" s="30"/>
      <c r="R11" s="30">
        <v>0</v>
      </c>
      <c r="S11" s="30">
        <v>0</v>
      </c>
      <c r="T11" s="30"/>
      <c r="U11" s="30">
        <v>0</v>
      </c>
      <c r="V11" s="31">
        <v>0</v>
      </c>
    </row>
    <row r="12" spans="1:22">
      <c r="A12" s="1" t="s">
        <v>19</v>
      </c>
      <c r="B12" s="29">
        <v>0</v>
      </c>
      <c r="C12" s="30">
        <v>0</v>
      </c>
      <c r="D12" s="30">
        <v>0</v>
      </c>
      <c r="E12" s="30">
        <v>0</v>
      </c>
      <c r="F12" s="30">
        <v>0</v>
      </c>
      <c r="G12" s="31">
        <f>SUM(CT_FINANCIAL)</f>
        <v>0</v>
      </c>
      <c r="H12" s="30"/>
      <c r="I12" s="34" t="s">
        <v>20</v>
      </c>
      <c r="J12" s="35"/>
      <c r="K12" s="30"/>
      <c r="L12" s="29"/>
      <c r="M12" s="30"/>
      <c r="N12" s="30"/>
      <c r="O12" s="30"/>
      <c r="P12" s="30"/>
      <c r="Q12" s="30"/>
      <c r="R12" s="30"/>
      <c r="S12" s="30"/>
      <c r="T12" s="30"/>
      <c r="U12" s="30"/>
      <c r="V12" s="31"/>
    </row>
    <row r="13" spans="1:22">
      <c r="A13" s="1" t="s">
        <v>21</v>
      </c>
      <c r="B13" s="29">
        <v>3935063.7216110155</v>
      </c>
      <c r="C13" s="30">
        <v>4014853.5576610104</v>
      </c>
      <c r="D13" s="30">
        <v>0</v>
      </c>
      <c r="E13" s="30">
        <v>102169.73551819933</v>
      </c>
      <c r="F13" s="30">
        <v>0</v>
      </c>
      <c r="G13" s="31">
        <f>SUM(DE_FINANCIAL)</f>
        <v>8052087.0147902248</v>
      </c>
      <c r="H13" s="30"/>
      <c r="I13" s="34" t="s">
        <v>22</v>
      </c>
      <c r="J13" s="35">
        <v>0</v>
      </c>
      <c r="K13" s="30"/>
      <c r="L13" s="29">
        <v>4309600</v>
      </c>
      <c r="M13" s="30">
        <v>0</v>
      </c>
      <c r="N13" s="30"/>
      <c r="O13" s="30">
        <v>3612400</v>
      </c>
      <c r="P13" s="30">
        <v>0</v>
      </c>
      <c r="Q13" s="30"/>
      <c r="R13" s="30">
        <v>0</v>
      </c>
      <c r="S13" s="30">
        <v>0</v>
      </c>
      <c r="T13" s="30"/>
      <c r="U13" s="30">
        <v>0</v>
      </c>
      <c r="V13" s="31">
        <v>0</v>
      </c>
    </row>
    <row r="14" spans="1:22">
      <c r="A14" s="1" t="s">
        <v>23</v>
      </c>
      <c r="B14" s="29">
        <v>0</v>
      </c>
      <c r="C14" s="30">
        <v>0</v>
      </c>
      <c r="D14" s="30">
        <v>0</v>
      </c>
      <c r="E14" s="30">
        <v>0</v>
      </c>
      <c r="F14" s="30">
        <v>0</v>
      </c>
      <c r="G14" s="31">
        <f>SUM(DC_FINANCIAL)</f>
        <v>0</v>
      </c>
      <c r="H14" s="30"/>
      <c r="I14" s="34" t="s">
        <v>24</v>
      </c>
      <c r="J14" s="35">
        <v>0</v>
      </c>
      <c r="K14" s="30"/>
      <c r="L14" s="29"/>
      <c r="M14" s="30"/>
      <c r="N14" s="30"/>
      <c r="O14" s="30"/>
      <c r="P14" s="30"/>
      <c r="Q14" s="30"/>
      <c r="R14" s="30"/>
      <c r="S14" s="30"/>
      <c r="T14" s="30"/>
      <c r="U14" s="30"/>
      <c r="V14" s="31"/>
    </row>
    <row r="15" spans="1:22">
      <c r="A15" s="1" t="s">
        <v>25</v>
      </c>
      <c r="B15" s="29">
        <v>96069724.335790917</v>
      </c>
      <c r="C15" s="30">
        <v>103097553.4076343</v>
      </c>
      <c r="D15" s="30">
        <v>0</v>
      </c>
      <c r="E15" s="30">
        <v>0</v>
      </c>
      <c r="F15" s="30">
        <v>0</v>
      </c>
      <c r="G15" s="31">
        <f>SUM(FL_FINANCIAL)</f>
        <v>199167277.74342522</v>
      </c>
      <c r="H15" s="30"/>
      <c r="I15" s="34" t="s">
        <v>26</v>
      </c>
      <c r="J15" s="35">
        <v>60877375.800791509</v>
      </c>
      <c r="K15" s="30"/>
      <c r="L15" s="29">
        <v>87789821</v>
      </c>
      <c r="M15" s="30">
        <v>0</v>
      </c>
      <c r="N15" s="30"/>
      <c r="O15" s="30">
        <v>73201598</v>
      </c>
      <c r="P15" s="30">
        <v>0</v>
      </c>
      <c r="Q15" s="30"/>
      <c r="R15" s="30">
        <v>0</v>
      </c>
      <c r="S15" s="30">
        <v>0</v>
      </c>
      <c r="T15" s="30"/>
      <c r="U15" s="30">
        <v>0</v>
      </c>
      <c r="V15" s="31">
        <v>0</v>
      </c>
    </row>
    <row r="16" spans="1:22">
      <c r="A16" s="1" t="s">
        <v>27</v>
      </c>
      <c r="B16" s="29">
        <v>25781238.413795993</v>
      </c>
      <c r="C16" s="30">
        <v>23579059.891574465</v>
      </c>
      <c r="D16" s="30">
        <v>0</v>
      </c>
      <c r="E16" s="30">
        <v>2292969.4430552414</v>
      </c>
      <c r="F16" s="30">
        <v>0</v>
      </c>
      <c r="G16" s="31">
        <f>SUM(GA_FINANCIAL)</f>
        <v>51653267.7484257</v>
      </c>
      <c r="H16" s="30"/>
      <c r="I16" s="34" t="s">
        <v>28</v>
      </c>
      <c r="J16" s="35">
        <v>2767079.1152675455</v>
      </c>
      <c r="K16" s="30"/>
      <c r="L16" s="29">
        <v>28136713</v>
      </c>
      <c r="M16" s="30">
        <v>0</v>
      </c>
      <c r="N16" s="30"/>
      <c r="O16" s="30">
        <v>21179159</v>
      </c>
      <c r="P16" s="30">
        <v>-1835.55</v>
      </c>
      <c r="Q16" s="30"/>
      <c r="R16" s="30">
        <v>0</v>
      </c>
      <c r="S16" s="30">
        <v>0</v>
      </c>
      <c r="T16" s="30"/>
      <c r="U16" s="30">
        <v>2823555</v>
      </c>
      <c r="V16" s="31">
        <v>-30473.18</v>
      </c>
    </row>
    <row r="17" spans="1:22">
      <c r="A17" s="1" t="s">
        <v>29</v>
      </c>
      <c r="B17" s="29">
        <v>25803038.012094151</v>
      </c>
      <c r="C17" s="30">
        <v>16529680.291075416</v>
      </c>
      <c r="D17" s="30">
        <v>0</v>
      </c>
      <c r="E17" s="30">
        <v>0</v>
      </c>
      <c r="F17" s="30">
        <v>0</v>
      </c>
      <c r="G17" s="31">
        <f>SUM(HI_FINANCIAL)</f>
        <v>42332718.303169563</v>
      </c>
      <c r="H17" s="30"/>
      <c r="I17" s="34"/>
      <c r="J17" s="35"/>
      <c r="K17" s="30"/>
      <c r="L17" s="29">
        <v>17380590</v>
      </c>
      <c r="M17" s="30">
        <v>0</v>
      </c>
      <c r="N17" s="30"/>
      <c r="O17" s="30">
        <v>18866415</v>
      </c>
      <c r="P17" s="30">
        <v>4340797</v>
      </c>
      <c r="Q17" s="30"/>
      <c r="R17" s="30">
        <v>0</v>
      </c>
      <c r="S17" s="30">
        <v>0</v>
      </c>
      <c r="T17" s="30"/>
      <c r="U17" s="30">
        <v>0</v>
      </c>
      <c r="V17" s="31">
        <v>0</v>
      </c>
    </row>
    <row r="18" spans="1:22">
      <c r="A18" s="1" t="s">
        <v>30</v>
      </c>
      <c r="B18" s="29">
        <v>7548938.0273253871</v>
      </c>
      <c r="C18" s="30">
        <v>8027600.5821463726</v>
      </c>
      <c r="D18" s="30">
        <v>0</v>
      </c>
      <c r="E18" s="30">
        <v>0</v>
      </c>
      <c r="F18" s="30">
        <v>0</v>
      </c>
      <c r="G18" s="31">
        <f>SUM(ID_FINANCIAL)</f>
        <v>15576538.609471761</v>
      </c>
      <c r="H18" s="30"/>
      <c r="I18" s="34" t="s">
        <v>31</v>
      </c>
      <c r="J18" s="35"/>
      <c r="K18" s="30"/>
      <c r="L18" s="29">
        <v>5900065</v>
      </c>
      <c r="M18" s="30">
        <v>0</v>
      </c>
      <c r="N18" s="30"/>
      <c r="O18" s="30">
        <v>5870051</v>
      </c>
      <c r="P18" s="30">
        <v>0</v>
      </c>
      <c r="Q18" s="30"/>
      <c r="R18" s="30">
        <v>0</v>
      </c>
      <c r="S18" s="30">
        <v>0</v>
      </c>
      <c r="T18" s="30"/>
      <c r="U18" s="30">
        <v>0</v>
      </c>
      <c r="V18" s="31">
        <v>0</v>
      </c>
    </row>
    <row r="19" spans="1:22">
      <c r="A19" s="1" t="s">
        <v>32</v>
      </c>
      <c r="B19" s="29">
        <v>73212499.876112163</v>
      </c>
      <c r="C19" s="30">
        <v>103032564.01698601</v>
      </c>
      <c r="D19" s="30">
        <v>0</v>
      </c>
      <c r="E19" s="30">
        <v>6444516.8561917664</v>
      </c>
      <c r="F19" s="30">
        <v>0</v>
      </c>
      <c r="G19" s="31">
        <f>SUM(IL_FINANCIAL)</f>
        <v>182689580.74928993</v>
      </c>
      <c r="H19" s="30"/>
      <c r="I19" s="34" t="s">
        <v>33</v>
      </c>
      <c r="J19" s="35">
        <v>2380406620.2048478</v>
      </c>
      <c r="K19" s="30"/>
      <c r="L19" s="29">
        <v>95382738</v>
      </c>
      <c r="M19" s="30">
        <v>0</v>
      </c>
      <c r="N19" s="30"/>
      <c r="O19" s="30">
        <v>85736147</v>
      </c>
      <c r="P19" s="30">
        <v>28000000</v>
      </c>
      <c r="Q19" s="30"/>
      <c r="R19" s="30">
        <v>0</v>
      </c>
      <c r="S19" s="30">
        <v>0</v>
      </c>
      <c r="T19" s="30"/>
      <c r="U19" s="30">
        <v>31410410</v>
      </c>
      <c r="V19" s="31">
        <v>20700000</v>
      </c>
    </row>
    <row r="20" spans="1:22">
      <c r="A20" s="1" t="s">
        <v>34</v>
      </c>
      <c r="B20" s="29">
        <v>14331360.278540306</v>
      </c>
      <c r="C20" s="30">
        <v>26560133.49573487</v>
      </c>
      <c r="D20" s="30">
        <v>0</v>
      </c>
      <c r="E20" s="30">
        <v>13215.421492595508</v>
      </c>
      <c r="F20" s="30">
        <v>0</v>
      </c>
      <c r="G20" s="31">
        <f>SUM(IN_FINANCIAL)</f>
        <v>40904709.195767775</v>
      </c>
      <c r="H20" s="30"/>
      <c r="I20" s="34" t="s">
        <v>35</v>
      </c>
      <c r="J20" s="35">
        <v>2767079.1152675455</v>
      </c>
      <c r="K20" s="30"/>
      <c r="L20" s="29">
        <v>4229436</v>
      </c>
      <c r="M20" s="30">
        <v>0</v>
      </c>
      <c r="N20" s="30"/>
      <c r="O20" s="30">
        <v>11393625</v>
      </c>
      <c r="P20" s="30">
        <v>4999960</v>
      </c>
      <c r="Q20" s="30"/>
      <c r="R20" s="30">
        <v>0</v>
      </c>
      <c r="S20" s="30">
        <v>0</v>
      </c>
      <c r="T20" s="30"/>
      <c r="U20" s="30">
        <v>0</v>
      </c>
      <c r="V20" s="31">
        <v>0</v>
      </c>
    </row>
    <row r="21" spans="1:22">
      <c r="A21" s="1" t="s">
        <v>36</v>
      </c>
      <c r="B21" s="29">
        <v>12399005.167368604</v>
      </c>
      <c r="C21" s="30">
        <v>20871878.568996359</v>
      </c>
      <c r="D21" s="30">
        <v>0</v>
      </c>
      <c r="E21" s="30">
        <v>40302.003868075051</v>
      </c>
      <c r="F21" s="30">
        <v>0</v>
      </c>
      <c r="G21" s="31">
        <f>SUM(IA_FINANCIAL)</f>
        <v>33311185.740233034</v>
      </c>
      <c r="H21" s="30"/>
      <c r="I21" s="34" t="s">
        <v>37</v>
      </c>
      <c r="J21" s="35"/>
      <c r="K21" s="30"/>
      <c r="L21" s="29">
        <v>9282570</v>
      </c>
      <c r="M21" s="30">
        <v>0</v>
      </c>
      <c r="N21" s="30"/>
      <c r="O21" s="30">
        <v>13042799</v>
      </c>
      <c r="P21" s="30">
        <v>0</v>
      </c>
      <c r="Q21" s="30"/>
      <c r="R21" s="30">
        <v>0</v>
      </c>
      <c r="S21" s="30">
        <v>0</v>
      </c>
      <c r="T21" s="30"/>
      <c r="U21" s="30">
        <v>0</v>
      </c>
      <c r="V21" s="31">
        <v>0</v>
      </c>
    </row>
    <row r="22" spans="1:22">
      <c r="A22" s="1" t="s">
        <v>38</v>
      </c>
      <c r="B22" s="29">
        <v>23665607.569472905</v>
      </c>
      <c r="C22" s="30">
        <v>10409406.687752549</v>
      </c>
      <c r="D22" s="30">
        <v>0</v>
      </c>
      <c r="E22" s="30">
        <v>0</v>
      </c>
      <c r="F22" s="30">
        <v>0</v>
      </c>
      <c r="G22" s="31">
        <f>SUM(KS_FINANCIAL)</f>
        <v>34075014.257225454</v>
      </c>
      <c r="H22" s="30"/>
      <c r="I22" s="34" t="s">
        <v>39</v>
      </c>
      <c r="J22" s="35">
        <v>0</v>
      </c>
      <c r="K22" s="30"/>
      <c r="L22" s="29">
        <v>21735000</v>
      </c>
      <c r="M22" s="30">
        <v>0</v>
      </c>
      <c r="N22" s="30"/>
      <c r="O22" s="30">
        <v>8915000</v>
      </c>
      <c r="P22" s="30">
        <v>0</v>
      </c>
      <c r="Q22" s="30"/>
      <c r="R22" s="30">
        <v>0</v>
      </c>
      <c r="S22" s="30">
        <v>0</v>
      </c>
      <c r="T22" s="30"/>
      <c r="U22" s="30">
        <v>0</v>
      </c>
      <c r="V22" s="31">
        <v>0</v>
      </c>
    </row>
    <row r="23" spans="1:22">
      <c r="A23" s="1" t="s">
        <v>40</v>
      </c>
      <c r="B23" s="29">
        <v>12608303.488107812</v>
      </c>
      <c r="C23" s="30">
        <v>22043440.052460395</v>
      </c>
      <c r="D23" s="30">
        <v>0</v>
      </c>
      <c r="E23" s="30">
        <v>0</v>
      </c>
      <c r="F23" s="30">
        <v>0</v>
      </c>
      <c r="G23" s="31">
        <f>SUM(KY_FINANCIAL)</f>
        <v>34651743.540568203</v>
      </c>
      <c r="H23" s="30"/>
      <c r="I23" s="34" t="s">
        <v>41</v>
      </c>
      <c r="J23" s="35"/>
      <c r="K23" s="30"/>
      <c r="L23" s="29">
        <v>14222783</v>
      </c>
      <c r="M23" s="30">
        <v>500000</v>
      </c>
      <c r="N23" s="30"/>
      <c r="O23" s="30">
        <v>21088959</v>
      </c>
      <c r="P23" s="30">
        <v>0</v>
      </c>
      <c r="Q23" s="30"/>
      <c r="R23" s="30">
        <v>0</v>
      </c>
      <c r="S23" s="30">
        <v>0</v>
      </c>
      <c r="T23" s="30"/>
      <c r="U23" s="30">
        <v>0</v>
      </c>
      <c r="V23" s="31">
        <v>0</v>
      </c>
    </row>
    <row r="24" spans="1:22">
      <c r="A24" s="1" t="s">
        <v>42</v>
      </c>
      <c r="B24" s="29">
        <v>0</v>
      </c>
      <c r="C24" s="30">
        <v>0</v>
      </c>
      <c r="D24" s="30">
        <v>0</v>
      </c>
      <c r="E24" s="30">
        <v>0</v>
      </c>
      <c r="F24" s="30">
        <v>0</v>
      </c>
      <c r="G24" s="31">
        <f>SUM(LA_FINANCIAL)</f>
        <v>0</v>
      </c>
      <c r="H24" s="30"/>
      <c r="I24" s="34" t="s">
        <v>43</v>
      </c>
      <c r="J24" s="35">
        <v>221278069.40607682</v>
      </c>
      <c r="K24" s="30"/>
      <c r="L24" s="29"/>
      <c r="M24" s="30"/>
      <c r="N24" s="30"/>
      <c r="O24" s="30"/>
      <c r="P24" s="30"/>
      <c r="Q24" s="30"/>
      <c r="R24" s="30"/>
      <c r="S24" s="30"/>
      <c r="T24" s="30"/>
      <c r="U24" s="30"/>
      <c r="V24" s="31"/>
    </row>
    <row r="25" spans="1:22">
      <c r="A25" s="1" t="s">
        <v>44</v>
      </c>
      <c r="B25" s="29">
        <v>0</v>
      </c>
      <c r="C25" s="30">
        <v>0</v>
      </c>
      <c r="D25" s="30">
        <v>0</v>
      </c>
      <c r="E25" s="30">
        <v>0</v>
      </c>
      <c r="F25" s="30">
        <v>0</v>
      </c>
      <c r="G25" s="31">
        <f>SUM(ME_FINANCIAL)</f>
        <v>0</v>
      </c>
      <c r="H25" s="30"/>
      <c r="I25" s="34"/>
      <c r="J25" s="35"/>
      <c r="K25" s="30"/>
      <c r="L25" s="29"/>
      <c r="M25" s="30"/>
      <c r="N25" s="30"/>
      <c r="O25" s="30"/>
      <c r="P25" s="30"/>
      <c r="Q25" s="30"/>
      <c r="R25" s="30"/>
      <c r="S25" s="30"/>
      <c r="T25" s="30"/>
      <c r="U25" s="30"/>
      <c r="V25" s="31"/>
    </row>
    <row r="26" spans="1:22">
      <c r="A26" s="1" t="s">
        <v>45</v>
      </c>
      <c r="B26" s="29">
        <v>17847465.86940499</v>
      </c>
      <c r="C26" s="30">
        <v>20105564.656242289</v>
      </c>
      <c r="D26" s="30">
        <v>0</v>
      </c>
      <c r="E26" s="30">
        <v>5662914.0970862703</v>
      </c>
      <c r="F26" s="30">
        <v>0</v>
      </c>
      <c r="G26" s="31">
        <f>SUM(MD_FINANCIAL)</f>
        <v>43615944.622733556</v>
      </c>
      <c r="H26" s="30"/>
      <c r="I26" s="34" t="s">
        <v>46</v>
      </c>
      <c r="J26" s="35">
        <f>SUM(ADD_FINANCIAL)-SUM(LESS_FINANCIAL)</f>
        <v>2856225155.9134808</v>
      </c>
      <c r="K26" s="30"/>
      <c r="L26" s="29">
        <v>28789000</v>
      </c>
      <c r="M26" s="30">
        <v>0</v>
      </c>
      <c r="N26" s="30"/>
      <c r="O26" s="30">
        <v>18621000</v>
      </c>
      <c r="P26" s="30">
        <v>0</v>
      </c>
      <c r="Q26" s="30"/>
      <c r="R26" s="30">
        <v>0</v>
      </c>
      <c r="S26" s="30">
        <v>0</v>
      </c>
      <c r="T26" s="30"/>
      <c r="U26" s="30">
        <v>0</v>
      </c>
      <c r="V26" s="31">
        <v>0</v>
      </c>
    </row>
    <row r="27" spans="1:22">
      <c r="A27" s="1" t="s">
        <v>47</v>
      </c>
      <c r="B27" s="29">
        <v>40525076.658712797</v>
      </c>
      <c r="C27" s="30">
        <v>41612223.252706192</v>
      </c>
      <c r="D27" s="30">
        <v>0</v>
      </c>
      <c r="E27" s="30">
        <v>0</v>
      </c>
      <c r="F27" s="30">
        <v>0</v>
      </c>
      <c r="G27" s="31">
        <f>SUM(MA_FINANCIAL)</f>
        <v>82137299.911418989</v>
      </c>
      <c r="H27" s="30"/>
      <c r="I27" s="34" t="s">
        <v>48</v>
      </c>
      <c r="J27" s="35">
        <f>SUM(ALL_BLOCKS)</f>
        <v>2856225155.9134827</v>
      </c>
      <c r="K27" s="30"/>
      <c r="L27" s="29">
        <v>39790000</v>
      </c>
      <c r="M27" s="30">
        <v>0</v>
      </c>
      <c r="N27" s="30"/>
      <c r="O27" s="30">
        <v>32040000</v>
      </c>
      <c r="P27" s="30">
        <v>0</v>
      </c>
      <c r="Q27" s="30"/>
      <c r="R27" s="30">
        <v>0</v>
      </c>
      <c r="S27" s="30">
        <v>0</v>
      </c>
      <c r="T27" s="30"/>
      <c r="U27" s="30">
        <v>0</v>
      </c>
      <c r="V27" s="31">
        <v>0</v>
      </c>
    </row>
    <row r="28" spans="1:22">
      <c r="A28" s="1" t="s">
        <v>49</v>
      </c>
      <c r="B28" s="29">
        <v>-883.91205228379295</v>
      </c>
      <c r="C28" s="30">
        <v>0</v>
      </c>
      <c r="D28" s="30">
        <v>0</v>
      </c>
      <c r="E28" s="30">
        <v>-57685.686951744923</v>
      </c>
      <c r="F28" s="30">
        <v>0</v>
      </c>
      <c r="G28" s="31">
        <f>SUM(MI_FINANCIAL)</f>
        <v>-58569.599004028714</v>
      </c>
      <c r="H28" s="30"/>
      <c r="I28" s="36"/>
      <c r="J28" s="37"/>
      <c r="K28" s="30"/>
      <c r="L28" s="29"/>
      <c r="M28" s="30"/>
      <c r="N28" s="30"/>
      <c r="O28" s="30"/>
      <c r="P28" s="30"/>
      <c r="Q28" s="30"/>
      <c r="R28" s="30"/>
      <c r="S28" s="30"/>
      <c r="T28" s="30"/>
      <c r="U28" s="30"/>
      <c r="V28" s="31"/>
    </row>
    <row r="29" spans="1:22">
      <c r="A29" s="1" t="s">
        <v>50</v>
      </c>
      <c r="B29" s="29">
        <v>13849122.745030453</v>
      </c>
      <c r="C29" s="30">
        <v>34212575.022756897</v>
      </c>
      <c r="D29" s="30">
        <v>0</v>
      </c>
      <c r="E29" s="30">
        <v>10447.329528050939</v>
      </c>
      <c r="F29" s="30">
        <v>0</v>
      </c>
      <c r="G29" s="31">
        <f>SUM(MN_FINANCIAL)</f>
        <v>48072145.097315401</v>
      </c>
      <c r="H29" s="30"/>
      <c r="I29" s="30"/>
      <c r="J29" s="30"/>
      <c r="K29" s="30"/>
      <c r="L29" s="29">
        <v>10500000</v>
      </c>
      <c r="M29" s="30">
        <v>0</v>
      </c>
      <c r="N29" s="30"/>
      <c r="O29" s="30">
        <v>66672000</v>
      </c>
      <c r="P29" s="30">
        <v>11009268</v>
      </c>
      <c r="Q29" s="30"/>
      <c r="R29" s="30">
        <v>0</v>
      </c>
      <c r="S29" s="30">
        <v>0</v>
      </c>
      <c r="T29" s="30"/>
      <c r="U29" s="30">
        <v>0</v>
      </c>
      <c r="V29" s="31">
        <v>0</v>
      </c>
    </row>
    <row r="30" spans="1:22">
      <c r="A30" s="1" t="s">
        <v>51</v>
      </c>
      <c r="B30" s="29">
        <v>18664681.237366725</v>
      </c>
      <c r="C30" s="30">
        <v>5516124.7793436786</v>
      </c>
      <c r="D30" s="30">
        <v>0</v>
      </c>
      <c r="E30" s="30">
        <v>94512.209497302931</v>
      </c>
      <c r="F30" s="30">
        <v>0</v>
      </c>
      <c r="G30" s="31">
        <f>SUM(MS_FINANCIAL)</f>
        <v>24275318.226207707</v>
      </c>
      <c r="H30" s="30"/>
      <c r="I30" s="30"/>
      <c r="J30" s="30"/>
      <c r="K30" s="30"/>
      <c r="L30" s="29">
        <v>13331639</v>
      </c>
      <c r="M30" s="30">
        <v>0</v>
      </c>
      <c r="N30" s="30"/>
      <c r="O30" s="30">
        <v>3571718</v>
      </c>
      <c r="P30" s="30">
        <v>0</v>
      </c>
      <c r="Q30" s="30"/>
      <c r="R30" s="30">
        <v>0</v>
      </c>
      <c r="S30" s="30">
        <v>0</v>
      </c>
      <c r="T30" s="30"/>
      <c r="U30" s="30">
        <v>46643</v>
      </c>
      <c r="V30" s="31">
        <v>0</v>
      </c>
    </row>
    <row r="31" spans="1:22">
      <c r="A31" s="1" t="s">
        <v>52</v>
      </c>
      <c r="B31" s="29">
        <v>55458422.12364693</v>
      </c>
      <c r="C31" s="30">
        <v>25056816.243006729</v>
      </c>
      <c r="D31" s="30">
        <v>0</v>
      </c>
      <c r="E31" s="30">
        <v>0</v>
      </c>
      <c r="F31" s="30">
        <v>0</v>
      </c>
      <c r="G31" s="31">
        <f>SUM(MO_FINANCIAL)</f>
        <v>80515238.366653651</v>
      </c>
      <c r="H31" s="30"/>
      <c r="I31" s="30"/>
      <c r="J31" s="30"/>
      <c r="K31" s="30"/>
      <c r="L31" s="29">
        <v>41425043</v>
      </c>
      <c r="M31" s="30">
        <v>0</v>
      </c>
      <c r="N31" s="30"/>
      <c r="O31" s="30">
        <v>16458673</v>
      </c>
      <c r="P31" s="30">
        <v>0</v>
      </c>
      <c r="Q31" s="30"/>
      <c r="R31" s="30">
        <v>0</v>
      </c>
      <c r="S31" s="30">
        <v>0</v>
      </c>
      <c r="T31" s="30"/>
      <c r="U31" s="30">
        <v>0</v>
      </c>
      <c r="V31" s="31">
        <v>0</v>
      </c>
    </row>
    <row r="32" spans="1:22">
      <c r="A32" s="1" t="s">
        <v>53</v>
      </c>
      <c r="B32" s="29">
        <v>3545951.4246684671</v>
      </c>
      <c r="C32" s="30">
        <v>3583005.9297069954</v>
      </c>
      <c r="D32" s="30">
        <v>0</v>
      </c>
      <c r="E32" s="30">
        <v>0</v>
      </c>
      <c r="F32" s="30">
        <v>0</v>
      </c>
      <c r="G32" s="31">
        <f>SUM(MT_FINANCIAL)</f>
        <v>7128957.354375463</v>
      </c>
      <c r="H32" s="30"/>
      <c r="I32" s="30"/>
      <c r="J32" s="30"/>
      <c r="K32" s="30"/>
      <c r="L32" s="29">
        <v>2454678</v>
      </c>
      <c r="M32" s="30">
        <v>0</v>
      </c>
      <c r="N32" s="30"/>
      <c r="O32" s="30">
        <v>2585676</v>
      </c>
      <c r="P32" s="30">
        <v>0</v>
      </c>
      <c r="Q32" s="30"/>
      <c r="R32" s="30">
        <v>0</v>
      </c>
      <c r="S32" s="30">
        <v>0</v>
      </c>
      <c r="T32" s="30"/>
      <c r="U32" s="30">
        <v>0</v>
      </c>
      <c r="V32" s="31">
        <v>0</v>
      </c>
    </row>
    <row r="33" spans="1:22">
      <c r="A33" s="1" t="s">
        <v>54</v>
      </c>
      <c r="B33" s="29">
        <v>10002463.744807251</v>
      </c>
      <c r="C33" s="30">
        <v>6656144.3393677482</v>
      </c>
      <c r="D33" s="30">
        <v>0</v>
      </c>
      <c r="E33" s="30">
        <v>0</v>
      </c>
      <c r="F33" s="30">
        <v>0</v>
      </c>
      <c r="G33" s="31">
        <f>SUM(NE_FINANCIAL)</f>
        <v>16658608.084174998</v>
      </c>
      <c r="H33" s="30"/>
      <c r="I33" s="30"/>
      <c r="J33" s="30"/>
      <c r="K33" s="30"/>
      <c r="L33" s="29">
        <v>5041500</v>
      </c>
      <c r="M33" s="30">
        <v>0</v>
      </c>
      <c r="N33" s="30"/>
      <c r="O33" s="30">
        <v>4885766</v>
      </c>
      <c r="P33" s="30">
        <v>0</v>
      </c>
      <c r="Q33" s="30"/>
      <c r="R33" s="30">
        <v>0</v>
      </c>
      <c r="S33" s="30">
        <v>0</v>
      </c>
      <c r="T33" s="30"/>
      <c r="U33" s="30">
        <v>0</v>
      </c>
      <c r="V33" s="31">
        <v>0</v>
      </c>
    </row>
    <row r="34" spans="1:22">
      <c r="A34" s="1" t="s">
        <v>55</v>
      </c>
      <c r="B34" s="29">
        <v>11970878.406433078</v>
      </c>
      <c r="C34" s="30">
        <v>6936348.9538856</v>
      </c>
      <c r="D34" s="30">
        <v>0</v>
      </c>
      <c r="E34" s="30">
        <v>0</v>
      </c>
      <c r="F34" s="30">
        <v>0</v>
      </c>
      <c r="G34" s="31">
        <f>SUM(NV_FINANCIAL)</f>
        <v>18907227.360318676</v>
      </c>
      <c r="H34" s="30"/>
      <c r="I34" s="30"/>
      <c r="J34" s="30"/>
      <c r="K34" s="30"/>
      <c r="L34" s="29">
        <v>8682027</v>
      </c>
      <c r="M34" s="30">
        <v>0</v>
      </c>
      <c r="N34" s="30"/>
      <c r="O34" s="30">
        <v>4989049</v>
      </c>
      <c r="P34" s="30">
        <v>0</v>
      </c>
      <c r="Q34" s="30"/>
      <c r="R34" s="30">
        <v>0</v>
      </c>
      <c r="S34" s="30">
        <v>0</v>
      </c>
      <c r="T34" s="30"/>
      <c r="U34" s="30">
        <v>0</v>
      </c>
      <c r="V34" s="31">
        <v>0</v>
      </c>
    </row>
    <row r="35" spans="1:22">
      <c r="A35" s="1" t="s">
        <v>56</v>
      </c>
      <c r="B35" s="29">
        <v>0</v>
      </c>
      <c r="C35" s="30">
        <v>0</v>
      </c>
      <c r="D35" s="30">
        <v>0</v>
      </c>
      <c r="E35" s="30">
        <v>0</v>
      </c>
      <c r="F35" s="30">
        <v>0</v>
      </c>
      <c r="G35" s="31">
        <f>SUM(NH_FINANCIAL)</f>
        <v>0</v>
      </c>
      <c r="H35" s="30"/>
      <c r="I35" s="30"/>
      <c r="J35" s="30"/>
      <c r="K35" s="30"/>
      <c r="L35" s="29"/>
      <c r="M35" s="30"/>
      <c r="N35" s="30"/>
      <c r="O35" s="30"/>
      <c r="P35" s="30"/>
      <c r="Q35" s="30"/>
      <c r="R35" s="30"/>
      <c r="S35" s="30"/>
      <c r="T35" s="30"/>
      <c r="U35" s="30"/>
      <c r="V35" s="31"/>
    </row>
    <row r="36" spans="1:22">
      <c r="A36" s="1" t="s">
        <v>57</v>
      </c>
      <c r="B36" s="29">
        <v>19895618.59237035</v>
      </c>
      <c r="C36" s="30">
        <v>50214638.203756243</v>
      </c>
      <c r="D36" s="30">
        <v>0</v>
      </c>
      <c r="E36" s="30">
        <v>1127051.9652109286</v>
      </c>
      <c r="F36" s="30">
        <v>0</v>
      </c>
      <c r="G36" s="31">
        <f>SUM(NJ_FINANCIAL)</f>
        <v>71237308.761337519</v>
      </c>
      <c r="H36" s="30"/>
      <c r="I36" s="30"/>
      <c r="J36" s="30"/>
      <c r="K36" s="30"/>
      <c r="L36" s="29">
        <v>26960487</v>
      </c>
      <c r="M36" s="30">
        <v>1500000</v>
      </c>
      <c r="N36" s="30"/>
      <c r="O36" s="30">
        <v>51081463</v>
      </c>
      <c r="P36" s="30">
        <v>4500000</v>
      </c>
      <c r="Q36" s="30"/>
      <c r="R36" s="30">
        <v>0</v>
      </c>
      <c r="S36" s="30">
        <v>0</v>
      </c>
      <c r="T36" s="30"/>
      <c r="U36" s="30">
        <v>1200000</v>
      </c>
      <c r="V36" s="31">
        <v>0</v>
      </c>
    </row>
    <row r="37" spans="1:22">
      <c r="A37" s="1" t="s">
        <v>58</v>
      </c>
      <c r="B37" s="29">
        <v>4485058.5518239923</v>
      </c>
      <c r="C37" s="30">
        <v>7838798.5515539171</v>
      </c>
      <c r="D37" s="30">
        <v>0</v>
      </c>
      <c r="E37" s="30">
        <v>0</v>
      </c>
      <c r="F37" s="30">
        <v>0</v>
      </c>
      <c r="G37" s="31">
        <f>SUM(NM_FINANCIAL)</f>
        <v>12323857.103377908</v>
      </c>
      <c r="H37" s="30"/>
      <c r="I37" s="30"/>
      <c r="J37" s="30"/>
      <c r="K37" s="30"/>
      <c r="L37" s="29">
        <v>2300000</v>
      </c>
      <c r="M37" s="30">
        <v>0</v>
      </c>
      <c r="N37" s="30"/>
      <c r="O37" s="30">
        <v>5048618</v>
      </c>
      <c r="P37" s="30">
        <v>0</v>
      </c>
      <c r="Q37" s="30"/>
      <c r="R37" s="30">
        <v>0</v>
      </c>
      <c r="S37" s="30">
        <v>0</v>
      </c>
      <c r="T37" s="30"/>
      <c r="U37" s="30">
        <v>0</v>
      </c>
      <c r="V37" s="31">
        <v>0</v>
      </c>
    </row>
    <row r="38" spans="1:22">
      <c r="A38" s="1" t="s">
        <v>59</v>
      </c>
      <c r="B38" s="29">
        <v>0</v>
      </c>
      <c r="C38" s="30">
        <v>0</v>
      </c>
      <c r="D38" s="30">
        <v>0</v>
      </c>
      <c r="E38" s="30">
        <v>0</v>
      </c>
      <c r="F38" s="30">
        <v>0</v>
      </c>
      <c r="G38" s="31">
        <f>SUM(NY_FINANCIAL)</f>
        <v>0</v>
      </c>
      <c r="H38" s="30"/>
      <c r="I38" s="30"/>
      <c r="J38" s="30"/>
      <c r="K38" s="30"/>
      <c r="L38" s="29"/>
      <c r="M38" s="30"/>
      <c r="N38" s="30"/>
      <c r="O38" s="30"/>
      <c r="P38" s="30"/>
      <c r="Q38" s="30"/>
      <c r="R38" s="30"/>
      <c r="S38" s="30"/>
      <c r="T38" s="30"/>
      <c r="U38" s="30"/>
      <c r="V38" s="31"/>
    </row>
    <row r="39" spans="1:22">
      <c r="A39" s="1" t="s">
        <v>60</v>
      </c>
      <c r="B39" s="29">
        <v>30423926.728801474</v>
      </c>
      <c r="C39" s="30">
        <v>66656847.712087333</v>
      </c>
      <c r="D39" s="30">
        <v>0</v>
      </c>
      <c r="E39" s="30">
        <v>0</v>
      </c>
      <c r="F39" s="30">
        <v>0</v>
      </c>
      <c r="G39" s="31">
        <f>SUM(NC_FINANCIAL)</f>
        <v>97080774.440888807</v>
      </c>
      <c r="H39" s="30"/>
      <c r="I39" s="30"/>
      <c r="J39" s="30"/>
      <c r="K39" s="30"/>
      <c r="L39" s="29">
        <v>31995417</v>
      </c>
      <c r="M39" s="30">
        <v>0</v>
      </c>
      <c r="N39" s="30"/>
      <c r="O39" s="30">
        <v>145004583</v>
      </c>
      <c r="P39" s="30">
        <v>0</v>
      </c>
      <c r="Q39" s="30"/>
      <c r="R39" s="30">
        <v>0</v>
      </c>
      <c r="S39" s="30">
        <v>0</v>
      </c>
      <c r="T39" s="30"/>
      <c r="U39" s="30">
        <v>0</v>
      </c>
      <c r="V39" s="31">
        <v>0</v>
      </c>
    </row>
    <row r="40" spans="1:22">
      <c r="A40" s="1" t="s">
        <v>61</v>
      </c>
      <c r="B40" s="29">
        <v>3235718.346312006</v>
      </c>
      <c r="C40" s="30">
        <v>4901532.3135140017</v>
      </c>
      <c r="D40" s="30">
        <v>0</v>
      </c>
      <c r="E40" s="30">
        <v>29120.812073445457</v>
      </c>
      <c r="F40" s="30">
        <v>0</v>
      </c>
      <c r="G40" s="31">
        <f>SUM(ND_FINANCIAL)</f>
        <v>8166371.4718994536</v>
      </c>
      <c r="H40" s="30"/>
      <c r="I40" s="30"/>
      <c r="J40" s="30"/>
      <c r="K40" s="30"/>
      <c r="L40" s="29">
        <v>1520309</v>
      </c>
      <c r="M40" s="30">
        <v>0</v>
      </c>
      <c r="N40" s="30"/>
      <c r="O40" s="30">
        <v>1893127</v>
      </c>
      <c r="P40" s="30">
        <v>0</v>
      </c>
      <c r="Q40" s="30"/>
      <c r="R40" s="30">
        <v>0</v>
      </c>
      <c r="S40" s="30">
        <v>0</v>
      </c>
      <c r="T40" s="30"/>
      <c r="U40" s="30">
        <v>37848</v>
      </c>
      <c r="V40" s="31">
        <v>0</v>
      </c>
    </row>
    <row r="41" spans="1:22">
      <c r="A41" s="1" t="s">
        <v>62</v>
      </c>
      <c r="B41" s="29">
        <v>27953050.510862656</v>
      </c>
      <c r="C41" s="30">
        <v>36262174.042194262</v>
      </c>
      <c r="D41" s="30">
        <v>0</v>
      </c>
      <c r="E41" s="30">
        <v>1843675.0890194245</v>
      </c>
      <c r="F41" s="30">
        <v>0</v>
      </c>
      <c r="G41" s="31">
        <f>SUM(OH_FINANCIAL)</f>
        <v>66058899.642076343</v>
      </c>
      <c r="H41" s="30"/>
      <c r="I41" s="30"/>
      <c r="J41" s="30"/>
      <c r="K41" s="30"/>
      <c r="L41" s="29">
        <v>16675000</v>
      </c>
      <c r="M41" s="30">
        <v>0</v>
      </c>
      <c r="N41" s="30"/>
      <c r="O41" s="30">
        <v>19400000</v>
      </c>
      <c r="P41" s="30">
        <v>0</v>
      </c>
      <c r="Q41" s="30"/>
      <c r="R41" s="30">
        <v>0</v>
      </c>
      <c r="S41" s="30">
        <v>0</v>
      </c>
      <c r="T41" s="30"/>
      <c r="U41" s="30">
        <v>1625000</v>
      </c>
      <c r="V41" s="31">
        <v>0</v>
      </c>
    </row>
    <row r="42" spans="1:22">
      <c r="A42" s="1" t="s">
        <v>63</v>
      </c>
      <c r="B42" s="29">
        <v>10584317.848053426</v>
      </c>
      <c r="C42" s="30">
        <v>18000083.877086431</v>
      </c>
      <c r="D42" s="30">
        <v>0</v>
      </c>
      <c r="E42" s="30">
        <v>0</v>
      </c>
      <c r="F42" s="30">
        <v>0</v>
      </c>
      <c r="G42" s="31">
        <f>SUM(OK_FINANCIAL)</f>
        <v>28584401.725139856</v>
      </c>
      <c r="H42" s="30"/>
      <c r="I42" s="30"/>
      <c r="J42" s="30"/>
      <c r="K42" s="30"/>
      <c r="L42" s="29">
        <v>11117110</v>
      </c>
      <c r="M42" s="30">
        <v>0</v>
      </c>
      <c r="N42" s="30"/>
      <c r="O42" s="30">
        <v>16908490</v>
      </c>
      <c r="P42" s="30">
        <v>0</v>
      </c>
      <c r="Q42" s="30"/>
      <c r="R42" s="30">
        <v>0</v>
      </c>
      <c r="S42" s="30">
        <v>0</v>
      </c>
      <c r="T42" s="30"/>
      <c r="U42" s="30">
        <v>0</v>
      </c>
      <c r="V42" s="31">
        <v>0</v>
      </c>
    </row>
    <row r="43" spans="1:22">
      <c r="A43" s="1" t="s">
        <v>64</v>
      </c>
      <c r="B43" s="29">
        <v>14994770.922798097</v>
      </c>
      <c r="C43" s="30">
        <v>16820319.974441376</v>
      </c>
      <c r="D43" s="30">
        <v>0</v>
      </c>
      <c r="E43" s="30">
        <v>0</v>
      </c>
      <c r="F43" s="30">
        <v>0</v>
      </c>
      <c r="G43" s="31">
        <f>SUM(OR_FINANCIAL)</f>
        <v>31815090.897239473</v>
      </c>
      <c r="H43" s="30"/>
      <c r="I43" s="30"/>
      <c r="J43" s="30"/>
      <c r="K43" s="30"/>
      <c r="L43" s="29">
        <v>11282594</v>
      </c>
      <c r="M43" s="30">
        <v>0</v>
      </c>
      <c r="N43" s="30"/>
      <c r="O43" s="30">
        <v>15986796</v>
      </c>
      <c r="P43" s="30">
        <v>0</v>
      </c>
      <c r="Q43" s="30"/>
      <c r="R43" s="30">
        <v>0</v>
      </c>
      <c r="S43" s="30">
        <v>0</v>
      </c>
      <c r="T43" s="30"/>
      <c r="U43" s="30">
        <v>0</v>
      </c>
      <c r="V43" s="31">
        <v>0</v>
      </c>
    </row>
    <row r="44" spans="1:22">
      <c r="A44" s="1" t="s">
        <v>65</v>
      </c>
      <c r="B44" s="29">
        <v>44224373.529813088</v>
      </c>
      <c r="C44" s="30">
        <v>164110598.40527248</v>
      </c>
      <c r="D44" s="30">
        <v>0</v>
      </c>
      <c r="E44" s="30">
        <v>0</v>
      </c>
      <c r="F44" s="30">
        <v>0</v>
      </c>
      <c r="G44" s="31">
        <f>SUM(PA_FINANCIAL)</f>
        <v>208334971.93508556</v>
      </c>
      <c r="H44" s="30"/>
      <c r="I44" s="30"/>
      <c r="J44" s="30"/>
      <c r="K44" s="30"/>
      <c r="L44" s="29">
        <v>18000000</v>
      </c>
      <c r="M44" s="30">
        <v>0</v>
      </c>
      <c r="N44" s="30"/>
      <c r="O44" s="30">
        <v>137986288</v>
      </c>
      <c r="P44" s="30">
        <v>0</v>
      </c>
      <c r="Q44" s="30"/>
      <c r="R44" s="30">
        <v>0</v>
      </c>
      <c r="S44" s="30">
        <v>0</v>
      </c>
      <c r="T44" s="30"/>
      <c r="U44" s="30">
        <v>0</v>
      </c>
      <c r="V44" s="31">
        <v>0</v>
      </c>
    </row>
    <row r="45" spans="1:22">
      <c r="A45" s="1" t="s">
        <v>66</v>
      </c>
      <c r="B45" s="29">
        <v>557725.78367540415</v>
      </c>
      <c r="C45" s="30">
        <v>435932.49059507408</v>
      </c>
      <c r="D45" s="30">
        <v>0</v>
      </c>
      <c r="E45" s="30">
        <v>0</v>
      </c>
      <c r="F45" s="30">
        <v>0</v>
      </c>
      <c r="G45" s="31">
        <f>SUM(PR_FINANCIAL)</f>
        <v>993658.27427047817</v>
      </c>
      <c r="H45" s="30"/>
      <c r="I45" s="30"/>
      <c r="J45" s="30"/>
      <c r="K45" s="30"/>
      <c r="L45" s="29">
        <v>541527</v>
      </c>
      <c r="M45" s="30">
        <v>0</v>
      </c>
      <c r="N45" s="30"/>
      <c r="O45" s="30">
        <v>387497</v>
      </c>
      <c r="P45" s="30">
        <v>0</v>
      </c>
      <c r="Q45" s="30"/>
      <c r="R45" s="30">
        <v>0</v>
      </c>
      <c r="S45" s="30">
        <v>0</v>
      </c>
      <c r="T45" s="30"/>
      <c r="U45" s="30">
        <v>0</v>
      </c>
      <c r="V45" s="31">
        <v>0</v>
      </c>
    </row>
    <row r="46" spans="1:22">
      <c r="A46" s="1" t="s">
        <v>67</v>
      </c>
      <c r="B46" s="29">
        <v>3127469.8259725692</v>
      </c>
      <c r="C46" s="30">
        <v>21275125.919851217</v>
      </c>
      <c r="D46" s="30">
        <v>0</v>
      </c>
      <c r="E46" s="30">
        <v>0</v>
      </c>
      <c r="F46" s="30">
        <v>0</v>
      </c>
      <c r="G46" s="31">
        <f>SUM(RI_FINANCIAL)</f>
        <v>24402595.745823786</v>
      </c>
      <c r="H46" s="30"/>
      <c r="I46" s="30"/>
      <c r="J46" s="30"/>
      <c r="K46" s="30"/>
      <c r="L46" s="29">
        <v>2512564</v>
      </c>
      <c r="M46" s="30">
        <v>0</v>
      </c>
      <c r="N46" s="30"/>
      <c r="O46" s="30">
        <v>17879165</v>
      </c>
      <c r="P46" s="30">
        <v>0</v>
      </c>
      <c r="Q46" s="30"/>
      <c r="R46" s="30">
        <v>0</v>
      </c>
      <c r="S46" s="30">
        <v>0</v>
      </c>
      <c r="T46" s="30"/>
      <c r="U46" s="30">
        <v>0</v>
      </c>
      <c r="V46" s="31">
        <v>0</v>
      </c>
    </row>
    <row r="47" spans="1:22">
      <c r="A47" s="1" t="s">
        <v>68</v>
      </c>
      <c r="B47" s="29">
        <v>16614661.548211876</v>
      </c>
      <c r="C47" s="30">
        <v>21376425.453233197</v>
      </c>
      <c r="D47" s="30">
        <v>0</v>
      </c>
      <c r="E47" s="30">
        <v>0</v>
      </c>
      <c r="F47" s="30">
        <v>0</v>
      </c>
      <c r="G47" s="31">
        <f>SUM(SC_FINANCIAL)</f>
        <v>37991087.00144507</v>
      </c>
      <c r="H47" s="30"/>
      <c r="I47" s="30"/>
      <c r="J47" s="30"/>
      <c r="K47" s="30"/>
      <c r="L47" s="29">
        <v>13861881</v>
      </c>
      <c r="M47" s="30">
        <v>0</v>
      </c>
      <c r="N47" s="30"/>
      <c r="O47" s="30">
        <v>16058421</v>
      </c>
      <c r="P47" s="30">
        <v>0</v>
      </c>
      <c r="Q47" s="30"/>
      <c r="R47" s="30">
        <v>0</v>
      </c>
      <c r="S47" s="30">
        <v>0</v>
      </c>
      <c r="T47" s="30"/>
      <c r="U47" s="30">
        <v>0</v>
      </c>
      <c r="V47" s="31">
        <v>0</v>
      </c>
    </row>
    <row r="48" spans="1:22">
      <c r="A48" s="1" t="s">
        <v>69</v>
      </c>
      <c r="B48" s="29">
        <v>6490609.3063165965</v>
      </c>
      <c r="C48" s="30">
        <v>2754056.1063371226</v>
      </c>
      <c r="D48" s="30">
        <v>0</v>
      </c>
      <c r="E48" s="30">
        <v>0</v>
      </c>
      <c r="F48" s="30">
        <v>0</v>
      </c>
      <c r="G48" s="31">
        <f>SUM(SD_FINANCIAL)</f>
        <v>9244665.4126537181</v>
      </c>
      <c r="H48" s="30"/>
      <c r="I48" s="30"/>
      <c r="J48" s="30"/>
      <c r="K48" s="30"/>
      <c r="L48" s="29">
        <v>5046959</v>
      </c>
      <c r="M48" s="30">
        <v>65</v>
      </c>
      <c r="N48" s="30"/>
      <c r="O48" s="30">
        <v>1993163</v>
      </c>
      <c r="P48" s="30">
        <v>0</v>
      </c>
      <c r="Q48" s="30"/>
      <c r="R48" s="30">
        <v>0</v>
      </c>
      <c r="S48" s="30">
        <v>0</v>
      </c>
      <c r="T48" s="30"/>
      <c r="U48" s="30">
        <v>0</v>
      </c>
      <c r="V48" s="31">
        <v>0</v>
      </c>
    </row>
    <row r="49" spans="1:22">
      <c r="A49" s="1" t="s">
        <v>70</v>
      </c>
      <c r="B49" s="29">
        <v>23491417.573835369</v>
      </c>
      <c r="C49" s="30">
        <v>15332230.117731307</v>
      </c>
      <c r="D49" s="30">
        <v>0</v>
      </c>
      <c r="E49" s="30">
        <v>0</v>
      </c>
      <c r="F49" s="30">
        <v>0</v>
      </c>
      <c r="G49" s="31">
        <f>SUM(TN_FINANCIAL)</f>
        <v>38823647.691566676</v>
      </c>
      <c r="H49" s="30"/>
      <c r="I49" s="30"/>
      <c r="J49" s="30"/>
      <c r="K49" s="30"/>
      <c r="L49" s="29">
        <v>14750000</v>
      </c>
      <c r="M49" s="30">
        <v>0</v>
      </c>
      <c r="N49" s="30"/>
      <c r="O49" s="30">
        <v>12050000</v>
      </c>
      <c r="P49" s="30">
        <v>0</v>
      </c>
      <c r="Q49" s="30"/>
      <c r="R49" s="30">
        <v>0</v>
      </c>
      <c r="S49" s="30">
        <v>0</v>
      </c>
      <c r="T49" s="30"/>
      <c r="U49" s="30">
        <v>0</v>
      </c>
      <c r="V49" s="31">
        <v>0</v>
      </c>
    </row>
    <row r="50" spans="1:22">
      <c r="A50" s="1" t="s">
        <v>71</v>
      </c>
      <c r="B50" s="29">
        <v>104511308.43948498</v>
      </c>
      <c r="C50" s="30">
        <v>129932215.90014882</v>
      </c>
      <c r="D50" s="30">
        <v>0</v>
      </c>
      <c r="E50" s="30">
        <v>11693486.438011806</v>
      </c>
      <c r="F50" s="30">
        <v>0</v>
      </c>
      <c r="G50" s="31">
        <f>SUM(TX_FINANCIAL)</f>
        <v>246137010.77764562</v>
      </c>
      <c r="H50" s="30"/>
      <c r="I50" s="30"/>
      <c r="J50" s="30"/>
      <c r="K50" s="30"/>
      <c r="L50" s="29">
        <v>125470495</v>
      </c>
      <c r="M50" s="30">
        <v>0</v>
      </c>
      <c r="N50" s="30"/>
      <c r="O50" s="30">
        <v>63667619</v>
      </c>
      <c r="P50" s="30">
        <v>0</v>
      </c>
      <c r="Q50" s="30"/>
      <c r="R50" s="30">
        <v>0</v>
      </c>
      <c r="S50" s="30">
        <v>0</v>
      </c>
      <c r="T50" s="30"/>
      <c r="U50" s="30">
        <v>0</v>
      </c>
      <c r="V50" s="31">
        <v>2500000</v>
      </c>
    </row>
    <row r="51" spans="1:22">
      <c r="A51" s="1" t="s">
        <v>72</v>
      </c>
      <c r="B51" s="29">
        <v>8359686.3961510332</v>
      </c>
      <c r="C51" s="30">
        <v>6692602.7952075349</v>
      </c>
      <c r="D51" s="30">
        <v>0</v>
      </c>
      <c r="E51" s="30">
        <v>243579.37427132597</v>
      </c>
      <c r="F51" s="30">
        <v>0</v>
      </c>
      <c r="G51" s="31">
        <f>SUM(UT_FINANCIAL)</f>
        <v>15295868.565629894</v>
      </c>
      <c r="H51" s="30"/>
      <c r="I51" s="30"/>
      <c r="J51" s="30"/>
      <c r="K51" s="30"/>
      <c r="L51" s="29">
        <v>9028563</v>
      </c>
      <c r="M51" s="30">
        <v>0</v>
      </c>
      <c r="N51" s="30"/>
      <c r="O51" s="30">
        <v>6991039</v>
      </c>
      <c r="P51" s="30">
        <v>0</v>
      </c>
      <c r="Q51" s="30"/>
      <c r="R51" s="30">
        <v>590625</v>
      </c>
      <c r="S51" s="30">
        <v>0</v>
      </c>
      <c r="T51" s="30"/>
      <c r="U51" s="30">
        <v>0</v>
      </c>
      <c r="V51" s="31">
        <v>0</v>
      </c>
    </row>
    <row r="52" spans="1:22">
      <c r="A52" s="1" t="s">
        <v>73</v>
      </c>
      <c r="B52" s="29">
        <v>0</v>
      </c>
      <c r="C52" s="30">
        <v>0</v>
      </c>
      <c r="D52" s="30">
        <v>0</v>
      </c>
      <c r="E52" s="30">
        <v>0</v>
      </c>
      <c r="F52" s="30">
        <v>0</v>
      </c>
      <c r="G52" s="31">
        <f>SUM(VT_FINANCIAL)</f>
        <v>0</v>
      </c>
      <c r="H52" s="30"/>
      <c r="I52" s="30"/>
      <c r="J52" s="30"/>
      <c r="K52" s="30"/>
      <c r="L52" s="29"/>
      <c r="M52" s="30"/>
      <c r="N52" s="30"/>
      <c r="O52" s="30"/>
      <c r="P52" s="30"/>
      <c r="Q52" s="30"/>
      <c r="R52" s="30"/>
      <c r="S52" s="30"/>
      <c r="T52" s="30"/>
      <c r="U52" s="30"/>
      <c r="V52" s="31"/>
    </row>
    <row r="53" spans="1:22">
      <c r="A53" s="1" t="s">
        <v>74</v>
      </c>
      <c r="B53" s="29">
        <v>10025393.906657543</v>
      </c>
      <c r="C53" s="30">
        <v>19293545.251306757</v>
      </c>
      <c r="D53" s="30">
        <v>0</v>
      </c>
      <c r="E53" s="30">
        <v>0</v>
      </c>
      <c r="F53" s="30">
        <v>0</v>
      </c>
      <c r="G53" s="31">
        <f>SUM(VA_FINANCIAL)</f>
        <v>29318939.1579643</v>
      </c>
      <c r="H53" s="30"/>
      <c r="I53" s="30"/>
      <c r="J53" s="30"/>
      <c r="K53" s="30"/>
      <c r="L53" s="29">
        <v>12439476</v>
      </c>
      <c r="M53" s="30">
        <v>0</v>
      </c>
      <c r="N53" s="30"/>
      <c r="O53" s="30">
        <v>14214000</v>
      </c>
      <c r="P53" s="30">
        <v>2613992</v>
      </c>
      <c r="Q53" s="30"/>
      <c r="R53" s="30">
        <v>0</v>
      </c>
      <c r="S53" s="30">
        <v>0</v>
      </c>
      <c r="T53" s="30"/>
      <c r="U53" s="30">
        <v>0</v>
      </c>
      <c r="V53" s="31">
        <v>0</v>
      </c>
    </row>
    <row r="54" spans="1:22">
      <c r="A54" s="1" t="s">
        <v>75</v>
      </c>
      <c r="B54" s="29">
        <v>33180572.057826381</v>
      </c>
      <c r="C54" s="30">
        <v>57854262.765809231</v>
      </c>
      <c r="D54" s="30">
        <v>0</v>
      </c>
      <c r="E54" s="30">
        <v>2198807.2882028483</v>
      </c>
      <c r="F54" s="30">
        <v>0</v>
      </c>
      <c r="G54" s="31">
        <f>SUM(WA_FINANCIAL)</f>
        <v>93233642.11183846</v>
      </c>
      <c r="H54" s="30"/>
      <c r="I54" s="30"/>
      <c r="J54" s="30"/>
      <c r="K54" s="30"/>
      <c r="L54" s="29">
        <v>41361000</v>
      </c>
      <c r="M54" s="30">
        <v>0</v>
      </c>
      <c r="N54" s="30"/>
      <c r="O54" s="30">
        <v>46598000</v>
      </c>
      <c r="P54" s="30">
        <v>0</v>
      </c>
      <c r="Q54" s="30"/>
      <c r="R54" s="30">
        <v>0</v>
      </c>
      <c r="S54" s="30">
        <v>0</v>
      </c>
      <c r="T54" s="30"/>
      <c r="U54" s="30">
        <v>2800000</v>
      </c>
      <c r="V54" s="31">
        <v>0</v>
      </c>
    </row>
    <row r="55" spans="1:22">
      <c r="A55" s="1" t="s">
        <v>76</v>
      </c>
      <c r="B55" s="29">
        <v>1787066.7170427646</v>
      </c>
      <c r="C55" s="30">
        <v>3471972.2176085934</v>
      </c>
      <c r="D55" s="30">
        <v>0</v>
      </c>
      <c r="E55" s="30">
        <v>0</v>
      </c>
      <c r="F55" s="30">
        <v>0</v>
      </c>
      <c r="G55" s="31">
        <f>SUM(WV_FINANCIAL)</f>
        <v>5259038.9346513581</v>
      </c>
      <c r="H55" s="30"/>
      <c r="I55" s="30"/>
      <c r="J55" s="30"/>
      <c r="K55" s="30"/>
      <c r="L55" s="29">
        <v>1598287</v>
      </c>
      <c r="M55" s="30">
        <v>0</v>
      </c>
      <c r="N55" s="30"/>
      <c r="O55" s="30">
        <v>3529868</v>
      </c>
      <c r="P55" s="30">
        <v>980</v>
      </c>
      <c r="Q55" s="30"/>
      <c r="R55" s="30">
        <v>0</v>
      </c>
      <c r="S55" s="30">
        <v>0</v>
      </c>
      <c r="T55" s="30"/>
      <c r="U55" s="30">
        <v>0</v>
      </c>
      <c r="V55" s="31">
        <v>0</v>
      </c>
    </row>
    <row r="56" spans="1:22">
      <c r="A56" s="1" t="s">
        <v>77</v>
      </c>
      <c r="B56" s="29">
        <v>14138183.776320908</v>
      </c>
      <c r="C56" s="30">
        <v>49348653.388808787</v>
      </c>
      <c r="D56" s="30">
        <v>0</v>
      </c>
      <c r="E56" s="30">
        <v>80315.160257123207</v>
      </c>
      <c r="F56" s="30">
        <v>0</v>
      </c>
      <c r="G56" s="31">
        <f>SUM(WI_FINANCIAL)</f>
        <v>63567152.325386815</v>
      </c>
      <c r="H56" s="30"/>
      <c r="I56" s="30"/>
      <c r="J56" s="30"/>
      <c r="K56" s="30"/>
      <c r="L56" s="29">
        <v>13800000</v>
      </c>
      <c r="M56" s="30">
        <v>0</v>
      </c>
      <c r="N56" s="30"/>
      <c r="O56" s="30">
        <v>42947843</v>
      </c>
      <c r="P56" s="30">
        <v>0</v>
      </c>
      <c r="Q56" s="30"/>
      <c r="R56" s="30">
        <v>0</v>
      </c>
      <c r="S56" s="30">
        <v>0</v>
      </c>
      <c r="T56" s="30"/>
      <c r="U56" s="30">
        <v>0</v>
      </c>
      <c r="V56" s="31">
        <v>0</v>
      </c>
    </row>
    <row r="57" spans="1:22">
      <c r="A57" s="1" t="s">
        <v>78</v>
      </c>
      <c r="B57" s="29">
        <v>2966691.4821591629</v>
      </c>
      <c r="C57" s="30">
        <v>3452048.1686818548</v>
      </c>
      <c r="D57" s="30">
        <v>0</v>
      </c>
      <c r="E57" s="30">
        <v>0</v>
      </c>
      <c r="F57" s="30">
        <v>0</v>
      </c>
      <c r="G57" s="31">
        <f>SUM(WY_FINANCIAL)</f>
        <v>6418739.6508410182</v>
      </c>
      <c r="H57" s="30"/>
      <c r="I57" s="30"/>
      <c r="J57" s="30"/>
      <c r="K57" s="30"/>
      <c r="L57" s="29">
        <v>2372109</v>
      </c>
      <c r="M57" s="30">
        <v>0</v>
      </c>
      <c r="N57" s="30"/>
      <c r="O57" s="30">
        <v>2811297</v>
      </c>
      <c r="P57" s="30">
        <v>0</v>
      </c>
      <c r="Q57" s="30"/>
      <c r="R57" s="30">
        <v>0</v>
      </c>
      <c r="S57" s="30">
        <v>0</v>
      </c>
      <c r="T57" s="30"/>
      <c r="U57" s="30">
        <v>0</v>
      </c>
      <c r="V57" s="31">
        <v>0</v>
      </c>
    </row>
    <row r="58" spans="1:22">
      <c r="A58" s="1" t="s">
        <v>79</v>
      </c>
      <c r="B58" s="29">
        <v>0</v>
      </c>
      <c r="C58" s="30">
        <v>0</v>
      </c>
      <c r="D58" s="30">
        <v>0</v>
      </c>
      <c r="E58" s="30">
        <v>0</v>
      </c>
      <c r="F58" s="30">
        <v>0</v>
      </c>
      <c r="G58" s="31">
        <f>SUM(OT_FINANCIAL)</f>
        <v>0</v>
      </c>
      <c r="H58" s="30"/>
      <c r="I58" s="30"/>
      <c r="J58" s="30"/>
      <c r="K58" s="30"/>
      <c r="L58" s="29"/>
      <c r="M58" s="30"/>
      <c r="N58" s="30"/>
      <c r="O58" s="30"/>
      <c r="P58" s="30"/>
      <c r="Q58" s="30"/>
      <c r="R58" s="30"/>
      <c r="S58" s="30"/>
      <c r="T58" s="30"/>
      <c r="U58" s="30"/>
      <c r="V58" s="31"/>
    </row>
    <row r="59" spans="1:22">
      <c r="B59" s="29"/>
      <c r="C59" s="30"/>
      <c r="D59" s="30"/>
      <c r="E59" s="30"/>
      <c r="F59" s="30"/>
      <c r="G59" s="31"/>
      <c r="H59" s="30"/>
      <c r="I59" s="30"/>
      <c r="J59" s="30"/>
      <c r="K59" s="30"/>
      <c r="L59" s="29"/>
      <c r="M59" s="30"/>
      <c r="N59" s="30"/>
      <c r="O59" s="30"/>
      <c r="P59" s="30"/>
      <c r="Q59" s="30"/>
      <c r="R59" s="30"/>
      <c r="S59" s="30"/>
      <c r="T59" s="30"/>
      <c r="U59" s="30"/>
      <c r="V59" s="31"/>
    </row>
    <row r="60" spans="1:22">
      <c r="A60" s="1" t="s">
        <v>8</v>
      </c>
      <c r="B60" s="29">
        <f>SUM(LIFE)</f>
        <v>1154877496.456502</v>
      </c>
      <c r="C60" s="30">
        <f>SUM(ALLOCATED)</f>
        <v>1669475587.7439497</v>
      </c>
      <c r="D60" s="30">
        <f>SUM(HEALTH)</f>
        <v>0</v>
      </c>
      <c r="E60" s="30">
        <f>SUM(UNALLOCATED)</f>
        <v>31872071.713030674</v>
      </c>
      <c r="F60" s="30">
        <f>SUM(LTC)</f>
        <v>0</v>
      </c>
      <c r="G60" s="31">
        <f>SUM(ALL_BLOCKS)</f>
        <v>2856225155.9134827</v>
      </c>
      <c r="H60" s="30"/>
      <c r="I60" s="30"/>
      <c r="J60" s="30"/>
      <c r="K60" s="30"/>
      <c r="L60" s="29">
        <f>SUM(LIFE_CALLED)</f>
        <v>1113947619</v>
      </c>
      <c r="M60" s="30">
        <f>SUM(LIFE_REFUNDED)</f>
        <v>2000065</v>
      </c>
      <c r="N60" s="30"/>
      <c r="O60" s="30">
        <f>SUM(ALLOC_CALLED)</f>
        <v>1537640900</v>
      </c>
      <c r="P60" s="30">
        <f>SUM(ALLOC_REFUNDED)</f>
        <v>55463161.450000003</v>
      </c>
      <c r="Q60" s="30"/>
      <c r="R60" s="30">
        <f>SUM(HEALTH_CALLED)</f>
        <v>590625</v>
      </c>
      <c r="S60" s="30">
        <f>SUM(HEALTH_REFUNDED)</f>
        <v>0</v>
      </c>
      <c r="T60" s="30"/>
      <c r="U60" s="30">
        <f>SUM(UNALLOC_CALLED)</f>
        <v>42365781</v>
      </c>
      <c r="V60" s="31">
        <f>SUM(UNALLOC_REFUNDED)</f>
        <v>23169526.82</v>
      </c>
    </row>
    <row r="61" spans="1:22" ht="5.0999999999999996" customHeight="1">
      <c r="B61" s="8"/>
      <c r="G61" s="11"/>
      <c r="L61" s="8"/>
      <c r="V61" s="11"/>
    </row>
    <row r="62" spans="1:22">
      <c r="B62" s="8"/>
      <c r="G62" s="11"/>
      <c r="L62" s="122" t="s">
        <v>80</v>
      </c>
      <c r="M62" s="123"/>
      <c r="N62" s="123"/>
      <c r="O62" s="123"/>
      <c r="P62" s="123"/>
      <c r="Q62" s="123"/>
      <c r="R62" s="123"/>
      <c r="S62" s="123"/>
      <c r="T62" s="123"/>
      <c r="U62" s="123"/>
      <c r="V62" s="124"/>
    </row>
    <row r="63" spans="1:22">
      <c r="B63" s="8"/>
      <c r="G63" s="11"/>
      <c r="L63" s="125"/>
      <c r="M63" s="123"/>
      <c r="N63" s="123"/>
      <c r="O63" s="123"/>
      <c r="P63" s="123"/>
      <c r="Q63" s="123"/>
      <c r="R63" s="123"/>
      <c r="S63" s="123"/>
      <c r="T63" s="123"/>
      <c r="U63" s="123"/>
      <c r="V63" s="124"/>
    </row>
    <row r="64" spans="1:22">
      <c r="B64" s="10"/>
      <c r="C64" s="7"/>
      <c r="D64" s="7"/>
      <c r="E64" s="7"/>
      <c r="F64" s="7"/>
      <c r="G64" s="13"/>
      <c r="L64" s="126"/>
      <c r="M64" s="127"/>
      <c r="N64" s="127"/>
      <c r="O64" s="127"/>
      <c r="P64" s="127"/>
      <c r="Q64" s="127"/>
      <c r="R64" s="127"/>
      <c r="S64" s="127"/>
      <c r="T64" s="127"/>
      <c r="U64" s="127"/>
      <c r="V64" s="128"/>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pageSetUpPr fitToPage="1"/>
  </sheetPr>
  <dimension ref="A1:V64"/>
  <sheetViews>
    <sheetView zoomScale="75" workbookViewId="0">
      <selection sqref="A1:XFD1048576"/>
    </sheetView>
  </sheetViews>
  <sheetFormatPr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129" t="s">
        <v>110</v>
      </c>
      <c r="B1" s="123"/>
      <c r="C1" s="123"/>
      <c r="D1" s="123"/>
      <c r="E1" s="123"/>
      <c r="F1" s="123"/>
      <c r="G1" s="123"/>
    </row>
    <row r="3" spans="1:22">
      <c r="B3" s="130" t="s">
        <v>1</v>
      </c>
      <c r="C3" s="131"/>
      <c r="D3" s="131"/>
      <c r="E3" s="131"/>
      <c r="F3" s="131"/>
      <c r="G3" s="132"/>
      <c r="L3" s="133" t="s">
        <v>2</v>
      </c>
      <c r="M3" s="134"/>
      <c r="N3" s="134"/>
      <c r="O3" s="134"/>
      <c r="P3" s="134"/>
      <c r="Q3" s="134"/>
      <c r="R3" s="134"/>
      <c r="S3" s="134"/>
      <c r="T3" s="134"/>
      <c r="U3" s="134"/>
      <c r="V3" s="135"/>
    </row>
    <row r="4" spans="1:22">
      <c r="B4" s="8"/>
      <c r="G4" s="11"/>
      <c r="L4" s="136" t="s">
        <v>3</v>
      </c>
      <c r="M4" s="137"/>
      <c r="N4" s="4"/>
      <c r="O4" s="138" t="s">
        <v>4</v>
      </c>
      <c r="P4" s="137"/>
      <c r="Q4" s="4"/>
      <c r="R4" s="138" t="s">
        <v>5</v>
      </c>
      <c r="S4" s="137"/>
      <c r="T4" s="4"/>
      <c r="U4" s="138" t="s">
        <v>6</v>
      </c>
      <c r="V4" s="139"/>
    </row>
    <row r="5" spans="1:22" ht="60" customHeight="1">
      <c r="B5" s="9" t="s">
        <v>3</v>
      </c>
      <c r="C5" s="5" t="s">
        <v>4</v>
      </c>
      <c r="D5" s="5" t="s">
        <v>5</v>
      </c>
      <c r="E5" s="5" t="s">
        <v>6</v>
      </c>
      <c r="F5" s="5" t="s">
        <v>7</v>
      </c>
      <c r="G5" s="12" t="s">
        <v>8</v>
      </c>
      <c r="L5" s="15" t="s">
        <v>9</v>
      </c>
      <c r="M5" s="14" t="s">
        <v>10</v>
      </c>
      <c r="N5" s="14"/>
      <c r="O5" s="14" t="s">
        <v>9</v>
      </c>
      <c r="P5" s="14" t="s">
        <v>10</v>
      </c>
      <c r="Q5" s="14"/>
      <c r="R5" s="14" t="s">
        <v>9</v>
      </c>
      <c r="S5" s="14" t="s">
        <v>10</v>
      </c>
      <c r="T5" s="14"/>
      <c r="U5" s="14" t="s">
        <v>9</v>
      </c>
      <c r="V5" s="16" t="s">
        <v>10</v>
      </c>
    </row>
    <row r="6" spans="1:22">
      <c r="A6" s="1" t="s">
        <v>11</v>
      </c>
      <c r="B6" s="29">
        <v>0</v>
      </c>
      <c r="C6" s="30">
        <v>48678.442617792622</v>
      </c>
      <c r="D6" s="30">
        <v>0</v>
      </c>
      <c r="E6" s="30">
        <v>0</v>
      </c>
      <c r="F6" s="30">
        <v>0</v>
      </c>
      <c r="G6" s="31">
        <f>SUM(AL_FINANCIAL)</f>
        <v>48678.442617792622</v>
      </c>
      <c r="H6" s="30"/>
      <c r="I6" s="30"/>
      <c r="J6" s="30"/>
      <c r="K6" s="30"/>
      <c r="L6" s="29"/>
      <c r="M6" s="30"/>
      <c r="N6" s="30"/>
      <c r="O6" s="30"/>
      <c r="P6" s="30"/>
      <c r="Q6" s="30"/>
      <c r="R6" s="30"/>
      <c r="S6" s="30"/>
      <c r="T6" s="30"/>
      <c r="U6" s="30"/>
      <c r="V6" s="31"/>
    </row>
    <row r="7" spans="1:22">
      <c r="A7" s="1" t="s">
        <v>12</v>
      </c>
      <c r="B7" s="29">
        <v>0</v>
      </c>
      <c r="C7" s="30">
        <v>78072.28103329039</v>
      </c>
      <c r="D7" s="30">
        <v>0</v>
      </c>
      <c r="E7" s="30">
        <v>0</v>
      </c>
      <c r="F7" s="30">
        <v>0</v>
      </c>
      <c r="G7" s="31">
        <f>SUM(AK_FINANCIAL)</f>
        <v>78072.28103329039</v>
      </c>
      <c r="H7" s="30"/>
      <c r="I7" s="32"/>
      <c r="J7" s="33"/>
      <c r="K7" s="30"/>
      <c r="L7" s="29"/>
      <c r="M7" s="30"/>
      <c r="N7" s="30"/>
      <c r="O7" s="30"/>
      <c r="P7" s="30"/>
      <c r="Q7" s="30"/>
      <c r="R7" s="30"/>
      <c r="S7" s="30"/>
      <c r="T7" s="30"/>
      <c r="U7" s="30"/>
      <c r="V7" s="31"/>
    </row>
    <row r="8" spans="1:22">
      <c r="A8" s="1" t="s">
        <v>13</v>
      </c>
      <c r="B8" s="29">
        <v>0</v>
      </c>
      <c r="C8" s="30">
        <v>1432107.8404046018</v>
      </c>
      <c r="D8" s="30">
        <v>0</v>
      </c>
      <c r="E8" s="30">
        <v>0</v>
      </c>
      <c r="F8" s="30">
        <v>0</v>
      </c>
      <c r="G8" s="31">
        <f>SUM(AZ_FINANCIAL)</f>
        <v>1432107.8404046018</v>
      </c>
      <c r="H8" s="30"/>
      <c r="I8" s="34" t="s">
        <v>14</v>
      </c>
      <c r="J8" s="35"/>
      <c r="K8" s="30"/>
      <c r="L8" s="29"/>
      <c r="M8" s="30"/>
      <c r="N8" s="30"/>
      <c r="O8" s="30"/>
      <c r="P8" s="30"/>
      <c r="Q8" s="30"/>
      <c r="R8" s="30"/>
      <c r="S8" s="30"/>
      <c r="T8" s="30"/>
      <c r="U8" s="30"/>
      <c r="V8" s="31"/>
    </row>
    <row r="9" spans="1:22">
      <c r="A9" s="1" t="s">
        <v>15</v>
      </c>
      <c r="B9" s="29">
        <v>0</v>
      </c>
      <c r="C9" s="30">
        <v>3004290.2072421615</v>
      </c>
      <c r="D9" s="30">
        <v>0</v>
      </c>
      <c r="E9" s="30">
        <v>0</v>
      </c>
      <c r="F9" s="30">
        <v>0</v>
      </c>
      <c r="G9" s="31">
        <f>SUM(AR_FINANCIAL)</f>
        <v>3004290.2072421615</v>
      </c>
      <c r="H9" s="30"/>
      <c r="I9" s="34"/>
      <c r="J9" s="35"/>
      <c r="K9" s="30"/>
      <c r="L9" s="29">
        <v>0</v>
      </c>
      <c r="M9" s="30">
        <v>0</v>
      </c>
      <c r="N9" s="30"/>
      <c r="O9" s="30">
        <v>0</v>
      </c>
      <c r="P9" s="30">
        <v>0</v>
      </c>
      <c r="Q9" s="30"/>
      <c r="R9" s="30">
        <v>0</v>
      </c>
      <c r="S9" s="30">
        <v>0</v>
      </c>
      <c r="T9" s="30"/>
      <c r="U9" s="30">
        <v>0</v>
      </c>
      <c r="V9" s="31">
        <v>0</v>
      </c>
    </row>
    <row r="10" spans="1:22">
      <c r="A10" s="1" t="s">
        <v>16</v>
      </c>
      <c r="B10" s="29">
        <v>0</v>
      </c>
      <c r="C10" s="30">
        <v>20783153.476236343</v>
      </c>
      <c r="D10" s="30">
        <v>0</v>
      </c>
      <c r="E10" s="30">
        <v>0</v>
      </c>
      <c r="F10" s="30">
        <v>0</v>
      </c>
      <c r="G10" s="31">
        <f>SUM(CA_FINANCIAL)</f>
        <v>20783153.476236343</v>
      </c>
      <c r="H10" s="30"/>
      <c r="I10" s="34" t="s">
        <v>17</v>
      </c>
      <c r="J10" s="35">
        <v>1093779021.3092003</v>
      </c>
      <c r="K10" s="30"/>
      <c r="L10" s="29">
        <v>0</v>
      </c>
      <c r="M10" s="30">
        <v>0</v>
      </c>
      <c r="N10" s="30"/>
      <c r="O10" s="30">
        <v>24250000</v>
      </c>
      <c r="P10" s="30">
        <v>0</v>
      </c>
      <c r="Q10" s="30"/>
      <c r="R10" s="30">
        <v>0</v>
      </c>
      <c r="S10" s="30">
        <v>0</v>
      </c>
      <c r="T10" s="30"/>
      <c r="U10" s="30">
        <v>0</v>
      </c>
      <c r="V10" s="31">
        <v>0</v>
      </c>
    </row>
    <row r="11" spans="1:22">
      <c r="A11" s="1" t="s">
        <v>18</v>
      </c>
      <c r="B11" s="29">
        <v>0</v>
      </c>
      <c r="C11" s="30">
        <v>1988186.6409802143</v>
      </c>
      <c r="D11" s="30">
        <v>0</v>
      </c>
      <c r="E11" s="30">
        <v>0</v>
      </c>
      <c r="F11" s="30">
        <v>0</v>
      </c>
      <c r="G11" s="31">
        <f>SUM(CO_FINANCIAL)</f>
        <v>1988186.6409802143</v>
      </c>
      <c r="H11" s="30"/>
      <c r="I11" s="34"/>
      <c r="J11" s="35"/>
      <c r="K11" s="30"/>
      <c r="L11" s="29">
        <v>0</v>
      </c>
      <c r="M11" s="30">
        <v>0</v>
      </c>
      <c r="N11" s="30"/>
      <c r="O11" s="30">
        <v>1626177</v>
      </c>
      <c r="P11" s="30">
        <v>0</v>
      </c>
      <c r="Q11" s="30"/>
      <c r="R11" s="30">
        <v>0</v>
      </c>
      <c r="S11" s="30">
        <v>0</v>
      </c>
      <c r="T11" s="30"/>
      <c r="U11" s="30">
        <v>0</v>
      </c>
      <c r="V11" s="31">
        <v>0</v>
      </c>
    </row>
    <row r="12" spans="1:22">
      <c r="A12" s="1" t="s">
        <v>19</v>
      </c>
      <c r="B12" s="29">
        <v>0</v>
      </c>
      <c r="C12" s="30">
        <v>24219690.909653828</v>
      </c>
      <c r="D12" s="30">
        <v>0</v>
      </c>
      <c r="E12" s="30">
        <v>0</v>
      </c>
      <c r="F12" s="30">
        <v>0</v>
      </c>
      <c r="G12" s="31">
        <f>SUM(CT_FINANCIAL)</f>
        <v>24219690.909653828</v>
      </c>
      <c r="H12" s="30"/>
      <c r="I12" s="34" t="s">
        <v>20</v>
      </c>
      <c r="J12" s="35"/>
      <c r="K12" s="30"/>
      <c r="L12" s="29">
        <v>0</v>
      </c>
      <c r="M12" s="30">
        <v>0</v>
      </c>
      <c r="N12" s="30"/>
      <c r="O12" s="30">
        <v>16699169</v>
      </c>
      <c r="P12" s="30">
        <v>0</v>
      </c>
      <c r="Q12" s="30"/>
      <c r="R12" s="30">
        <v>0</v>
      </c>
      <c r="S12" s="30">
        <v>0</v>
      </c>
      <c r="T12" s="30"/>
      <c r="U12" s="30">
        <v>0</v>
      </c>
      <c r="V12" s="31">
        <v>0</v>
      </c>
    </row>
    <row r="13" spans="1:22">
      <c r="A13" s="1" t="s">
        <v>21</v>
      </c>
      <c r="B13" s="29">
        <v>0</v>
      </c>
      <c r="C13" s="30">
        <v>2879784.8373853471</v>
      </c>
      <c r="D13" s="30">
        <v>0</v>
      </c>
      <c r="E13" s="30">
        <v>0</v>
      </c>
      <c r="F13" s="30">
        <v>0</v>
      </c>
      <c r="G13" s="31">
        <f>SUM(DE_FINANCIAL)</f>
        <v>2879784.8373853471</v>
      </c>
      <c r="H13" s="30"/>
      <c r="I13" s="34" t="s">
        <v>22</v>
      </c>
      <c r="J13" s="35">
        <v>0</v>
      </c>
      <c r="K13" s="30"/>
      <c r="L13" s="29">
        <v>0</v>
      </c>
      <c r="M13" s="30">
        <v>0</v>
      </c>
      <c r="N13" s="30"/>
      <c r="O13" s="30">
        <v>2900000</v>
      </c>
      <c r="P13" s="30">
        <v>0</v>
      </c>
      <c r="Q13" s="30"/>
      <c r="R13" s="30">
        <v>0</v>
      </c>
      <c r="S13" s="30">
        <v>0</v>
      </c>
      <c r="T13" s="30"/>
      <c r="U13" s="30">
        <v>0</v>
      </c>
      <c r="V13" s="31">
        <v>0</v>
      </c>
    </row>
    <row r="14" spans="1:22">
      <c r="A14" s="1" t="s">
        <v>23</v>
      </c>
      <c r="B14" s="29">
        <v>0</v>
      </c>
      <c r="C14" s="30">
        <v>7069.6846716789651</v>
      </c>
      <c r="D14" s="30">
        <v>0</v>
      </c>
      <c r="E14" s="30">
        <v>0</v>
      </c>
      <c r="F14" s="30">
        <v>0</v>
      </c>
      <c r="G14" s="31">
        <f>SUM(DC_FINANCIAL)</f>
        <v>7069.6846716789651</v>
      </c>
      <c r="H14" s="30"/>
      <c r="I14" s="34" t="s">
        <v>24</v>
      </c>
      <c r="J14" s="35">
        <v>11849872.230000002</v>
      </c>
      <c r="K14" s="30"/>
      <c r="L14" s="29"/>
      <c r="M14" s="30"/>
      <c r="N14" s="30"/>
      <c r="O14" s="30"/>
      <c r="P14" s="30"/>
      <c r="Q14" s="30"/>
      <c r="R14" s="30"/>
      <c r="S14" s="30"/>
      <c r="T14" s="30"/>
      <c r="U14" s="30"/>
      <c r="V14" s="31"/>
    </row>
    <row r="15" spans="1:22">
      <c r="A15" s="1" t="s">
        <v>25</v>
      </c>
      <c r="B15" s="29">
        <v>0</v>
      </c>
      <c r="C15" s="30">
        <v>325882.00149037072</v>
      </c>
      <c r="D15" s="30">
        <v>0</v>
      </c>
      <c r="E15" s="30">
        <v>0</v>
      </c>
      <c r="F15" s="30">
        <v>0</v>
      </c>
      <c r="G15" s="31">
        <f>SUM(FL_FINANCIAL)</f>
        <v>325882.00149037072</v>
      </c>
      <c r="H15" s="30"/>
      <c r="I15" s="34" t="s">
        <v>26</v>
      </c>
      <c r="J15" s="35">
        <v>24364469.789999988</v>
      </c>
      <c r="K15" s="30"/>
      <c r="L15" s="29"/>
      <c r="M15" s="30"/>
      <c r="N15" s="30"/>
      <c r="O15" s="30"/>
      <c r="P15" s="30"/>
      <c r="Q15" s="30"/>
      <c r="R15" s="30"/>
      <c r="S15" s="30"/>
      <c r="T15" s="30"/>
      <c r="U15" s="30"/>
      <c r="V15" s="31"/>
    </row>
    <row r="16" spans="1:22">
      <c r="A16" s="1" t="s">
        <v>27</v>
      </c>
      <c r="B16" s="29">
        <v>0</v>
      </c>
      <c r="C16" s="30">
        <v>4433588.8800366856</v>
      </c>
      <c r="D16" s="30">
        <v>0</v>
      </c>
      <c r="E16" s="30">
        <v>0</v>
      </c>
      <c r="F16" s="30">
        <v>0</v>
      </c>
      <c r="G16" s="31">
        <f>SUM(GA_FINANCIAL)</f>
        <v>4433588.8800366856</v>
      </c>
      <c r="H16" s="30"/>
      <c r="I16" s="34" t="s">
        <v>28</v>
      </c>
      <c r="J16" s="35">
        <v>0</v>
      </c>
      <c r="K16" s="30"/>
      <c r="L16" s="29"/>
      <c r="M16" s="30"/>
      <c r="N16" s="30"/>
      <c r="O16" s="30"/>
      <c r="P16" s="30"/>
      <c r="Q16" s="30"/>
      <c r="R16" s="30"/>
      <c r="S16" s="30"/>
      <c r="T16" s="30"/>
      <c r="U16" s="30"/>
      <c r="V16" s="31"/>
    </row>
    <row r="17" spans="1:22">
      <c r="A17" s="1" t="s">
        <v>29</v>
      </c>
      <c r="B17" s="29">
        <v>0</v>
      </c>
      <c r="C17" s="30">
        <v>528171.89674495871</v>
      </c>
      <c r="D17" s="30">
        <v>0</v>
      </c>
      <c r="E17" s="30">
        <v>0</v>
      </c>
      <c r="F17" s="30">
        <v>0</v>
      </c>
      <c r="G17" s="31">
        <f>SUM(HI_FINANCIAL)</f>
        <v>528171.89674495871</v>
      </c>
      <c r="H17" s="30"/>
      <c r="I17" s="34"/>
      <c r="J17" s="35"/>
      <c r="K17" s="30"/>
      <c r="L17" s="29"/>
      <c r="M17" s="30"/>
      <c r="N17" s="30"/>
      <c r="O17" s="30"/>
      <c r="P17" s="30"/>
      <c r="Q17" s="30"/>
      <c r="R17" s="30"/>
      <c r="S17" s="30"/>
      <c r="T17" s="30"/>
      <c r="U17" s="30"/>
      <c r="V17" s="31"/>
    </row>
    <row r="18" spans="1:22">
      <c r="A18" s="1" t="s">
        <v>30</v>
      </c>
      <c r="B18" s="29">
        <v>0</v>
      </c>
      <c r="C18" s="30">
        <v>321827.19079000532</v>
      </c>
      <c r="D18" s="30">
        <v>0</v>
      </c>
      <c r="E18" s="30">
        <v>0</v>
      </c>
      <c r="F18" s="30">
        <v>0</v>
      </c>
      <c r="G18" s="31">
        <f>SUM(ID_FINANCIAL)</f>
        <v>321827.19079000532</v>
      </c>
      <c r="H18" s="30"/>
      <c r="I18" s="34" t="s">
        <v>31</v>
      </c>
      <c r="J18" s="35"/>
      <c r="K18" s="30"/>
      <c r="L18" s="29"/>
      <c r="M18" s="30"/>
      <c r="N18" s="30"/>
      <c r="O18" s="30"/>
      <c r="P18" s="30"/>
      <c r="Q18" s="30"/>
      <c r="R18" s="30"/>
      <c r="S18" s="30"/>
      <c r="T18" s="30"/>
      <c r="U18" s="30"/>
      <c r="V18" s="31"/>
    </row>
    <row r="19" spans="1:22">
      <c r="A19" s="1" t="s">
        <v>32</v>
      </c>
      <c r="B19" s="29">
        <v>0</v>
      </c>
      <c r="C19" s="30">
        <v>21936203.563755721</v>
      </c>
      <c r="D19" s="30">
        <v>0</v>
      </c>
      <c r="E19" s="30">
        <v>0</v>
      </c>
      <c r="F19" s="30">
        <v>0</v>
      </c>
      <c r="G19" s="31">
        <f>SUM(IL_FINANCIAL)</f>
        <v>21936203.563755721</v>
      </c>
      <c r="H19" s="30"/>
      <c r="I19" s="34" t="s">
        <v>33</v>
      </c>
      <c r="J19" s="35">
        <v>328133706.59276009</v>
      </c>
      <c r="K19" s="30"/>
      <c r="L19" s="29">
        <v>0</v>
      </c>
      <c r="M19" s="30">
        <v>0</v>
      </c>
      <c r="N19" s="30"/>
      <c r="O19" s="30">
        <v>23000000</v>
      </c>
      <c r="P19" s="30">
        <v>0</v>
      </c>
      <c r="Q19" s="30"/>
      <c r="R19" s="30">
        <v>0</v>
      </c>
      <c r="S19" s="30">
        <v>0</v>
      </c>
      <c r="T19" s="30"/>
      <c r="U19" s="30">
        <v>0</v>
      </c>
      <c r="V19" s="31">
        <v>0</v>
      </c>
    </row>
    <row r="20" spans="1:22">
      <c r="A20" s="1" t="s">
        <v>34</v>
      </c>
      <c r="B20" s="29">
        <v>0</v>
      </c>
      <c r="C20" s="30">
        <v>1309809.167640497</v>
      </c>
      <c r="D20" s="30">
        <v>0</v>
      </c>
      <c r="E20" s="30">
        <v>0</v>
      </c>
      <c r="F20" s="30">
        <v>0</v>
      </c>
      <c r="G20" s="31">
        <f>SUM(IN_FINANCIAL)</f>
        <v>1309809.167640497</v>
      </c>
      <c r="H20" s="30"/>
      <c r="I20" s="34" t="s">
        <v>35</v>
      </c>
      <c r="J20" s="35">
        <v>0</v>
      </c>
      <c r="K20" s="30"/>
      <c r="L20" s="29"/>
      <c r="M20" s="30"/>
      <c r="N20" s="30"/>
      <c r="O20" s="30"/>
      <c r="P20" s="30"/>
      <c r="Q20" s="30"/>
      <c r="R20" s="30"/>
      <c r="S20" s="30"/>
      <c r="T20" s="30"/>
      <c r="U20" s="30"/>
      <c r="V20" s="31"/>
    </row>
    <row r="21" spans="1:22">
      <c r="A21" s="1" t="s">
        <v>36</v>
      </c>
      <c r="B21" s="29">
        <v>0</v>
      </c>
      <c r="C21" s="30">
        <v>3941250.6162275826</v>
      </c>
      <c r="D21" s="30">
        <v>0</v>
      </c>
      <c r="E21" s="30">
        <v>0</v>
      </c>
      <c r="F21" s="30">
        <v>0</v>
      </c>
      <c r="G21" s="31">
        <f>SUM(IA_FINANCIAL)</f>
        <v>3941250.6162275826</v>
      </c>
      <c r="H21" s="30"/>
      <c r="I21" s="34" t="s">
        <v>37</v>
      </c>
      <c r="J21" s="35"/>
      <c r="K21" s="30"/>
      <c r="L21" s="29">
        <v>0</v>
      </c>
      <c r="M21" s="30">
        <v>0</v>
      </c>
      <c r="N21" s="30"/>
      <c r="O21" s="30">
        <v>4000000</v>
      </c>
      <c r="P21" s="30">
        <v>0</v>
      </c>
      <c r="Q21" s="30"/>
      <c r="R21" s="30">
        <v>0</v>
      </c>
      <c r="S21" s="30">
        <v>0</v>
      </c>
      <c r="T21" s="30"/>
      <c r="U21" s="30">
        <v>0</v>
      </c>
      <c r="V21" s="31">
        <v>0</v>
      </c>
    </row>
    <row r="22" spans="1:22">
      <c r="A22" s="1" t="s">
        <v>38</v>
      </c>
      <c r="B22" s="29">
        <v>0</v>
      </c>
      <c r="C22" s="30">
        <v>19686.309343357927</v>
      </c>
      <c r="D22" s="30">
        <v>0</v>
      </c>
      <c r="E22" s="30">
        <v>0</v>
      </c>
      <c r="F22" s="30">
        <v>0</v>
      </c>
      <c r="G22" s="31">
        <f>SUM(KS_FINANCIAL)</f>
        <v>19686.309343357927</v>
      </c>
      <c r="H22" s="30"/>
      <c r="I22" s="34" t="s">
        <v>39</v>
      </c>
      <c r="J22" s="35">
        <v>0</v>
      </c>
      <c r="K22" s="30"/>
      <c r="L22" s="29"/>
      <c r="M22" s="30"/>
      <c r="N22" s="30"/>
      <c r="O22" s="30"/>
      <c r="P22" s="30"/>
      <c r="Q22" s="30"/>
      <c r="R22" s="30"/>
      <c r="S22" s="30"/>
      <c r="T22" s="30"/>
      <c r="U22" s="30"/>
      <c r="V22" s="31"/>
    </row>
    <row r="23" spans="1:22">
      <c r="A23" s="1" t="s">
        <v>40</v>
      </c>
      <c r="B23" s="29">
        <v>0</v>
      </c>
      <c r="C23" s="30">
        <v>1135555.2752268394</v>
      </c>
      <c r="D23" s="30">
        <v>0</v>
      </c>
      <c r="E23" s="30">
        <v>0</v>
      </c>
      <c r="F23" s="30">
        <v>0</v>
      </c>
      <c r="G23" s="31">
        <f>SUM(KY_FINANCIAL)</f>
        <v>1135555.2752268394</v>
      </c>
      <c r="H23" s="30"/>
      <c r="I23" s="34" t="s">
        <v>41</v>
      </c>
      <c r="J23" s="35"/>
      <c r="K23" s="30"/>
      <c r="L23" s="29">
        <v>0</v>
      </c>
      <c r="M23" s="30">
        <v>0</v>
      </c>
      <c r="N23" s="30"/>
      <c r="O23" s="30">
        <v>1132915</v>
      </c>
      <c r="P23" s="30">
        <v>0</v>
      </c>
      <c r="Q23" s="30"/>
      <c r="R23" s="30">
        <v>0</v>
      </c>
      <c r="S23" s="30">
        <v>0</v>
      </c>
      <c r="T23" s="30"/>
      <c r="U23" s="30">
        <v>0</v>
      </c>
      <c r="V23" s="31">
        <v>0</v>
      </c>
    </row>
    <row r="24" spans="1:22">
      <c r="A24" s="1" t="s">
        <v>42</v>
      </c>
      <c r="B24" s="29">
        <v>0</v>
      </c>
      <c r="C24" s="30">
        <v>7429.4779775317256</v>
      </c>
      <c r="D24" s="30">
        <v>0</v>
      </c>
      <c r="E24" s="30">
        <v>0</v>
      </c>
      <c r="F24" s="30">
        <v>0</v>
      </c>
      <c r="G24" s="31">
        <f>SUM(LA_FINANCIAL)</f>
        <v>7429.4779775317256</v>
      </c>
      <c r="H24" s="30"/>
      <c r="I24" s="34" t="s">
        <v>43</v>
      </c>
      <c r="J24" s="35">
        <v>0</v>
      </c>
      <c r="K24" s="30"/>
      <c r="L24" s="29"/>
      <c r="M24" s="30"/>
      <c r="N24" s="30"/>
      <c r="O24" s="30"/>
      <c r="P24" s="30"/>
      <c r="Q24" s="30"/>
      <c r="R24" s="30"/>
      <c r="S24" s="30"/>
      <c r="T24" s="30"/>
      <c r="U24" s="30"/>
      <c r="V24" s="31"/>
    </row>
    <row r="25" spans="1:22">
      <c r="A25" s="1" t="s">
        <v>44</v>
      </c>
      <c r="B25" s="29">
        <v>0</v>
      </c>
      <c r="C25" s="30">
        <v>1341927.8290652942</v>
      </c>
      <c r="D25" s="30">
        <v>0</v>
      </c>
      <c r="E25" s="30">
        <v>0</v>
      </c>
      <c r="F25" s="30">
        <v>0</v>
      </c>
      <c r="G25" s="31">
        <f>SUM(ME_FINANCIAL)</f>
        <v>1341927.8290652942</v>
      </c>
      <c r="H25" s="30"/>
      <c r="I25" s="34"/>
      <c r="J25" s="35"/>
      <c r="K25" s="30"/>
      <c r="L25" s="29">
        <v>0</v>
      </c>
      <c r="M25" s="30">
        <v>0</v>
      </c>
      <c r="N25" s="30"/>
      <c r="O25" s="30">
        <v>1400000</v>
      </c>
      <c r="P25" s="30">
        <v>906</v>
      </c>
      <c r="Q25" s="30"/>
      <c r="R25" s="30">
        <v>0</v>
      </c>
      <c r="S25" s="30">
        <v>0</v>
      </c>
      <c r="T25" s="30"/>
      <c r="U25" s="30">
        <v>0</v>
      </c>
      <c r="V25" s="31">
        <v>0</v>
      </c>
    </row>
    <row r="26" spans="1:22">
      <c r="A26" s="1" t="s">
        <v>45</v>
      </c>
      <c r="B26" s="29">
        <v>0</v>
      </c>
      <c r="C26" s="30">
        <v>5836199.1690442432</v>
      </c>
      <c r="D26" s="30">
        <v>0</v>
      </c>
      <c r="E26" s="30">
        <v>0</v>
      </c>
      <c r="F26" s="30">
        <v>0</v>
      </c>
      <c r="G26" s="31">
        <f>SUM(MD_FINANCIAL)</f>
        <v>5836199.1690442432</v>
      </c>
      <c r="H26" s="30"/>
      <c r="I26" s="34" t="s">
        <v>46</v>
      </c>
      <c r="J26" s="35">
        <f>SUM(ADD_FINANCIAL)-SUM(LESS_FINANCIAL)</f>
        <v>801859656.73644018</v>
      </c>
      <c r="K26" s="30"/>
      <c r="L26" s="29">
        <v>0</v>
      </c>
      <c r="M26" s="30">
        <v>0</v>
      </c>
      <c r="N26" s="30"/>
      <c r="O26" s="30">
        <v>7530000</v>
      </c>
      <c r="P26" s="30">
        <v>0</v>
      </c>
      <c r="Q26" s="30"/>
      <c r="R26" s="30">
        <v>0</v>
      </c>
      <c r="S26" s="30">
        <v>0</v>
      </c>
      <c r="T26" s="30"/>
      <c r="U26" s="30">
        <v>0</v>
      </c>
      <c r="V26" s="31">
        <v>0</v>
      </c>
    </row>
    <row r="27" spans="1:22">
      <c r="A27" s="1" t="s">
        <v>47</v>
      </c>
      <c r="B27" s="29">
        <v>0</v>
      </c>
      <c r="C27" s="30">
        <v>66419.10175918843</v>
      </c>
      <c r="D27" s="30">
        <v>0</v>
      </c>
      <c r="E27" s="30">
        <v>0</v>
      </c>
      <c r="F27" s="30">
        <v>0</v>
      </c>
      <c r="G27" s="31">
        <f>SUM(MA_FINANCIAL)</f>
        <v>66419.10175918843</v>
      </c>
      <c r="H27" s="30"/>
      <c r="I27" s="34" t="s">
        <v>48</v>
      </c>
      <c r="J27" s="35">
        <f>SUM(ALL_BLOCKS)</f>
        <v>801859656.73644018</v>
      </c>
      <c r="K27" s="30"/>
      <c r="L27" s="29"/>
      <c r="M27" s="30"/>
      <c r="N27" s="30"/>
      <c r="O27" s="30"/>
      <c r="P27" s="30"/>
      <c r="Q27" s="30"/>
      <c r="R27" s="30"/>
      <c r="S27" s="30"/>
      <c r="T27" s="30"/>
      <c r="U27" s="30"/>
      <c r="V27" s="31"/>
    </row>
    <row r="28" spans="1:22">
      <c r="A28" s="1" t="s">
        <v>49</v>
      </c>
      <c r="B28" s="29">
        <v>0</v>
      </c>
      <c r="C28" s="30">
        <v>12479567.758423336</v>
      </c>
      <c r="D28" s="30">
        <v>0</v>
      </c>
      <c r="E28" s="30">
        <v>0</v>
      </c>
      <c r="F28" s="30">
        <v>0</v>
      </c>
      <c r="G28" s="31">
        <f>SUM(MI_FINANCIAL)</f>
        <v>12479567.758423336</v>
      </c>
      <c r="H28" s="30"/>
      <c r="I28" s="36"/>
      <c r="J28" s="37"/>
      <c r="K28" s="30"/>
      <c r="L28" s="29">
        <v>0</v>
      </c>
      <c r="M28" s="30">
        <v>0</v>
      </c>
      <c r="N28" s="30"/>
      <c r="O28" s="30">
        <v>8998201</v>
      </c>
      <c r="P28" s="30">
        <v>0</v>
      </c>
      <c r="Q28" s="30"/>
      <c r="R28" s="30">
        <v>0</v>
      </c>
      <c r="S28" s="30">
        <v>0</v>
      </c>
      <c r="T28" s="30"/>
      <c r="U28" s="30">
        <v>0</v>
      </c>
      <c r="V28" s="31">
        <v>0</v>
      </c>
    </row>
    <row r="29" spans="1:22">
      <c r="A29" s="1" t="s">
        <v>50</v>
      </c>
      <c r="B29" s="29">
        <v>0</v>
      </c>
      <c r="C29" s="30">
        <v>4028909.0985589758</v>
      </c>
      <c r="D29" s="30">
        <v>0</v>
      </c>
      <c r="E29" s="30">
        <v>0</v>
      </c>
      <c r="F29" s="30">
        <v>0</v>
      </c>
      <c r="G29" s="31">
        <f>SUM(MN_FINANCIAL)</f>
        <v>4028909.0985589758</v>
      </c>
      <c r="H29" s="30"/>
      <c r="I29" s="30"/>
      <c r="J29" s="30"/>
      <c r="K29" s="30"/>
      <c r="L29" s="29"/>
      <c r="M29" s="30"/>
      <c r="N29" s="30"/>
      <c r="O29" s="30"/>
      <c r="P29" s="30"/>
      <c r="Q29" s="30"/>
      <c r="R29" s="30"/>
      <c r="S29" s="30"/>
      <c r="T29" s="30"/>
      <c r="U29" s="30"/>
      <c r="V29" s="31"/>
    </row>
    <row r="30" spans="1:22">
      <c r="A30" s="1" t="s">
        <v>51</v>
      </c>
      <c r="B30" s="29">
        <v>0</v>
      </c>
      <c r="C30" s="30">
        <v>662959.14359213831</v>
      </c>
      <c r="D30" s="30">
        <v>0</v>
      </c>
      <c r="E30" s="30">
        <v>0</v>
      </c>
      <c r="F30" s="30">
        <v>0</v>
      </c>
      <c r="G30" s="31">
        <f>SUM(MS_FINANCIAL)</f>
        <v>662959.14359213831</v>
      </c>
      <c r="H30" s="30"/>
      <c r="I30" s="30"/>
      <c r="J30" s="30"/>
      <c r="K30" s="30"/>
      <c r="L30" s="29"/>
      <c r="M30" s="30"/>
      <c r="N30" s="30"/>
      <c r="O30" s="30"/>
      <c r="P30" s="30"/>
      <c r="Q30" s="30"/>
      <c r="R30" s="30"/>
      <c r="S30" s="30"/>
      <c r="T30" s="30"/>
      <c r="U30" s="30"/>
      <c r="V30" s="31"/>
    </row>
    <row r="31" spans="1:22">
      <c r="A31" s="1" t="s">
        <v>52</v>
      </c>
      <c r="B31" s="29">
        <v>0</v>
      </c>
      <c r="C31" s="30">
        <v>25450.663316414753</v>
      </c>
      <c r="D31" s="30">
        <v>0</v>
      </c>
      <c r="E31" s="30">
        <v>0</v>
      </c>
      <c r="F31" s="30">
        <v>0</v>
      </c>
      <c r="G31" s="31">
        <f>SUM(MO_FINANCIAL)</f>
        <v>25450.663316414753</v>
      </c>
      <c r="H31" s="30"/>
      <c r="I31" s="30"/>
      <c r="J31" s="30"/>
      <c r="K31" s="30"/>
      <c r="L31" s="29"/>
      <c r="M31" s="30"/>
      <c r="N31" s="30"/>
      <c r="O31" s="30"/>
      <c r="P31" s="30"/>
      <c r="Q31" s="30"/>
      <c r="R31" s="30"/>
      <c r="S31" s="30"/>
      <c r="T31" s="30"/>
      <c r="U31" s="30"/>
      <c r="V31" s="31"/>
    </row>
    <row r="32" spans="1:22">
      <c r="A32" s="1" t="s">
        <v>53</v>
      </c>
      <c r="B32" s="29">
        <v>0</v>
      </c>
      <c r="C32" s="30">
        <v>785212.00094089587</v>
      </c>
      <c r="D32" s="30">
        <v>0</v>
      </c>
      <c r="E32" s="30">
        <v>0</v>
      </c>
      <c r="F32" s="30">
        <v>0</v>
      </c>
      <c r="G32" s="31">
        <f>SUM(MT_FINANCIAL)</f>
        <v>785212.00094089587</v>
      </c>
      <c r="H32" s="30"/>
      <c r="I32" s="30"/>
      <c r="J32" s="30"/>
      <c r="K32" s="30"/>
      <c r="L32" s="29"/>
      <c r="M32" s="30"/>
      <c r="N32" s="30"/>
      <c r="O32" s="30"/>
      <c r="P32" s="30"/>
      <c r="Q32" s="30"/>
      <c r="R32" s="30"/>
      <c r="S32" s="30"/>
      <c r="T32" s="30"/>
      <c r="U32" s="30"/>
      <c r="V32" s="31"/>
    </row>
    <row r="33" spans="1:22">
      <c r="A33" s="1" t="s">
        <v>54</v>
      </c>
      <c r="B33" s="29">
        <v>0</v>
      </c>
      <c r="C33" s="30">
        <v>579476.12675357307</v>
      </c>
      <c r="D33" s="30">
        <v>0</v>
      </c>
      <c r="E33" s="30">
        <v>0</v>
      </c>
      <c r="F33" s="30">
        <v>0</v>
      </c>
      <c r="G33" s="31">
        <f>SUM(NE_FINANCIAL)</f>
        <v>579476.12675357307</v>
      </c>
      <c r="H33" s="30"/>
      <c r="I33" s="30"/>
      <c r="J33" s="30"/>
      <c r="K33" s="30"/>
      <c r="L33" s="29">
        <v>0</v>
      </c>
      <c r="M33" s="30">
        <v>0</v>
      </c>
      <c r="N33" s="30"/>
      <c r="O33" s="30">
        <v>275000</v>
      </c>
      <c r="P33" s="30">
        <v>0</v>
      </c>
      <c r="Q33" s="30"/>
      <c r="R33" s="30">
        <v>0</v>
      </c>
      <c r="S33" s="30">
        <v>0</v>
      </c>
      <c r="T33" s="30"/>
      <c r="U33" s="30">
        <v>0</v>
      </c>
      <c r="V33" s="31">
        <v>0</v>
      </c>
    </row>
    <row r="34" spans="1:22">
      <c r="A34" s="1" t="s">
        <v>55</v>
      </c>
      <c r="B34" s="29">
        <v>0</v>
      </c>
      <c r="C34" s="30">
        <v>283678.9602049074</v>
      </c>
      <c r="D34" s="30">
        <v>0</v>
      </c>
      <c r="E34" s="30">
        <v>0</v>
      </c>
      <c r="F34" s="30">
        <v>0</v>
      </c>
      <c r="G34" s="31">
        <f>SUM(NV_FINANCIAL)</f>
        <v>283678.9602049074</v>
      </c>
      <c r="H34" s="30"/>
      <c r="I34" s="30"/>
      <c r="J34" s="30"/>
      <c r="K34" s="30"/>
      <c r="L34" s="29"/>
      <c r="M34" s="30"/>
      <c r="N34" s="30"/>
      <c r="O34" s="30"/>
      <c r="P34" s="30"/>
      <c r="Q34" s="30"/>
      <c r="R34" s="30"/>
      <c r="S34" s="30"/>
      <c r="T34" s="30"/>
      <c r="U34" s="30"/>
      <c r="V34" s="31"/>
    </row>
    <row r="35" spans="1:22">
      <c r="A35" s="1" t="s">
        <v>56</v>
      </c>
      <c r="B35" s="29">
        <v>0</v>
      </c>
      <c r="C35" s="30">
        <v>1874590.3152189655</v>
      </c>
      <c r="D35" s="30">
        <v>0</v>
      </c>
      <c r="E35" s="30">
        <v>0</v>
      </c>
      <c r="F35" s="30">
        <v>0</v>
      </c>
      <c r="G35" s="31">
        <f>SUM(NH_FINANCIAL)</f>
        <v>1874590.3152189655</v>
      </c>
      <c r="H35" s="30"/>
      <c r="I35" s="30"/>
      <c r="J35" s="30"/>
      <c r="K35" s="30"/>
      <c r="L35" s="29">
        <v>0</v>
      </c>
      <c r="M35" s="30">
        <v>0</v>
      </c>
      <c r="N35" s="30"/>
      <c r="O35" s="30">
        <v>2049993</v>
      </c>
      <c r="P35" s="30">
        <v>0</v>
      </c>
      <c r="Q35" s="30"/>
      <c r="R35" s="30">
        <v>0</v>
      </c>
      <c r="S35" s="30">
        <v>0</v>
      </c>
      <c r="T35" s="30"/>
      <c r="U35" s="30">
        <v>0</v>
      </c>
      <c r="V35" s="31">
        <v>0</v>
      </c>
    </row>
    <row r="36" spans="1:22">
      <c r="A36" s="1" t="s">
        <v>57</v>
      </c>
      <c r="B36" s="29">
        <v>0</v>
      </c>
      <c r="C36" s="30">
        <v>55882696.267626844</v>
      </c>
      <c r="D36" s="30">
        <v>0</v>
      </c>
      <c r="E36" s="30">
        <v>0</v>
      </c>
      <c r="F36" s="30">
        <v>0</v>
      </c>
      <c r="G36" s="31">
        <f>SUM(NJ_FINANCIAL)</f>
        <v>55882696.267626844</v>
      </c>
      <c r="H36" s="30"/>
      <c r="I36" s="30"/>
      <c r="J36" s="30"/>
      <c r="K36" s="30"/>
      <c r="L36" s="29">
        <v>0</v>
      </c>
      <c r="M36" s="30">
        <v>0</v>
      </c>
      <c r="N36" s="30"/>
      <c r="O36" s="30">
        <v>63000000</v>
      </c>
      <c r="P36" s="30">
        <v>6500000</v>
      </c>
      <c r="Q36" s="30"/>
      <c r="R36" s="30">
        <v>0</v>
      </c>
      <c r="S36" s="30">
        <v>0</v>
      </c>
      <c r="T36" s="30"/>
      <c r="U36" s="30">
        <v>0</v>
      </c>
      <c r="V36" s="31">
        <v>0</v>
      </c>
    </row>
    <row r="37" spans="1:22">
      <c r="A37" s="1" t="s">
        <v>58</v>
      </c>
      <c r="B37" s="29">
        <v>0</v>
      </c>
      <c r="C37" s="30">
        <v>376972.28106557485</v>
      </c>
      <c r="D37" s="30">
        <v>0</v>
      </c>
      <c r="E37" s="30">
        <v>0</v>
      </c>
      <c r="F37" s="30">
        <v>0</v>
      </c>
      <c r="G37" s="31">
        <f>SUM(NM_FINANCIAL)</f>
        <v>376972.28106557485</v>
      </c>
      <c r="H37" s="30"/>
      <c r="I37" s="30"/>
      <c r="J37" s="30"/>
      <c r="K37" s="30"/>
      <c r="L37" s="29">
        <v>0</v>
      </c>
      <c r="M37" s="30">
        <v>0</v>
      </c>
      <c r="N37" s="30"/>
      <c r="O37" s="30">
        <v>499991</v>
      </c>
      <c r="P37" s="30">
        <v>0</v>
      </c>
      <c r="Q37" s="30"/>
      <c r="R37" s="30">
        <v>0</v>
      </c>
      <c r="S37" s="30">
        <v>0</v>
      </c>
      <c r="T37" s="30"/>
      <c r="U37" s="30">
        <v>0</v>
      </c>
      <c r="V37" s="31">
        <v>0</v>
      </c>
    </row>
    <row r="38" spans="1:22">
      <c r="A38" s="1" t="s">
        <v>59</v>
      </c>
      <c r="B38" s="29">
        <v>0</v>
      </c>
      <c r="C38" s="30">
        <v>537970827.55575466</v>
      </c>
      <c r="D38" s="30">
        <v>0</v>
      </c>
      <c r="E38" s="30">
        <v>0</v>
      </c>
      <c r="F38" s="30">
        <v>0</v>
      </c>
      <c r="G38" s="31">
        <f>SUM(NY_FINANCIAL)</f>
        <v>537970827.55575466</v>
      </c>
      <c r="H38" s="30"/>
      <c r="I38" s="30"/>
      <c r="J38" s="30"/>
      <c r="K38" s="30"/>
      <c r="L38" s="29">
        <v>556478179</v>
      </c>
      <c r="M38" s="30">
        <v>0</v>
      </c>
      <c r="N38" s="30"/>
      <c r="O38" s="30">
        <v>0</v>
      </c>
      <c r="P38" s="30">
        <v>0</v>
      </c>
      <c r="Q38" s="30"/>
      <c r="R38" s="30">
        <v>0</v>
      </c>
      <c r="S38" s="30">
        <v>0</v>
      </c>
      <c r="T38" s="30"/>
      <c r="U38" s="30">
        <v>0</v>
      </c>
      <c r="V38" s="31">
        <v>0</v>
      </c>
    </row>
    <row r="39" spans="1:22">
      <c r="A39" s="1" t="s">
        <v>60</v>
      </c>
      <c r="B39" s="29">
        <v>0</v>
      </c>
      <c r="C39" s="30">
        <v>19856462.973592471</v>
      </c>
      <c r="D39" s="30">
        <v>0</v>
      </c>
      <c r="E39" s="30">
        <v>0</v>
      </c>
      <c r="F39" s="30">
        <v>0</v>
      </c>
      <c r="G39" s="31">
        <f>SUM(NC_FINANCIAL)</f>
        <v>19856462.973592471</v>
      </c>
      <c r="H39" s="30"/>
      <c r="I39" s="30"/>
      <c r="J39" s="30"/>
      <c r="K39" s="30"/>
      <c r="L39" s="29">
        <v>0</v>
      </c>
      <c r="M39" s="30">
        <v>0</v>
      </c>
      <c r="N39" s="30"/>
      <c r="O39" s="30">
        <v>20000000</v>
      </c>
      <c r="P39" s="30">
        <v>0</v>
      </c>
      <c r="Q39" s="30"/>
      <c r="R39" s="30">
        <v>0</v>
      </c>
      <c r="S39" s="30">
        <v>0</v>
      </c>
      <c r="T39" s="30"/>
      <c r="U39" s="30">
        <v>0</v>
      </c>
      <c r="V39" s="31">
        <v>0</v>
      </c>
    </row>
    <row r="40" spans="1:22">
      <c r="A40" s="1" t="s">
        <v>61</v>
      </c>
      <c r="B40" s="29">
        <v>0</v>
      </c>
      <c r="C40" s="30">
        <v>2468.5100000000002</v>
      </c>
      <c r="D40" s="30">
        <v>0</v>
      </c>
      <c r="E40" s="30">
        <v>0</v>
      </c>
      <c r="F40" s="30">
        <v>0</v>
      </c>
      <c r="G40" s="31">
        <f>SUM(ND_FINANCIAL)</f>
        <v>2468.5100000000002</v>
      </c>
      <c r="H40" s="30"/>
      <c r="I40" s="30"/>
      <c r="J40" s="30"/>
      <c r="K40" s="30"/>
      <c r="L40" s="29"/>
      <c r="M40" s="30"/>
      <c r="N40" s="30"/>
      <c r="O40" s="30"/>
      <c r="P40" s="30"/>
      <c r="Q40" s="30"/>
      <c r="R40" s="30"/>
      <c r="S40" s="30"/>
      <c r="T40" s="30"/>
      <c r="U40" s="30"/>
      <c r="V40" s="31"/>
    </row>
    <row r="41" spans="1:22">
      <c r="A41" s="1" t="s">
        <v>62</v>
      </c>
      <c r="B41" s="29">
        <v>0</v>
      </c>
      <c r="C41" s="30">
        <v>5090773.1191857867</v>
      </c>
      <c r="D41" s="30">
        <v>0</v>
      </c>
      <c r="E41" s="30">
        <v>0</v>
      </c>
      <c r="F41" s="30">
        <v>0</v>
      </c>
      <c r="G41" s="31">
        <f>SUM(OH_FINANCIAL)</f>
        <v>5090773.1191857867</v>
      </c>
      <c r="H41" s="30"/>
      <c r="I41" s="30"/>
      <c r="J41" s="30"/>
      <c r="K41" s="30"/>
      <c r="L41" s="29">
        <v>0</v>
      </c>
      <c r="M41" s="30">
        <v>0</v>
      </c>
      <c r="N41" s="30"/>
      <c r="O41" s="30">
        <v>5800000</v>
      </c>
      <c r="P41" s="30">
        <v>0</v>
      </c>
      <c r="Q41" s="30"/>
      <c r="R41" s="30">
        <v>0</v>
      </c>
      <c r="S41" s="30">
        <v>0</v>
      </c>
      <c r="T41" s="30"/>
      <c r="U41" s="30">
        <v>0</v>
      </c>
      <c r="V41" s="31">
        <v>0</v>
      </c>
    </row>
    <row r="42" spans="1:22">
      <c r="A42" s="1" t="s">
        <v>63</v>
      </c>
      <c r="B42" s="29">
        <v>0</v>
      </c>
      <c r="C42" s="30">
        <v>269474.40169923898</v>
      </c>
      <c r="D42" s="30">
        <v>0</v>
      </c>
      <c r="E42" s="30">
        <v>0</v>
      </c>
      <c r="F42" s="30">
        <v>0</v>
      </c>
      <c r="G42" s="31">
        <f>SUM(OK_FINANCIAL)</f>
        <v>269474.40169923898</v>
      </c>
      <c r="H42" s="30"/>
      <c r="I42" s="30"/>
      <c r="J42" s="30"/>
      <c r="K42" s="30"/>
      <c r="L42" s="29">
        <v>0</v>
      </c>
      <c r="M42" s="30">
        <v>0</v>
      </c>
      <c r="N42" s="30"/>
      <c r="O42" s="30">
        <v>200000</v>
      </c>
      <c r="P42" s="30">
        <v>0</v>
      </c>
      <c r="Q42" s="30"/>
      <c r="R42" s="30">
        <v>0</v>
      </c>
      <c r="S42" s="30">
        <v>0</v>
      </c>
      <c r="T42" s="30"/>
      <c r="U42" s="30">
        <v>0</v>
      </c>
      <c r="V42" s="31">
        <v>0</v>
      </c>
    </row>
    <row r="43" spans="1:22">
      <c r="A43" s="1" t="s">
        <v>64</v>
      </c>
      <c r="B43" s="29">
        <v>0</v>
      </c>
      <c r="C43" s="30">
        <v>37908.929663322015</v>
      </c>
      <c r="D43" s="30">
        <v>0</v>
      </c>
      <c r="E43" s="30">
        <v>0</v>
      </c>
      <c r="F43" s="30">
        <v>0</v>
      </c>
      <c r="G43" s="31">
        <f>SUM(OR_FINANCIAL)</f>
        <v>37908.929663322015</v>
      </c>
      <c r="H43" s="30"/>
      <c r="I43" s="30"/>
      <c r="J43" s="30"/>
      <c r="K43" s="30"/>
      <c r="L43" s="29"/>
      <c r="M43" s="30"/>
      <c r="N43" s="30"/>
      <c r="O43" s="30"/>
      <c r="P43" s="30"/>
      <c r="Q43" s="30"/>
      <c r="R43" s="30"/>
      <c r="S43" s="30"/>
      <c r="T43" s="30"/>
      <c r="U43" s="30"/>
      <c r="V43" s="31"/>
    </row>
    <row r="44" spans="1:22">
      <c r="A44" s="1" t="s">
        <v>65</v>
      </c>
      <c r="B44" s="29">
        <v>0</v>
      </c>
      <c r="C44" s="30">
        <v>45305320.181837142</v>
      </c>
      <c r="D44" s="30">
        <v>0</v>
      </c>
      <c r="E44" s="30">
        <v>0</v>
      </c>
      <c r="F44" s="30">
        <v>0</v>
      </c>
      <c r="G44" s="31">
        <f>SUM(PA_FINANCIAL)</f>
        <v>45305320.181837142</v>
      </c>
      <c r="H44" s="30"/>
      <c r="I44" s="30"/>
      <c r="J44" s="30"/>
      <c r="K44" s="30"/>
      <c r="L44" s="29">
        <v>0</v>
      </c>
      <c r="M44" s="30">
        <v>0</v>
      </c>
      <c r="N44" s="30"/>
      <c r="O44" s="30">
        <v>1714000</v>
      </c>
      <c r="P44" s="30">
        <v>0</v>
      </c>
      <c r="Q44" s="30"/>
      <c r="R44" s="30">
        <v>0</v>
      </c>
      <c r="S44" s="30">
        <v>0</v>
      </c>
      <c r="T44" s="30"/>
      <c r="U44" s="30">
        <v>0</v>
      </c>
      <c r="V44" s="31">
        <v>0</v>
      </c>
    </row>
    <row r="45" spans="1:22">
      <c r="A45" s="1" t="s">
        <v>66</v>
      </c>
      <c r="B45" s="29">
        <v>0</v>
      </c>
      <c r="C45" s="30">
        <v>48703.951362923312</v>
      </c>
      <c r="D45" s="30">
        <v>0</v>
      </c>
      <c r="E45" s="30">
        <v>0</v>
      </c>
      <c r="F45" s="30">
        <v>0</v>
      </c>
      <c r="G45" s="31">
        <f>SUM(PR_FINANCIAL)</f>
        <v>48703.951362923312</v>
      </c>
      <c r="H45" s="30"/>
      <c r="I45" s="30"/>
      <c r="J45" s="30"/>
      <c r="K45" s="30"/>
      <c r="L45" s="29"/>
      <c r="M45" s="30"/>
      <c r="N45" s="30"/>
      <c r="O45" s="30"/>
      <c r="P45" s="30"/>
      <c r="Q45" s="30"/>
      <c r="R45" s="30"/>
      <c r="S45" s="30"/>
      <c r="T45" s="30"/>
      <c r="U45" s="30"/>
      <c r="V45" s="31"/>
    </row>
    <row r="46" spans="1:22">
      <c r="A46" s="1" t="s">
        <v>67</v>
      </c>
      <c r="B46" s="29">
        <v>0</v>
      </c>
      <c r="C46" s="30">
        <v>4664410.2225790117</v>
      </c>
      <c r="D46" s="30">
        <v>0</v>
      </c>
      <c r="E46" s="30">
        <v>0</v>
      </c>
      <c r="F46" s="30">
        <v>0</v>
      </c>
      <c r="G46" s="31">
        <f>SUM(RI_FINANCIAL)</f>
        <v>4664410.2225790117</v>
      </c>
      <c r="H46" s="30"/>
      <c r="I46" s="30"/>
      <c r="J46" s="30"/>
      <c r="K46" s="30"/>
      <c r="L46" s="29">
        <v>0</v>
      </c>
      <c r="M46" s="30">
        <v>0</v>
      </c>
      <c r="N46" s="30"/>
      <c r="O46" s="30">
        <v>4500536</v>
      </c>
      <c r="P46" s="30">
        <v>0</v>
      </c>
      <c r="Q46" s="30"/>
      <c r="R46" s="30">
        <v>0</v>
      </c>
      <c r="S46" s="30">
        <v>0</v>
      </c>
      <c r="T46" s="30"/>
      <c r="U46" s="30">
        <v>0</v>
      </c>
      <c r="V46" s="31">
        <v>0</v>
      </c>
    </row>
    <row r="47" spans="1:22">
      <c r="A47" s="1" t="s">
        <v>68</v>
      </c>
      <c r="B47" s="29">
        <v>0</v>
      </c>
      <c r="C47" s="30">
        <v>976007.89523986541</v>
      </c>
      <c r="D47" s="30">
        <v>0</v>
      </c>
      <c r="E47" s="30">
        <v>0</v>
      </c>
      <c r="F47" s="30">
        <v>0</v>
      </c>
      <c r="G47" s="31">
        <f>SUM(SC_FINANCIAL)</f>
        <v>976007.89523986541</v>
      </c>
      <c r="H47" s="30"/>
      <c r="I47" s="30"/>
      <c r="J47" s="30"/>
      <c r="K47" s="30"/>
      <c r="L47" s="29">
        <v>0</v>
      </c>
      <c r="M47" s="30">
        <v>0</v>
      </c>
      <c r="N47" s="30"/>
      <c r="O47" s="30">
        <v>1000000</v>
      </c>
      <c r="P47" s="30">
        <v>0</v>
      </c>
      <c r="Q47" s="30"/>
      <c r="R47" s="30">
        <v>0</v>
      </c>
      <c r="S47" s="30">
        <v>0</v>
      </c>
      <c r="T47" s="30"/>
      <c r="U47" s="30">
        <v>0</v>
      </c>
      <c r="V47" s="31">
        <v>0</v>
      </c>
    </row>
    <row r="48" spans="1:22">
      <c r="A48" s="1" t="s">
        <v>69</v>
      </c>
      <c r="B48" s="29">
        <v>0</v>
      </c>
      <c r="C48" s="30">
        <v>828388.92936768045</v>
      </c>
      <c r="D48" s="30">
        <v>0</v>
      </c>
      <c r="E48" s="30">
        <v>0</v>
      </c>
      <c r="F48" s="30">
        <v>0</v>
      </c>
      <c r="G48" s="31">
        <f>SUM(SD_FINANCIAL)</f>
        <v>828388.92936768045</v>
      </c>
      <c r="H48" s="30"/>
      <c r="I48" s="30"/>
      <c r="J48" s="30"/>
      <c r="K48" s="30"/>
      <c r="L48" s="29">
        <v>0</v>
      </c>
      <c r="M48" s="30">
        <v>0</v>
      </c>
      <c r="N48" s="30"/>
      <c r="O48" s="30">
        <v>910000</v>
      </c>
      <c r="P48" s="30">
        <v>0</v>
      </c>
      <c r="Q48" s="30"/>
      <c r="R48" s="30">
        <v>0</v>
      </c>
      <c r="S48" s="30">
        <v>0</v>
      </c>
      <c r="T48" s="30"/>
      <c r="U48" s="30">
        <v>0</v>
      </c>
      <c r="V48" s="31">
        <v>0</v>
      </c>
    </row>
    <row r="49" spans="1:22">
      <c r="A49" s="1" t="s">
        <v>70</v>
      </c>
      <c r="B49" s="29">
        <v>0</v>
      </c>
      <c r="C49" s="30">
        <v>1695583.988745257</v>
      </c>
      <c r="D49" s="30">
        <v>0</v>
      </c>
      <c r="E49" s="30">
        <v>0</v>
      </c>
      <c r="F49" s="30">
        <v>0</v>
      </c>
      <c r="G49" s="31">
        <f>SUM(TN_FINANCIAL)</f>
        <v>1695583.988745257</v>
      </c>
      <c r="H49" s="30"/>
      <c r="I49" s="30"/>
      <c r="J49" s="30"/>
      <c r="K49" s="30"/>
      <c r="L49" s="29"/>
      <c r="M49" s="30"/>
      <c r="N49" s="30"/>
      <c r="O49" s="30"/>
      <c r="P49" s="30"/>
      <c r="Q49" s="30"/>
      <c r="R49" s="30"/>
      <c r="S49" s="30"/>
      <c r="T49" s="30"/>
      <c r="U49" s="30"/>
      <c r="V49" s="31"/>
    </row>
    <row r="50" spans="1:22">
      <c r="A50" s="1" t="s">
        <v>71</v>
      </c>
      <c r="B50" s="29">
        <v>0</v>
      </c>
      <c r="C50" s="30">
        <v>261971.64994985829</v>
      </c>
      <c r="D50" s="30">
        <v>0</v>
      </c>
      <c r="E50" s="30">
        <v>0</v>
      </c>
      <c r="F50" s="30">
        <v>0</v>
      </c>
      <c r="G50" s="31">
        <f>SUM(TX_FINANCIAL)</f>
        <v>261971.64994985829</v>
      </c>
      <c r="H50" s="30"/>
      <c r="I50" s="30"/>
      <c r="J50" s="30"/>
      <c r="K50" s="30"/>
      <c r="L50" s="29"/>
      <c r="M50" s="30"/>
      <c r="N50" s="30"/>
      <c r="O50" s="30"/>
      <c r="P50" s="30"/>
      <c r="Q50" s="30"/>
      <c r="R50" s="30"/>
      <c r="S50" s="30"/>
      <c r="T50" s="30"/>
      <c r="U50" s="30"/>
      <c r="V50" s="31"/>
    </row>
    <row r="51" spans="1:22">
      <c r="A51" s="1" t="s">
        <v>72</v>
      </c>
      <c r="B51" s="29">
        <v>0</v>
      </c>
      <c r="C51" s="30">
        <v>715657.1658459492</v>
      </c>
      <c r="D51" s="30">
        <v>0</v>
      </c>
      <c r="E51" s="30">
        <v>0</v>
      </c>
      <c r="F51" s="30">
        <v>0</v>
      </c>
      <c r="G51" s="31">
        <f>SUM(UT_FINANCIAL)</f>
        <v>715657.1658459492</v>
      </c>
      <c r="H51" s="30"/>
      <c r="I51" s="30"/>
      <c r="J51" s="30"/>
      <c r="K51" s="30"/>
      <c r="L51" s="29">
        <v>0</v>
      </c>
      <c r="M51" s="30">
        <v>0</v>
      </c>
      <c r="N51" s="30"/>
      <c r="O51" s="30">
        <v>749937</v>
      </c>
      <c r="P51" s="30">
        <v>0</v>
      </c>
      <c r="Q51" s="30"/>
      <c r="R51" s="30">
        <v>0</v>
      </c>
      <c r="S51" s="30">
        <v>0</v>
      </c>
      <c r="T51" s="30"/>
      <c r="U51" s="30">
        <v>0</v>
      </c>
      <c r="V51" s="31">
        <v>0</v>
      </c>
    </row>
    <row r="52" spans="1:22">
      <c r="A52" s="1" t="s">
        <v>73</v>
      </c>
      <c r="B52" s="29">
        <v>0</v>
      </c>
      <c r="C52" s="30">
        <v>960733.90013028344</v>
      </c>
      <c r="D52" s="30">
        <v>0</v>
      </c>
      <c r="E52" s="30">
        <v>0</v>
      </c>
      <c r="F52" s="30">
        <v>0</v>
      </c>
      <c r="G52" s="31">
        <f>SUM(VT_FINANCIAL)</f>
        <v>960733.90013028344</v>
      </c>
      <c r="H52" s="30"/>
      <c r="I52" s="30"/>
      <c r="J52" s="30"/>
      <c r="K52" s="30"/>
      <c r="L52" s="29">
        <v>0</v>
      </c>
      <c r="M52" s="30">
        <v>0</v>
      </c>
      <c r="N52" s="30"/>
      <c r="O52" s="30">
        <v>800000</v>
      </c>
      <c r="P52" s="30">
        <v>0</v>
      </c>
      <c r="Q52" s="30"/>
      <c r="R52" s="30">
        <v>0</v>
      </c>
      <c r="S52" s="30">
        <v>0</v>
      </c>
      <c r="T52" s="30"/>
      <c r="U52" s="30">
        <v>0</v>
      </c>
      <c r="V52" s="31">
        <v>0</v>
      </c>
    </row>
    <row r="53" spans="1:22">
      <c r="A53" s="1" t="s">
        <v>74</v>
      </c>
      <c r="B53" s="29">
        <v>0</v>
      </c>
      <c r="C53" s="30">
        <v>2675864.606143611</v>
      </c>
      <c r="D53" s="30">
        <v>0</v>
      </c>
      <c r="E53" s="30">
        <v>0</v>
      </c>
      <c r="F53" s="30">
        <v>0</v>
      </c>
      <c r="G53" s="31">
        <f>SUM(VA_FINANCIAL)</f>
        <v>2675864.606143611</v>
      </c>
      <c r="H53" s="30"/>
      <c r="I53" s="30"/>
      <c r="J53" s="30"/>
      <c r="K53" s="30"/>
      <c r="L53" s="29">
        <v>0</v>
      </c>
      <c r="M53" s="30">
        <v>0</v>
      </c>
      <c r="N53" s="30"/>
      <c r="O53" s="30">
        <v>3000000</v>
      </c>
      <c r="P53" s="30">
        <v>0</v>
      </c>
      <c r="Q53" s="30"/>
      <c r="R53" s="30">
        <v>0</v>
      </c>
      <c r="S53" s="30">
        <v>0</v>
      </c>
      <c r="T53" s="30"/>
      <c r="U53" s="30">
        <v>0</v>
      </c>
      <c r="V53" s="31">
        <v>0</v>
      </c>
    </row>
    <row r="54" spans="1:22">
      <c r="A54" s="1" t="s">
        <v>75</v>
      </c>
      <c r="B54" s="29">
        <v>0</v>
      </c>
      <c r="C54" s="30">
        <v>5340509.8100646436</v>
      </c>
      <c r="D54" s="30">
        <v>0</v>
      </c>
      <c r="E54" s="30">
        <v>0</v>
      </c>
      <c r="F54" s="30">
        <v>0</v>
      </c>
      <c r="G54" s="31">
        <f>SUM(WA_FINANCIAL)</f>
        <v>5340509.8100646436</v>
      </c>
      <c r="H54" s="30"/>
      <c r="I54" s="30"/>
      <c r="J54" s="30"/>
      <c r="K54" s="30"/>
      <c r="L54" s="29"/>
      <c r="M54" s="30"/>
      <c r="N54" s="30"/>
      <c r="O54" s="30"/>
      <c r="P54" s="30"/>
      <c r="Q54" s="30"/>
      <c r="R54" s="30"/>
      <c r="S54" s="30"/>
      <c r="T54" s="30"/>
      <c r="U54" s="30"/>
      <c r="V54" s="31"/>
    </row>
    <row r="55" spans="1:22">
      <c r="A55" s="1" t="s">
        <v>76</v>
      </c>
      <c r="B55" s="29">
        <v>0</v>
      </c>
      <c r="C55" s="30">
        <v>2035792.6577130139</v>
      </c>
      <c r="D55" s="30">
        <v>0</v>
      </c>
      <c r="E55" s="30">
        <v>0</v>
      </c>
      <c r="F55" s="30">
        <v>0</v>
      </c>
      <c r="G55" s="31">
        <f>SUM(WV_FINANCIAL)</f>
        <v>2035792.6577130139</v>
      </c>
      <c r="H55" s="30"/>
      <c r="I55" s="30"/>
      <c r="J55" s="30"/>
      <c r="K55" s="30"/>
      <c r="L55" s="29">
        <v>0</v>
      </c>
      <c r="M55" s="30">
        <v>0</v>
      </c>
      <c r="N55" s="30"/>
      <c r="O55" s="30">
        <v>2500000</v>
      </c>
      <c r="P55" s="30">
        <v>0</v>
      </c>
      <c r="Q55" s="30"/>
      <c r="R55" s="30">
        <v>0</v>
      </c>
      <c r="S55" s="30">
        <v>0</v>
      </c>
      <c r="T55" s="30"/>
      <c r="U55" s="30">
        <v>0</v>
      </c>
      <c r="V55" s="31">
        <v>0</v>
      </c>
    </row>
    <row r="56" spans="1:22">
      <c r="A56" s="1" t="s">
        <v>77</v>
      </c>
      <c r="B56" s="29">
        <v>0</v>
      </c>
      <c r="C56" s="30">
        <v>108497.05277777466</v>
      </c>
      <c r="D56" s="30">
        <v>0</v>
      </c>
      <c r="E56" s="30">
        <v>0</v>
      </c>
      <c r="F56" s="30">
        <v>0</v>
      </c>
      <c r="G56" s="31">
        <f>SUM(WI_FINANCIAL)</f>
        <v>108497.05277777466</v>
      </c>
      <c r="H56" s="30"/>
      <c r="I56" s="30"/>
      <c r="J56" s="30"/>
      <c r="K56" s="30"/>
      <c r="L56" s="29"/>
      <c r="M56" s="30"/>
      <c r="N56" s="30"/>
      <c r="O56" s="30"/>
      <c r="P56" s="30"/>
      <c r="Q56" s="30"/>
      <c r="R56" s="30"/>
      <c r="S56" s="30"/>
      <c r="T56" s="30"/>
      <c r="U56" s="30"/>
      <c r="V56" s="31"/>
    </row>
    <row r="57" spans="1:22">
      <c r="A57" s="1" t="s">
        <v>78</v>
      </c>
      <c r="B57" s="29">
        <v>0</v>
      </c>
      <c r="C57" s="30">
        <v>389801.81975850457</v>
      </c>
      <c r="D57" s="30">
        <v>0</v>
      </c>
      <c r="E57" s="30">
        <v>0</v>
      </c>
      <c r="F57" s="30">
        <v>0</v>
      </c>
      <c r="G57" s="31">
        <f>SUM(WY_FINANCIAL)</f>
        <v>389801.81975850457</v>
      </c>
      <c r="H57" s="30"/>
      <c r="I57" s="30"/>
      <c r="J57" s="30"/>
      <c r="K57" s="30"/>
      <c r="L57" s="29">
        <v>0</v>
      </c>
      <c r="M57" s="30">
        <v>0</v>
      </c>
      <c r="N57" s="30"/>
      <c r="O57" s="30">
        <v>96000</v>
      </c>
      <c r="P57" s="30">
        <v>0</v>
      </c>
      <c r="Q57" s="30"/>
      <c r="R57" s="30">
        <v>0</v>
      </c>
      <c r="S57" s="30">
        <v>0</v>
      </c>
      <c r="T57" s="30"/>
      <c r="U57" s="30">
        <v>0</v>
      </c>
      <c r="V57" s="31">
        <v>0</v>
      </c>
    </row>
    <row r="58" spans="1:22">
      <c r="A58" s="1" t="s">
        <v>79</v>
      </c>
      <c r="B58" s="29">
        <v>0</v>
      </c>
      <c r="C58" s="30">
        <v>0</v>
      </c>
      <c r="D58" s="30">
        <v>0</v>
      </c>
      <c r="E58" s="30">
        <v>0</v>
      </c>
      <c r="F58" s="30">
        <v>0</v>
      </c>
      <c r="G58" s="31">
        <f>SUM(OT_FINANCIAL)</f>
        <v>0</v>
      </c>
      <c r="H58" s="30"/>
      <c r="I58" s="30"/>
      <c r="J58" s="30"/>
      <c r="K58" s="30"/>
      <c r="L58" s="29"/>
      <c r="M58" s="30"/>
      <c r="N58" s="30"/>
      <c r="O58" s="30"/>
      <c r="P58" s="30"/>
      <c r="Q58" s="30"/>
      <c r="R58" s="30"/>
      <c r="S58" s="30"/>
      <c r="T58" s="30"/>
      <c r="U58" s="30"/>
      <c r="V58" s="31"/>
    </row>
    <row r="59" spans="1:22">
      <c r="B59" s="29"/>
      <c r="C59" s="30"/>
      <c r="D59" s="30"/>
      <c r="E59" s="30"/>
      <c r="F59" s="30"/>
      <c r="G59" s="31"/>
      <c r="H59" s="30"/>
      <c r="I59" s="30"/>
      <c r="J59" s="30"/>
      <c r="K59" s="30"/>
      <c r="L59" s="29"/>
      <c r="M59" s="30"/>
      <c r="N59" s="30"/>
      <c r="O59" s="30"/>
      <c r="P59" s="30"/>
      <c r="Q59" s="30"/>
      <c r="R59" s="30"/>
      <c r="S59" s="30"/>
      <c r="T59" s="30"/>
      <c r="U59" s="30"/>
      <c r="V59" s="31"/>
    </row>
    <row r="60" spans="1:22">
      <c r="A60" s="1" t="s">
        <v>8</v>
      </c>
      <c r="B60" s="29">
        <f>SUM(LIFE)</f>
        <v>0</v>
      </c>
      <c r="C60" s="30">
        <f>SUM(ALLOCATED)</f>
        <v>801859656.73644018</v>
      </c>
      <c r="D60" s="30">
        <f>SUM(HEALTH)</f>
        <v>0</v>
      </c>
      <c r="E60" s="30">
        <f>SUM(UNALLOCATED)</f>
        <v>0</v>
      </c>
      <c r="F60" s="30">
        <f>SUM(LTC)</f>
        <v>0</v>
      </c>
      <c r="G60" s="31">
        <f>SUM(ALL_BLOCKS)</f>
        <v>801859656.73644018</v>
      </c>
      <c r="H60" s="30"/>
      <c r="I60" s="30"/>
      <c r="J60" s="30"/>
      <c r="K60" s="30"/>
      <c r="L60" s="29">
        <f>SUM(LIFE_CALLED)</f>
        <v>556478179</v>
      </c>
      <c r="M60" s="30">
        <f>SUM(LIFE_REFUNDED)</f>
        <v>0</v>
      </c>
      <c r="N60" s="30"/>
      <c r="O60" s="30">
        <f>SUM(ALLOC_CALLED)</f>
        <v>198631919</v>
      </c>
      <c r="P60" s="30">
        <f>SUM(ALLOC_REFUNDED)</f>
        <v>6500906</v>
      </c>
      <c r="Q60" s="30"/>
      <c r="R60" s="30">
        <f>SUM(HEALTH_CALLED)</f>
        <v>0</v>
      </c>
      <c r="S60" s="30">
        <f>SUM(HEALTH_REFUNDED)</f>
        <v>0</v>
      </c>
      <c r="T60" s="30"/>
      <c r="U60" s="30">
        <f>SUM(UNALLOC_CALLED)</f>
        <v>0</v>
      </c>
      <c r="V60" s="31">
        <f>SUM(UNALLOC_REFUNDED)</f>
        <v>0</v>
      </c>
    </row>
    <row r="61" spans="1:22" ht="5.0999999999999996" customHeight="1">
      <c r="B61" s="8"/>
      <c r="G61" s="11"/>
      <c r="L61" s="8"/>
      <c r="V61" s="11"/>
    </row>
    <row r="62" spans="1:22">
      <c r="B62" s="8"/>
      <c r="G62" s="11"/>
      <c r="L62" s="122" t="s">
        <v>80</v>
      </c>
      <c r="M62" s="123"/>
      <c r="N62" s="123"/>
      <c r="O62" s="123"/>
      <c r="P62" s="123"/>
      <c r="Q62" s="123"/>
      <c r="R62" s="123"/>
      <c r="S62" s="123"/>
      <c r="T62" s="123"/>
      <c r="U62" s="123"/>
      <c r="V62" s="124"/>
    </row>
    <row r="63" spans="1:22">
      <c r="B63" s="8"/>
      <c r="G63" s="11"/>
      <c r="L63" s="125"/>
      <c r="M63" s="123"/>
      <c r="N63" s="123"/>
      <c r="O63" s="123"/>
      <c r="P63" s="123"/>
      <c r="Q63" s="123"/>
      <c r="R63" s="123"/>
      <c r="S63" s="123"/>
      <c r="T63" s="123"/>
      <c r="U63" s="123"/>
      <c r="V63" s="124"/>
    </row>
    <row r="64" spans="1:22">
      <c r="B64" s="10"/>
      <c r="C64" s="7"/>
      <c r="D64" s="7"/>
      <c r="E64" s="7"/>
      <c r="F64" s="7"/>
      <c r="G64" s="13"/>
      <c r="L64" s="126"/>
      <c r="M64" s="127"/>
      <c r="N64" s="127"/>
      <c r="O64" s="127"/>
      <c r="P64" s="127"/>
      <c r="Q64" s="127"/>
      <c r="R64" s="127"/>
      <c r="S64" s="127"/>
      <c r="T64" s="127"/>
      <c r="U64" s="127"/>
      <c r="V64" s="128"/>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pageSetUpPr fitToPage="1"/>
  </sheetPr>
  <dimension ref="A1:V64"/>
  <sheetViews>
    <sheetView zoomScale="75" workbookViewId="0">
      <selection sqref="A1:XFD1048576"/>
    </sheetView>
  </sheetViews>
  <sheetFormatPr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129" t="s">
        <v>111</v>
      </c>
      <c r="B1" s="123"/>
      <c r="C1" s="123"/>
      <c r="D1" s="123"/>
      <c r="E1" s="123"/>
      <c r="F1" s="123"/>
      <c r="G1" s="123"/>
    </row>
    <row r="3" spans="1:22">
      <c r="B3" s="130" t="s">
        <v>1</v>
      </c>
      <c r="C3" s="131"/>
      <c r="D3" s="131"/>
      <c r="E3" s="131"/>
      <c r="F3" s="131"/>
      <c r="G3" s="132"/>
      <c r="L3" s="133" t="s">
        <v>2</v>
      </c>
      <c r="M3" s="134"/>
      <c r="N3" s="134"/>
      <c r="O3" s="134"/>
      <c r="P3" s="134"/>
      <c r="Q3" s="134"/>
      <c r="R3" s="134"/>
      <c r="S3" s="134"/>
      <c r="T3" s="134"/>
      <c r="U3" s="134"/>
      <c r="V3" s="135"/>
    </row>
    <row r="4" spans="1:22">
      <c r="B4" s="8"/>
      <c r="G4" s="11"/>
      <c r="L4" s="136" t="s">
        <v>3</v>
      </c>
      <c r="M4" s="137"/>
      <c r="N4" s="4"/>
      <c r="O4" s="138" t="s">
        <v>4</v>
      </c>
      <c r="P4" s="137"/>
      <c r="Q4" s="4"/>
      <c r="R4" s="138" t="s">
        <v>5</v>
      </c>
      <c r="S4" s="137"/>
      <c r="T4" s="4"/>
      <c r="U4" s="138" t="s">
        <v>6</v>
      </c>
      <c r="V4" s="139"/>
    </row>
    <row r="5" spans="1:22" ht="60" customHeight="1">
      <c r="B5" s="9" t="s">
        <v>3</v>
      </c>
      <c r="C5" s="5" t="s">
        <v>4</v>
      </c>
      <c r="D5" s="5" t="s">
        <v>5</v>
      </c>
      <c r="E5" s="5" t="s">
        <v>6</v>
      </c>
      <c r="F5" s="5" t="s">
        <v>7</v>
      </c>
      <c r="G5" s="12" t="s">
        <v>8</v>
      </c>
      <c r="L5" s="15" t="s">
        <v>9</v>
      </c>
      <c r="M5" s="14" t="s">
        <v>10</v>
      </c>
      <c r="N5" s="14"/>
      <c r="O5" s="14" t="s">
        <v>9</v>
      </c>
      <c r="P5" s="14" t="s">
        <v>10</v>
      </c>
      <c r="Q5" s="14"/>
      <c r="R5" s="14" t="s">
        <v>9</v>
      </c>
      <c r="S5" s="14" t="s">
        <v>10</v>
      </c>
      <c r="T5" s="14"/>
      <c r="U5" s="14" t="s">
        <v>9</v>
      </c>
      <c r="V5" s="16" t="s">
        <v>10</v>
      </c>
    </row>
    <row r="6" spans="1:22">
      <c r="A6" s="1" t="s">
        <v>11</v>
      </c>
      <c r="B6" s="29">
        <v>0</v>
      </c>
      <c r="C6" s="30">
        <v>0</v>
      </c>
      <c r="D6" s="30">
        <v>0</v>
      </c>
      <c r="E6" s="30">
        <v>0</v>
      </c>
      <c r="F6" s="30">
        <v>0</v>
      </c>
      <c r="G6" s="31">
        <f>SUM(AL_FINANCIAL)</f>
        <v>0</v>
      </c>
      <c r="H6" s="30"/>
      <c r="I6" s="30"/>
      <c r="J6" s="30"/>
      <c r="K6" s="30"/>
      <c r="L6" s="29"/>
      <c r="M6" s="30"/>
      <c r="N6" s="30"/>
      <c r="O6" s="30"/>
      <c r="P6" s="30"/>
      <c r="Q6" s="30"/>
      <c r="R6" s="30"/>
      <c r="S6" s="30"/>
      <c r="T6" s="30"/>
      <c r="U6" s="30"/>
      <c r="V6" s="31"/>
    </row>
    <row r="7" spans="1:22">
      <c r="A7" s="1" t="s">
        <v>12</v>
      </c>
      <c r="B7" s="29">
        <v>0</v>
      </c>
      <c r="C7" s="30">
        <v>0</v>
      </c>
      <c r="D7" s="30">
        <v>0</v>
      </c>
      <c r="E7" s="30">
        <v>0</v>
      </c>
      <c r="F7" s="30">
        <v>0</v>
      </c>
      <c r="G7" s="31">
        <f>SUM(AK_FINANCIAL)</f>
        <v>0</v>
      </c>
      <c r="H7" s="30"/>
      <c r="I7" s="32"/>
      <c r="J7" s="33"/>
      <c r="K7" s="30"/>
      <c r="L7" s="29"/>
      <c r="M7" s="30"/>
      <c r="N7" s="30"/>
      <c r="O7" s="30"/>
      <c r="P7" s="30"/>
      <c r="Q7" s="30"/>
      <c r="R7" s="30"/>
      <c r="S7" s="30"/>
      <c r="T7" s="30"/>
      <c r="U7" s="30"/>
      <c r="V7" s="31"/>
    </row>
    <row r="8" spans="1:22">
      <c r="A8" s="1" t="s">
        <v>13</v>
      </c>
      <c r="B8" s="29">
        <v>0</v>
      </c>
      <c r="C8" s="30">
        <v>0</v>
      </c>
      <c r="D8" s="30">
        <v>0</v>
      </c>
      <c r="E8" s="30">
        <v>0</v>
      </c>
      <c r="F8" s="30">
        <v>0</v>
      </c>
      <c r="G8" s="31">
        <f>SUM(AZ_FINANCIAL)</f>
        <v>0</v>
      </c>
      <c r="H8" s="30"/>
      <c r="I8" s="34" t="s">
        <v>14</v>
      </c>
      <c r="J8" s="35"/>
      <c r="K8" s="30"/>
      <c r="L8" s="29"/>
      <c r="M8" s="30"/>
      <c r="N8" s="30"/>
      <c r="O8" s="30"/>
      <c r="P8" s="30"/>
      <c r="Q8" s="30"/>
      <c r="R8" s="30"/>
      <c r="S8" s="30"/>
      <c r="T8" s="30"/>
      <c r="U8" s="30"/>
      <c r="V8" s="31"/>
    </row>
    <row r="9" spans="1:22">
      <c r="A9" s="1" t="s">
        <v>15</v>
      </c>
      <c r="B9" s="29">
        <v>0</v>
      </c>
      <c r="C9" s="30">
        <v>0</v>
      </c>
      <c r="D9" s="30">
        <v>0</v>
      </c>
      <c r="E9" s="30">
        <v>0</v>
      </c>
      <c r="F9" s="30">
        <v>0</v>
      </c>
      <c r="G9" s="31">
        <f>SUM(AR_FINANCIAL)</f>
        <v>0</v>
      </c>
      <c r="H9" s="30"/>
      <c r="I9" s="34"/>
      <c r="J9" s="35"/>
      <c r="K9" s="30"/>
      <c r="L9" s="29"/>
      <c r="M9" s="30"/>
      <c r="N9" s="30"/>
      <c r="O9" s="30"/>
      <c r="P9" s="30"/>
      <c r="Q9" s="30"/>
      <c r="R9" s="30"/>
      <c r="S9" s="30"/>
      <c r="T9" s="30"/>
      <c r="U9" s="30"/>
      <c r="V9" s="31"/>
    </row>
    <row r="10" spans="1:22">
      <c r="A10" s="1" t="s">
        <v>16</v>
      </c>
      <c r="B10" s="29">
        <v>0</v>
      </c>
      <c r="C10" s="30">
        <v>0</v>
      </c>
      <c r="D10" s="30">
        <v>0</v>
      </c>
      <c r="E10" s="30">
        <v>0</v>
      </c>
      <c r="F10" s="30">
        <v>0</v>
      </c>
      <c r="G10" s="31">
        <f>SUM(CA_FINANCIAL)</f>
        <v>0</v>
      </c>
      <c r="H10" s="30"/>
      <c r="I10" s="34" t="s">
        <v>17</v>
      </c>
      <c r="J10" s="35">
        <v>26260815</v>
      </c>
      <c r="K10" s="30"/>
      <c r="L10" s="29"/>
      <c r="M10" s="30"/>
      <c r="N10" s="30"/>
      <c r="O10" s="30"/>
      <c r="P10" s="30"/>
      <c r="Q10" s="30"/>
      <c r="R10" s="30"/>
      <c r="S10" s="30"/>
      <c r="T10" s="30"/>
      <c r="U10" s="30"/>
      <c r="V10" s="31"/>
    </row>
    <row r="11" spans="1:22">
      <c r="A11" s="1" t="s">
        <v>18</v>
      </c>
      <c r="B11" s="29">
        <v>0</v>
      </c>
      <c r="C11" s="30">
        <v>0</v>
      </c>
      <c r="D11" s="30">
        <v>0</v>
      </c>
      <c r="E11" s="30">
        <v>0</v>
      </c>
      <c r="F11" s="30">
        <v>0</v>
      </c>
      <c r="G11" s="31">
        <f>SUM(CO_FINANCIAL)</f>
        <v>0</v>
      </c>
      <c r="H11" s="30"/>
      <c r="I11" s="34"/>
      <c r="J11" s="35"/>
      <c r="K11" s="30"/>
      <c r="L11" s="29"/>
      <c r="M11" s="30"/>
      <c r="N11" s="30"/>
      <c r="O11" s="30"/>
      <c r="P11" s="30"/>
      <c r="Q11" s="30"/>
      <c r="R11" s="30"/>
      <c r="S11" s="30"/>
      <c r="T11" s="30"/>
      <c r="U11" s="30"/>
      <c r="V11" s="31"/>
    </row>
    <row r="12" spans="1:22">
      <c r="A12" s="1" t="s">
        <v>19</v>
      </c>
      <c r="B12" s="29">
        <v>0</v>
      </c>
      <c r="C12" s="30">
        <v>0</v>
      </c>
      <c r="D12" s="30">
        <v>0</v>
      </c>
      <c r="E12" s="30">
        <v>0</v>
      </c>
      <c r="F12" s="30">
        <v>0</v>
      </c>
      <c r="G12" s="31">
        <f>SUM(CT_FINANCIAL)</f>
        <v>0</v>
      </c>
      <c r="H12" s="30"/>
      <c r="I12" s="34" t="s">
        <v>20</v>
      </c>
      <c r="J12" s="35"/>
      <c r="K12" s="30"/>
      <c r="L12" s="29"/>
      <c r="M12" s="30"/>
      <c r="N12" s="30"/>
      <c r="O12" s="30"/>
      <c r="P12" s="30"/>
      <c r="Q12" s="30"/>
      <c r="R12" s="30"/>
      <c r="S12" s="30"/>
      <c r="T12" s="30"/>
      <c r="U12" s="30"/>
      <c r="V12" s="31"/>
    </row>
    <row r="13" spans="1:22">
      <c r="A13" s="1" t="s">
        <v>21</v>
      </c>
      <c r="B13" s="29">
        <v>0</v>
      </c>
      <c r="C13" s="30">
        <v>0</v>
      </c>
      <c r="D13" s="30">
        <v>0</v>
      </c>
      <c r="E13" s="30">
        <v>0</v>
      </c>
      <c r="F13" s="30">
        <v>0</v>
      </c>
      <c r="G13" s="31">
        <f>SUM(DE_FINANCIAL)</f>
        <v>0</v>
      </c>
      <c r="H13" s="30"/>
      <c r="I13" s="34" t="s">
        <v>22</v>
      </c>
      <c r="J13" s="35">
        <v>0</v>
      </c>
      <c r="K13" s="30"/>
      <c r="L13" s="29"/>
      <c r="M13" s="30"/>
      <c r="N13" s="30"/>
      <c r="O13" s="30"/>
      <c r="P13" s="30"/>
      <c r="Q13" s="30"/>
      <c r="R13" s="30"/>
      <c r="S13" s="30"/>
      <c r="T13" s="30"/>
      <c r="U13" s="30"/>
      <c r="V13" s="31"/>
    </row>
    <row r="14" spans="1:22">
      <c r="A14" s="1" t="s">
        <v>23</v>
      </c>
      <c r="B14" s="29">
        <v>0</v>
      </c>
      <c r="C14" s="30">
        <v>0</v>
      </c>
      <c r="D14" s="30">
        <v>0</v>
      </c>
      <c r="E14" s="30">
        <v>0</v>
      </c>
      <c r="F14" s="30">
        <v>0</v>
      </c>
      <c r="G14" s="31">
        <f>SUM(DC_FINANCIAL)</f>
        <v>0</v>
      </c>
      <c r="H14" s="30"/>
      <c r="I14" s="34" t="s">
        <v>24</v>
      </c>
      <c r="J14" s="35">
        <v>388973</v>
      </c>
      <c r="K14" s="30"/>
      <c r="L14" s="29"/>
      <c r="M14" s="30"/>
      <c r="N14" s="30"/>
      <c r="O14" s="30"/>
      <c r="P14" s="30"/>
      <c r="Q14" s="30"/>
      <c r="R14" s="30"/>
      <c r="S14" s="30"/>
      <c r="T14" s="30"/>
      <c r="U14" s="30"/>
      <c r="V14" s="31"/>
    </row>
    <row r="15" spans="1:22">
      <c r="A15" s="1" t="s">
        <v>25</v>
      </c>
      <c r="B15" s="29">
        <v>0</v>
      </c>
      <c r="C15" s="30">
        <v>0</v>
      </c>
      <c r="D15" s="30">
        <v>0</v>
      </c>
      <c r="E15" s="30">
        <v>0</v>
      </c>
      <c r="F15" s="30">
        <v>0</v>
      </c>
      <c r="G15" s="31">
        <f>SUM(FL_FINANCIAL)</f>
        <v>0</v>
      </c>
      <c r="H15" s="30"/>
      <c r="I15" s="34" t="s">
        <v>26</v>
      </c>
      <c r="J15" s="35">
        <v>819493.75902153191</v>
      </c>
      <c r="K15" s="30"/>
      <c r="L15" s="29"/>
      <c r="M15" s="30"/>
      <c r="N15" s="30"/>
      <c r="O15" s="30"/>
      <c r="P15" s="30"/>
      <c r="Q15" s="30"/>
      <c r="R15" s="30"/>
      <c r="S15" s="30"/>
      <c r="T15" s="30"/>
      <c r="U15" s="30"/>
      <c r="V15" s="31"/>
    </row>
    <row r="16" spans="1:22">
      <c r="A16" s="1" t="s">
        <v>27</v>
      </c>
      <c r="B16" s="29">
        <v>0</v>
      </c>
      <c r="C16" s="30">
        <v>0</v>
      </c>
      <c r="D16" s="30">
        <v>0</v>
      </c>
      <c r="E16" s="30">
        <v>0</v>
      </c>
      <c r="F16" s="30">
        <v>0</v>
      </c>
      <c r="G16" s="31">
        <f>SUM(GA_FINANCIAL)</f>
        <v>0</v>
      </c>
      <c r="H16" s="30"/>
      <c r="I16" s="34" t="s">
        <v>28</v>
      </c>
      <c r="J16" s="35">
        <v>0</v>
      </c>
      <c r="K16" s="30"/>
      <c r="L16" s="29"/>
      <c r="M16" s="30"/>
      <c r="N16" s="30"/>
      <c r="O16" s="30"/>
      <c r="P16" s="30"/>
      <c r="Q16" s="30"/>
      <c r="R16" s="30"/>
      <c r="S16" s="30"/>
      <c r="T16" s="30"/>
      <c r="U16" s="30"/>
      <c r="V16" s="31"/>
    </row>
    <row r="17" spans="1:22">
      <c r="A17" s="1" t="s">
        <v>29</v>
      </c>
      <c r="B17" s="29">
        <v>0</v>
      </c>
      <c r="C17" s="30">
        <v>0</v>
      </c>
      <c r="D17" s="30">
        <v>0</v>
      </c>
      <c r="E17" s="30">
        <v>0</v>
      </c>
      <c r="F17" s="30">
        <v>0</v>
      </c>
      <c r="G17" s="31">
        <f>SUM(HI_FINANCIAL)</f>
        <v>0</v>
      </c>
      <c r="H17" s="30"/>
      <c r="I17" s="34"/>
      <c r="J17" s="35"/>
      <c r="K17" s="30"/>
      <c r="L17" s="29"/>
      <c r="M17" s="30"/>
      <c r="N17" s="30"/>
      <c r="O17" s="30"/>
      <c r="P17" s="30"/>
      <c r="Q17" s="30"/>
      <c r="R17" s="30"/>
      <c r="S17" s="30"/>
      <c r="T17" s="30"/>
      <c r="U17" s="30"/>
      <c r="V17" s="31"/>
    </row>
    <row r="18" spans="1:22">
      <c r="A18" s="1" t="s">
        <v>30</v>
      </c>
      <c r="B18" s="29">
        <v>0</v>
      </c>
      <c r="C18" s="30">
        <v>0</v>
      </c>
      <c r="D18" s="30">
        <v>0</v>
      </c>
      <c r="E18" s="30">
        <v>0</v>
      </c>
      <c r="F18" s="30">
        <v>0</v>
      </c>
      <c r="G18" s="31">
        <f>SUM(ID_FINANCIAL)</f>
        <v>0</v>
      </c>
      <c r="H18" s="30"/>
      <c r="I18" s="34" t="s">
        <v>31</v>
      </c>
      <c r="J18" s="35"/>
      <c r="K18" s="30"/>
      <c r="L18" s="29"/>
      <c r="M18" s="30"/>
      <c r="N18" s="30"/>
      <c r="O18" s="30"/>
      <c r="P18" s="30"/>
      <c r="Q18" s="30"/>
      <c r="R18" s="30"/>
      <c r="S18" s="30"/>
      <c r="T18" s="30"/>
      <c r="U18" s="30"/>
      <c r="V18" s="31"/>
    </row>
    <row r="19" spans="1:22">
      <c r="A19" s="1" t="s">
        <v>32</v>
      </c>
      <c r="B19" s="29">
        <v>0</v>
      </c>
      <c r="C19" s="30">
        <v>0</v>
      </c>
      <c r="D19" s="30">
        <v>0</v>
      </c>
      <c r="E19" s="30">
        <v>0</v>
      </c>
      <c r="F19" s="30">
        <v>0</v>
      </c>
      <c r="G19" s="31">
        <f>SUM(IL_FINANCIAL)</f>
        <v>0</v>
      </c>
      <c r="H19" s="30"/>
      <c r="I19" s="34" t="s">
        <v>33</v>
      </c>
      <c r="J19" s="35">
        <v>0</v>
      </c>
      <c r="K19" s="30"/>
      <c r="L19" s="29"/>
      <c r="M19" s="30"/>
      <c r="N19" s="30"/>
      <c r="O19" s="30"/>
      <c r="P19" s="30"/>
      <c r="Q19" s="30"/>
      <c r="R19" s="30"/>
      <c r="S19" s="30"/>
      <c r="T19" s="30"/>
      <c r="U19" s="30"/>
      <c r="V19" s="31"/>
    </row>
    <row r="20" spans="1:22">
      <c r="A20" s="1" t="s">
        <v>34</v>
      </c>
      <c r="B20" s="29">
        <v>0</v>
      </c>
      <c r="C20" s="30">
        <v>0</v>
      </c>
      <c r="D20" s="30">
        <v>0</v>
      </c>
      <c r="E20" s="30">
        <v>0</v>
      </c>
      <c r="F20" s="30">
        <v>0</v>
      </c>
      <c r="G20" s="31">
        <f>SUM(IN_FINANCIAL)</f>
        <v>0</v>
      </c>
      <c r="H20" s="30"/>
      <c r="I20" s="34" t="s">
        <v>35</v>
      </c>
      <c r="J20" s="35">
        <v>-605559</v>
      </c>
      <c r="K20" s="30"/>
      <c r="L20" s="29"/>
      <c r="M20" s="30"/>
      <c r="N20" s="30"/>
      <c r="O20" s="30"/>
      <c r="P20" s="30"/>
      <c r="Q20" s="30"/>
      <c r="R20" s="30"/>
      <c r="S20" s="30"/>
      <c r="T20" s="30"/>
      <c r="U20" s="30"/>
      <c r="V20" s="31"/>
    </row>
    <row r="21" spans="1:22">
      <c r="A21" s="1" t="s">
        <v>36</v>
      </c>
      <c r="B21" s="29">
        <v>0</v>
      </c>
      <c r="C21" s="30">
        <v>0</v>
      </c>
      <c r="D21" s="30">
        <v>0</v>
      </c>
      <c r="E21" s="30">
        <v>0</v>
      </c>
      <c r="F21" s="30">
        <v>0</v>
      </c>
      <c r="G21" s="31">
        <f>SUM(IA_FINANCIAL)</f>
        <v>0</v>
      </c>
      <c r="H21" s="30"/>
      <c r="I21" s="34" t="s">
        <v>37</v>
      </c>
      <c r="J21" s="35"/>
      <c r="K21" s="30"/>
      <c r="L21" s="29"/>
      <c r="M21" s="30"/>
      <c r="N21" s="30"/>
      <c r="O21" s="30"/>
      <c r="P21" s="30"/>
      <c r="Q21" s="30"/>
      <c r="R21" s="30"/>
      <c r="S21" s="30"/>
      <c r="T21" s="30"/>
      <c r="U21" s="30"/>
      <c r="V21" s="31"/>
    </row>
    <row r="22" spans="1:22">
      <c r="A22" s="1" t="s">
        <v>38</v>
      </c>
      <c r="B22" s="29">
        <v>0</v>
      </c>
      <c r="C22" s="30">
        <v>0</v>
      </c>
      <c r="D22" s="30">
        <v>0</v>
      </c>
      <c r="E22" s="30">
        <v>0</v>
      </c>
      <c r="F22" s="30">
        <v>0</v>
      </c>
      <c r="G22" s="31">
        <f>SUM(KS_FINANCIAL)</f>
        <v>0</v>
      </c>
      <c r="H22" s="30"/>
      <c r="I22" s="34" t="s">
        <v>39</v>
      </c>
      <c r="J22" s="35">
        <v>3081877</v>
      </c>
      <c r="K22" s="30"/>
      <c r="L22" s="29"/>
      <c r="M22" s="30"/>
      <c r="N22" s="30"/>
      <c r="O22" s="30"/>
      <c r="P22" s="30"/>
      <c r="Q22" s="30"/>
      <c r="R22" s="30"/>
      <c r="S22" s="30"/>
      <c r="T22" s="30"/>
      <c r="U22" s="30"/>
      <c r="V22" s="31"/>
    </row>
    <row r="23" spans="1:22">
      <c r="A23" s="1" t="s">
        <v>40</v>
      </c>
      <c r="B23" s="29">
        <v>0</v>
      </c>
      <c r="C23" s="30">
        <v>0</v>
      </c>
      <c r="D23" s="30">
        <v>0</v>
      </c>
      <c r="E23" s="30">
        <v>0</v>
      </c>
      <c r="F23" s="30">
        <v>0</v>
      </c>
      <c r="G23" s="31">
        <f>SUM(KY_FINANCIAL)</f>
        <v>0</v>
      </c>
      <c r="H23" s="30"/>
      <c r="I23" s="34" t="s">
        <v>41</v>
      </c>
      <c r="J23" s="35"/>
      <c r="K23" s="30"/>
      <c r="L23" s="29"/>
      <c r="M23" s="30"/>
      <c r="N23" s="30"/>
      <c r="O23" s="30"/>
      <c r="P23" s="30"/>
      <c r="Q23" s="30"/>
      <c r="R23" s="30"/>
      <c r="S23" s="30"/>
      <c r="T23" s="30"/>
      <c r="U23" s="30"/>
      <c r="V23" s="31"/>
    </row>
    <row r="24" spans="1:22">
      <c r="A24" s="1" t="s">
        <v>42</v>
      </c>
      <c r="B24" s="29">
        <v>0</v>
      </c>
      <c r="C24" s="30">
        <v>0</v>
      </c>
      <c r="D24" s="30">
        <v>0</v>
      </c>
      <c r="E24" s="30">
        <v>0</v>
      </c>
      <c r="F24" s="30">
        <v>0</v>
      </c>
      <c r="G24" s="31">
        <f>SUM(LA_FINANCIAL)</f>
        <v>0</v>
      </c>
      <c r="H24" s="30"/>
      <c r="I24" s="34" t="s">
        <v>43</v>
      </c>
      <c r="J24" s="35">
        <v>5222500</v>
      </c>
      <c r="K24" s="30"/>
      <c r="L24" s="29"/>
      <c r="M24" s="30"/>
      <c r="N24" s="30"/>
      <c r="O24" s="30"/>
      <c r="P24" s="30"/>
      <c r="Q24" s="30"/>
      <c r="R24" s="30"/>
      <c r="S24" s="30"/>
      <c r="T24" s="30"/>
      <c r="U24" s="30"/>
      <c r="V24" s="31"/>
    </row>
    <row r="25" spans="1:22">
      <c r="A25" s="1" t="s">
        <v>44</v>
      </c>
      <c r="B25" s="29">
        <v>0</v>
      </c>
      <c r="C25" s="30">
        <v>0</v>
      </c>
      <c r="D25" s="30">
        <v>0</v>
      </c>
      <c r="E25" s="30">
        <v>0</v>
      </c>
      <c r="F25" s="30">
        <v>0</v>
      </c>
      <c r="G25" s="31">
        <f>SUM(ME_FINANCIAL)</f>
        <v>0</v>
      </c>
      <c r="H25" s="30"/>
      <c r="I25" s="34"/>
      <c r="J25" s="35"/>
      <c r="K25" s="30"/>
      <c r="L25" s="29"/>
      <c r="M25" s="30"/>
      <c r="N25" s="30"/>
      <c r="O25" s="30"/>
      <c r="P25" s="30"/>
      <c r="Q25" s="30"/>
      <c r="R25" s="30"/>
      <c r="S25" s="30"/>
      <c r="T25" s="30"/>
      <c r="U25" s="30"/>
      <c r="V25" s="31"/>
    </row>
    <row r="26" spans="1:22">
      <c r="A26" s="1" t="s">
        <v>45</v>
      </c>
      <c r="B26" s="29">
        <v>0</v>
      </c>
      <c r="C26" s="30">
        <v>0</v>
      </c>
      <c r="D26" s="30">
        <v>0</v>
      </c>
      <c r="E26" s="30">
        <v>0</v>
      </c>
      <c r="F26" s="30">
        <v>0</v>
      </c>
      <c r="G26" s="31">
        <f>SUM(MD_FINANCIAL)</f>
        <v>0</v>
      </c>
      <c r="H26" s="30"/>
      <c r="I26" s="34" t="s">
        <v>46</v>
      </c>
      <c r="J26" s="35">
        <f>SUM(ADD_FINANCIAL)-SUM(LESS_FINANCIAL)</f>
        <v>19770463.759021532</v>
      </c>
      <c r="K26" s="30"/>
      <c r="L26" s="29"/>
      <c r="M26" s="30"/>
      <c r="N26" s="30"/>
      <c r="O26" s="30"/>
      <c r="P26" s="30"/>
      <c r="Q26" s="30"/>
      <c r="R26" s="30"/>
      <c r="S26" s="30"/>
      <c r="T26" s="30"/>
      <c r="U26" s="30"/>
      <c r="V26" s="31"/>
    </row>
    <row r="27" spans="1:22">
      <c r="A27" s="1" t="s">
        <v>47</v>
      </c>
      <c r="B27" s="29">
        <v>0</v>
      </c>
      <c r="C27" s="30">
        <v>0</v>
      </c>
      <c r="D27" s="30">
        <v>0</v>
      </c>
      <c r="E27" s="30">
        <v>0</v>
      </c>
      <c r="F27" s="30">
        <v>0</v>
      </c>
      <c r="G27" s="31">
        <f>SUM(MA_FINANCIAL)</f>
        <v>0</v>
      </c>
      <c r="H27" s="30"/>
      <c r="I27" s="34" t="s">
        <v>48</v>
      </c>
      <c r="J27" s="35">
        <f>SUM(ALL_BLOCKS)</f>
        <v>19770463.759021532</v>
      </c>
      <c r="K27" s="30"/>
      <c r="L27" s="29"/>
      <c r="M27" s="30"/>
      <c r="N27" s="30"/>
      <c r="O27" s="30"/>
      <c r="P27" s="30"/>
      <c r="Q27" s="30"/>
      <c r="R27" s="30"/>
      <c r="S27" s="30"/>
      <c r="T27" s="30"/>
      <c r="U27" s="30"/>
      <c r="V27" s="31"/>
    </row>
    <row r="28" spans="1:22">
      <c r="A28" s="1" t="s">
        <v>49</v>
      </c>
      <c r="B28" s="29">
        <v>0</v>
      </c>
      <c r="C28" s="30">
        <v>0</v>
      </c>
      <c r="D28" s="30">
        <v>0</v>
      </c>
      <c r="E28" s="30">
        <v>0</v>
      </c>
      <c r="F28" s="30">
        <v>0</v>
      </c>
      <c r="G28" s="31">
        <f>SUM(MI_FINANCIAL)</f>
        <v>0</v>
      </c>
      <c r="H28" s="30"/>
      <c r="I28" s="36"/>
      <c r="J28" s="37"/>
      <c r="K28" s="30"/>
      <c r="L28" s="29"/>
      <c r="M28" s="30"/>
      <c r="N28" s="30"/>
      <c r="O28" s="30"/>
      <c r="P28" s="30"/>
      <c r="Q28" s="30"/>
      <c r="R28" s="30"/>
      <c r="S28" s="30"/>
      <c r="T28" s="30"/>
      <c r="U28" s="30"/>
      <c r="V28" s="31"/>
    </row>
    <row r="29" spans="1:22">
      <c r="A29" s="1" t="s">
        <v>50</v>
      </c>
      <c r="B29" s="29">
        <v>0</v>
      </c>
      <c r="C29" s="30">
        <v>0</v>
      </c>
      <c r="D29" s="30">
        <v>0</v>
      </c>
      <c r="E29" s="30">
        <v>0</v>
      </c>
      <c r="F29" s="30">
        <v>0</v>
      </c>
      <c r="G29" s="31">
        <f>SUM(MN_FINANCIAL)</f>
        <v>0</v>
      </c>
      <c r="H29" s="30"/>
      <c r="I29" s="30"/>
      <c r="J29" s="30"/>
      <c r="K29" s="30"/>
      <c r="L29" s="29"/>
      <c r="M29" s="30"/>
      <c r="N29" s="30"/>
      <c r="O29" s="30"/>
      <c r="P29" s="30"/>
      <c r="Q29" s="30"/>
      <c r="R29" s="30"/>
      <c r="S29" s="30"/>
      <c r="T29" s="30"/>
      <c r="U29" s="30"/>
      <c r="V29" s="31"/>
    </row>
    <row r="30" spans="1:22">
      <c r="A30" s="1" t="s">
        <v>51</v>
      </c>
      <c r="B30" s="29">
        <v>19770463.759021532</v>
      </c>
      <c r="C30" s="30">
        <v>0</v>
      </c>
      <c r="D30" s="30">
        <v>0</v>
      </c>
      <c r="E30" s="30">
        <v>0</v>
      </c>
      <c r="F30" s="30">
        <v>0</v>
      </c>
      <c r="G30" s="31">
        <f>SUM(MS_FINANCIAL)</f>
        <v>19770463.759021532</v>
      </c>
      <c r="H30" s="30"/>
      <c r="I30" s="30"/>
      <c r="J30" s="30"/>
      <c r="K30" s="30"/>
      <c r="L30" s="29">
        <v>13800320</v>
      </c>
      <c r="M30" s="30">
        <v>0</v>
      </c>
      <c r="N30" s="30"/>
      <c r="O30" s="30">
        <v>4950590</v>
      </c>
      <c r="P30" s="30">
        <v>0</v>
      </c>
      <c r="Q30" s="30"/>
      <c r="R30" s="30">
        <v>0</v>
      </c>
      <c r="S30" s="30">
        <v>0</v>
      </c>
      <c r="T30" s="30"/>
      <c r="U30" s="30">
        <v>1518800</v>
      </c>
      <c r="V30" s="31">
        <v>0</v>
      </c>
    </row>
    <row r="31" spans="1:22">
      <c r="A31" s="1" t="s">
        <v>52</v>
      </c>
      <c r="B31" s="29">
        <v>0</v>
      </c>
      <c r="C31" s="30">
        <v>0</v>
      </c>
      <c r="D31" s="30">
        <v>0</v>
      </c>
      <c r="E31" s="30">
        <v>0</v>
      </c>
      <c r="F31" s="30">
        <v>0</v>
      </c>
      <c r="G31" s="31">
        <f>SUM(MO_FINANCIAL)</f>
        <v>0</v>
      </c>
      <c r="H31" s="30"/>
      <c r="I31" s="30"/>
      <c r="J31" s="30"/>
      <c r="K31" s="30"/>
      <c r="L31" s="29"/>
      <c r="M31" s="30"/>
      <c r="N31" s="30"/>
      <c r="O31" s="30"/>
      <c r="P31" s="30"/>
      <c r="Q31" s="30"/>
      <c r="R31" s="30"/>
      <c r="S31" s="30"/>
      <c r="T31" s="30"/>
      <c r="U31" s="30"/>
      <c r="V31" s="31"/>
    </row>
    <row r="32" spans="1:22">
      <c r="A32" s="1" t="s">
        <v>53</v>
      </c>
      <c r="B32" s="29">
        <v>0</v>
      </c>
      <c r="C32" s="30">
        <v>0</v>
      </c>
      <c r="D32" s="30">
        <v>0</v>
      </c>
      <c r="E32" s="30">
        <v>0</v>
      </c>
      <c r="F32" s="30">
        <v>0</v>
      </c>
      <c r="G32" s="31">
        <f>SUM(MT_FINANCIAL)</f>
        <v>0</v>
      </c>
      <c r="H32" s="30"/>
      <c r="I32" s="30"/>
      <c r="J32" s="30"/>
      <c r="K32" s="30"/>
      <c r="L32" s="29"/>
      <c r="M32" s="30"/>
      <c r="N32" s="30"/>
      <c r="O32" s="30"/>
      <c r="P32" s="30"/>
      <c r="Q32" s="30"/>
      <c r="R32" s="30"/>
      <c r="S32" s="30"/>
      <c r="T32" s="30"/>
      <c r="U32" s="30"/>
      <c r="V32" s="31"/>
    </row>
    <row r="33" spans="1:22">
      <c r="A33" s="1" t="s">
        <v>54</v>
      </c>
      <c r="B33" s="29">
        <v>0</v>
      </c>
      <c r="C33" s="30">
        <v>0</v>
      </c>
      <c r="D33" s="30">
        <v>0</v>
      </c>
      <c r="E33" s="30">
        <v>0</v>
      </c>
      <c r="F33" s="30">
        <v>0</v>
      </c>
      <c r="G33" s="31">
        <f>SUM(NE_FINANCIAL)</f>
        <v>0</v>
      </c>
      <c r="H33" s="30"/>
      <c r="I33" s="30"/>
      <c r="J33" s="30"/>
      <c r="K33" s="30"/>
      <c r="L33" s="29"/>
      <c r="M33" s="30"/>
      <c r="N33" s="30"/>
      <c r="O33" s="30"/>
      <c r="P33" s="30"/>
      <c r="Q33" s="30"/>
      <c r="R33" s="30"/>
      <c r="S33" s="30"/>
      <c r="T33" s="30"/>
      <c r="U33" s="30"/>
      <c r="V33" s="31"/>
    </row>
    <row r="34" spans="1:22">
      <c r="A34" s="1" t="s">
        <v>55</v>
      </c>
      <c r="B34" s="29">
        <v>0</v>
      </c>
      <c r="C34" s="30">
        <v>0</v>
      </c>
      <c r="D34" s="30">
        <v>0</v>
      </c>
      <c r="E34" s="30">
        <v>0</v>
      </c>
      <c r="F34" s="30">
        <v>0</v>
      </c>
      <c r="G34" s="31">
        <f>SUM(NV_FINANCIAL)</f>
        <v>0</v>
      </c>
      <c r="H34" s="30"/>
      <c r="I34" s="30"/>
      <c r="J34" s="30"/>
      <c r="K34" s="30"/>
      <c r="L34" s="29"/>
      <c r="M34" s="30"/>
      <c r="N34" s="30"/>
      <c r="O34" s="30"/>
      <c r="P34" s="30"/>
      <c r="Q34" s="30"/>
      <c r="R34" s="30"/>
      <c r="S34" s="30"/>
      <c r="T34" s="30"/>
      <c r="U34" s="30"/>
      <c r="V34" s="31"/>
    </row>
    <row r="35" spans="1:22">
      <c r="A35" s="1" t="s">
        <v>56</v>
      </c>
      <c r="B35" s="29">
        <v>0</v>
      </c>
      <c r="C35" s="30">
        <v>0</v>
      </c>
      <c r="D35" s="30">
        <v>0</v>
      </c>
      <c r="E35" s="30">
        <v>0</v>
      </c>
      <c r="F35" s="30">
        <v>0</v>
      </c>
      <c r="G35" s="31">
        <f>SUM(NH_FINANCIAL)</f>
        <v>0</v>
      </c>
      <c r="H35" s="30"/>
      <c r="I35" s="30"/>
      <c r="J35" s="30"/>
      <c r="K35" s="30"/>
      <c r="L35" s="29"/>
      <c r="M35" s="30"/>
      <c r="N35" s="30"/>
      <c r="O35" s="30"/>
      <c r="P35" s="30"/>
      <c r="Q35" s="30"/>
      <c r="R35" s="30"/>
      <c r="S35" s="30"/>
      <c r="T35" s="30"/>
      <c r="U35" s="30"/>
      <c r="V35" s="31"/>
    </row>
    <row r="36" spans="1:22">
      <c r="A36" s="1" t="s">
        <v>57</v>
      </c>
      <c r="B36" s="29">
        <v>0</v>
      </c>
      <c r="C36" s="30">
        <v>0</v>
      </c>
      <c r="D36" s="30">
        <v>0</v>
      </c>
      <c r="E36" s="30">
        <v>0</v>
      </c>
      <c r="F36" s="30">
        <v>0</v>
      </c>
      <c r="G36" s="31">
        <f>SUM(NJ_FINANCIAL)</f>
        <v>0</v>
      </c>
      <c r="H36" s="30"/>
      <c r="I36" s="30"/>
      <c r="J36" s="30"/>
      <c r="K36" s="30"/>
      <c r="L36" s="29"/>
      <c r="M36" s="30"/>
      <c r="N36" s="30"/>
      <c r="O36" s="30"/>
      <c r="P36" s="30"/>
      <c r="Q36" s="30"/>
      <c r="R36" s="30"/>
      <c r="S36" s="30"/>
      <c r="T36" s="30"/>
      <c r="U36" s="30"/>
      <c r="V36" s="31"/>
    </row>
    <row r="37" spans="1:22">
      <c r="A37" s="1" t="s">
        <v>58</v>
      </c>
      <c r="B37" s="29">
        <v>0</v>
      </c>
      <c r="C37" s="30">
        <v>0</v>
      </c>
      <c r="D37" s="30">
        <v>0</v>
      </c>
      <c r="E37" s="30">
        <v>0</v>
      </c>
      <c r="F37" s="30">
        <v>0</v>
      </c>
      <c r="G37" s="31">
        <f>SUM(NM_FINANCIAL)</f>
        <v>0</v>
      </c>
      <c r="H37" s="30"/>
      <c r="I37" s="30"/>
      <c r="J37" s="30"/>
      <c r="K37" s="30"/>
      <c r="L37" s="29"/>
      <c r="M37" s="30"/>
      <c r="N37" s="30"/>
      <c r="O37" s="30"/>
      <c r="P37" s="30"/>
      <c r="Q37" s="30"/>
      <c r="R37" s="30"/>
      <c r="S37" s="30"/>
      <c r="T37" s="30"/>
      <c r="U37" s="30"/>
      <c r="V37" s="31"/>
    </row>
    <row r="38" spans="1:22">
      <c r="A38" s="1" t="s">
        <v>59</v>
      </c>
      <c r="B38" s="29">
        <v>0</v>
      </c>
      <c r="C38" s="30">
        <v>0</v>
      </c>
      <c r="D38" s="30">
        <v>0</v>
      </c>
      <c r="E38" s="30">
        <v>0</v>
      </c>
      <c r="F38" s="30">
        <v>0</v>
      </c>
      <c r="G38" s="31">
        <f>SUM(NY_FINANCIAL)</f>
        <v>0</v>
      </c>
      <c r="H38" s="30"/>
      <c r="I38" s="30"/>
      <c r="J38" s="30"/>
      <c r="K38" s="30"/>
      <c r="L38" s="29"/>
      <c r="M38" s="30"/>
      <c r="N38" s="30"/>
      <c r="O38" s="30"/>
      <c r="P38" s="30"/>
      <c r="Q38" s="30"/>
      <c r="R38" s="30"/>
      <c r="S38" s="30"/>
      <c r="T38" s="30"/>
      <c r="U38" s="30"/>
      <c r="V38" s="31"/>
    </row>
    <row r="39" spans="1:22">
      <c r="A39" s="1" t="s">
        <v>60</v>
      </c>
      <c r="B39" s="29">
        <v>0</v>
      </c>
      <c r="C39" s="30">
        <v>0</v>
      </c>
      <c r="D39" s="30">
        <v>0</v>
      </c>
      <c r="E39" s="30">
        <v>0</v>
      </c>
      <c r="F39" s="30">
        <v>0</v>
      </c>
      <c r="G39" s="31">
        <f>SUM(NC_FINANCIAL)</f>
        <v>0</v>
      </c>
      <c r="H39" s="30"/>
      <c r="I39" s="30"/>
      <c r="J39" s="30"/>
      <c r="K39" s="30"/>
      <c r="L39" s="29"/>
      <c r="M39" s="30"/>
      <c r="N39" s="30"/>
      <c r="O39" s="30"/>
      <c r="P39" s="30"/>
      <c r="Q39" s="30"/>
      <c r="R39" s="30"/>
      <c r="S39" s="30"/>
      <c r="T39" s="30"/>
      <c r="U39" s="30"/>
      <c r="V39" s="31"/>
    </row>
    <row r="40" spans="1:22">
      <c r="A40" s="1" t="s">
        <v>61</v>
      </c>
      <c r="B40" s="29">
        <v>0</v>
      </c>
      <c r="C40" s="30">
        <v>0</v>
      </c>
      <c r="D40" s="30">
        <v>0</v>
      </c>
      <c r="E40" s="30">
        <v>0</v>
      </c>
      <c r="F40" s="30">
        <v>0</v>
      </c>
      <c r="G40" s="31">
        <f>SUM(ND_FINANCIAL)</f>
        <v>0</v>
      </c>
      <c r="H40" s="30"/>
      <c r="I40" s="30"/>
      <c r="J40" s="30"/>
      <c r="K40" s="30"/>
      <c r="L40" s="29"/>
      <c r="M40" s="30"/>
      <c r="N40" s="30"/>
      <c r="O40" s="30"/>
      <c r="P40" s="30"/>
      <c r="Q40" s="30"/>
      <c r="R40" s="30"/>
      <c r="S40" s="30"/>
      <c r="T40" s="30"/>
      <c r="U40" s="30"/>
      <c r="V40" s="31"/>
    </row>
    <row r="41" spans="1:22">
      <c r="A41" s="1" t="s">
        <v>62</v>
      </c>
      <c r="B41" s="29">
        <v>0</v>
      </c>
      <c r="C41" s="30">
        <v>0</v>
      </c>
      <c r="D41" s="30">
        <v>0</v>
      </c>
      <c r="E41" s="30">
        <v>0</v>
      </c>
      <c r="F41" s="30">
        <v>0</v>
      </c>
      <c r="G41" s="31">
        <f>SUM(OH_FINANCIAL)</f>
        <v>0</v>
      </c>
      <c r="H41" s="30"/>
      <c r="I41" s="30"/>
      <c r="J41" s="30"/>
      <c r="K41" s="30"/>
      <c r="L41" s="29"/>
      <c r="M41" s="30"/>
      <c r="N41" s="30"/>
      <c r="O41" s="30"/>
      <c r="P41" s="30"/>
      <c r="Q41" s="30"/>
      <c r="R41" s="30"/>
      <c r="S41" s="30"/>
      <c r="T41" s="30"/>
      <c r="U41" s="30"/>
      <c r="V41" s="31"/>
    </row>
    <row r="42" spans="1:22">
      <c r="A42" s="1" t="s">
        <v>63</v>
      </c>
      <c r="B42" s="29">
        <v>0</v>
      </c>
      <c r="C42" s="30">
        <v>0</v>
      </c>
      <c r="D42" s="30">
        <v>0</v>
      </c>
      <c r="E42" s="30">
        <v>0</v>
      </c>
      <c r="F42" s="30">
        <v>0</v>
      </c>
      <c r="G42" s="31">
        <f>SUM(OK_FINANCIAL)</f>
        <v>0</v>
      </c>
      <c r="H42" s="30"/>
      <c r="I42" s="30"/>
      <c r="J42" s="30"/>
      <c r="K42" s="30"/>
      <c r="L42" s="29"/>
      <c r="M42" s="30"/>
      <c r="N42" s="30"/>
      <c r="O42" s="30"/>
      <c r="P42" s="30"/>
      <c r="Q42" s="30"/>
      <c r="R42" s="30"/>
      <c r="S42" s="30"/>
      <c r="T42" s="30"/>
      <c r="U42" s="30"/>
      <c r="V42" s="31"/>
    </row>
    <row r="43" spans="1:22">
      <c r="A43" s="1" t="s">
        <v>64</v>
      </c>
      <c r="B43" s="29">
        <v>0</v>
      </c>
      <c r="C43" s="30">
        <v>0</v>
      </c>
      <c r="D43" s="30">
        <v>0</v>
      </c>
      <c r="E43" s="30">
        <v>0</v>
      </c>
      <c r="F43" s="30">
        <v>0</v>
      </c>
      <c r="G43" s="31">
        <f>SUM(OR_FINANCIAL)</f>
        <v>0</v>
      </c>
      <c r="H43" s="30"/>
      <c r="I43" s="30"/>
      <c r="J43" s="30"/>
      <c r="K43" s="30"/>
      <c r="L43" s="29"/>
      <c r="M43" s="30"/>
      <c r="N43" s="30"/>
      <c r="O43" s="30"/>
      <c r="P43" s="30"/>
      <c r="Q43" s="30"/>
      <c r="R43" s="30"/>
      <c r="S43" s="30"/>
      <c r="T43" s="30"/>
      <c r="U43" s="30"/>
      <c r="V43" s="31"/>
    </row>
    <row r="44" spans="1:22">
      <c r="A44" s="1" t="s">
        <v>65</v>
      </c>
      <c r="B44" s="29">
        <v>0</v>
      </c>
      <c r="C44" s="30">
        <v>0</v>
      </c>
      <c r="D44" s="30">
        <v>0</v>
      </c>
      <c r="E44" s="30">
        <v>0</v>
      </c>
      <c r="F44" s="30">
        <v>0</v>
      </c>
      <c r="G44" s="31">
        <f>SUM(PA_FINANCIAL)</f>
        <v>0</v>
      </c>
      <c r="H44" s="30"/>
      <c r="I44" s="30"/>
      <c r="J44" s="30"/>
      <c r="K44" s="30"/>
      <c r="L44" s="29"/>
      <c r="M44" s="30"/>
      <c r="N44" s="30"/>
      <c r="O44" s="30"/>
      <c r="P44" s="30"/>
      <c r="Q44" s="30"/>
      <c r="R44" s="30"/>
      <c r="S44" s="30"/>
      <c r="T44" s="30"/>
      <c r="U44" s="30"/>
      <c r="V44" s="31"/>
    </row>
    <row r="45" spans="1:22">
      <c r="A45" s="1" t="s">
        <v>66</v>
      </c>
      <c r="B45" s="29">
        <v>0</v>
      </c>
      <c r="C45" s="30">
        <v>0</v>
      </c>
      <c r="D45" s="30">
        <v>0</v>
      </c>
      <c r="E45" s="30">
        <v>0</v>
      </c>
      <c r="F45" s="30">
        <v>0</v>
      </c>
      <c r="G45" s="31">
        <f>SUM(PR_FINANCIAL)</f>
        <v>0</v>
      </c>
      <c r="H45" s="30"/>
      <c r="I45" s="30"/>
      <c r="J45" s="30"/>
      <c r="K45" s="30"/>
      <c r="L45" s="29"/>
      <c r="M45" s="30"/>
      <c r="N45" s="30"/>
      <c r="O45" s="30"/>
      <c r="P45" s="30"/>
      <c r="Q45" s="30"/>
      <c r="R45" s="30"/>
      <c r="S45" s="30"/>
      <c r="T45" s="30"/>
      <c r="U45" s="30"/>
      <c r="V45" s="31"/>
    </row>
    <row r="46" spans="1:22">
      <c r="A46" s="1" t="s">
        <v>67</v>
      </c>
      <c r="B46" s="29">
        <v>0</v>
      </c>
      <c r="C46" s="30">
        <v>0</v>
      </c>
      <c r="D46" s="30">
        <v>0</v>
      </c>
      <c r="E46" s="30">
        <v>0</v>
      </c>
      <c r="F46" s="30">
        <v>0</v>
      </c>
      <c r="G46" s="31">
        <f>SUM(RI_FINANCIAL)</f>
        <v>0</v>
      </c>
      <c r="H46" s="30"/>
      <c r="I46" s="30"/>
      <c r="J46" s="30"/>
      <c r="K46" s="30"/>
      <c r="L46" s="29"/>
      <c r="M46" s="30"/>
      <c r="N46" s="30"/>
      <c r="O46" s="30"/>
      <c r="P46" s="30"/>
      <c r="Q46" s="30"/>
      <c r="R46" s="30"/>
      <c r="S46" s="30"/>
      <c r="T46" s="30"/>
      <c r="U46" s="30"/>
      <c r="V46" s="31"/>
    </row>
    <row r="47" spans="1:22">
      <c r="A47" s="1" t="s">
        <v>68</v>
      </c>
      <c r="B47" s="29">
        <v>0</v>
      </c>
      <c r="C47" s="30">
        <v>0</v>
      </c>
      <c r="D47" s="30">
        <v>0</v>
      </c>
      <c r="E47" s="30">
        <v>0</v>
      </c>
      <c r="F47" s="30">
        <v>0</v>
      </c>
      <c r="G47" s="31">
        <f>SUM(SC_FINANCIAL)</f>
        <v>0</v>
      </c>
      <c r="H47" s="30"/>
      <c r="I47" s="30"/>
      <c r="J47" s="30"/>
      <c r="K47" s="30"/>
      <c r="L47" s="29"/>
      <c r="M47" s="30"/>
      <c r="N47" s="30"/>
      <c r="O47" s="30"/>
      <c r="P47" s="30"/>
      <c r="Q47" s="30"/>
      <c r="R47" s="30"/>
      <c r="S47" s="30"/>
      <c r="T47" s="30"/>
      <c r="U47" s="30"/>
      <c r="V47" s="31"/>
    </row>
    <row r="48" spans="1:22">
      <c r="A48" s="1" t="s">
        <v>69</v>
      </c>
      <c r="B48" s="29">
        <v>0</v>
      </c>
      <c r="C48" s="30">
        <v>0</v>
      </c>
      <c r="D48" s="30">
        <v>0</v>
      </c>
      <c r="E48" s="30">
        <v>0</v>
      </c>
      <c r="F48" s="30">
        <v>0</v>
      </c>
      <c r="G48" s="31">
        <f>SUM(SD_FINANCIAL)</f>
        <v>0</v>
      </c>
      <c r="H48" s="30"/>
      <c r="I48" s="30"/>
      <c r="J48" s="30"/>
      <c r="K48" s="30"/>
      <c r="L48" s="29"/>
      <c r="M48" s="30"/>
      <c r="N48" s="30"/>
      <c r="O48" s="30"/>
      <c r="P48" s="30"/>
      <c r="Q48" s="30"/>
      <c r="R48" s="30"/>
      <c r="S48" s="30"/>
      <c r="T48" s="30"/>
      <c r="U48" s="30"/>
      <c r="V48" s="31"/>
    </row>
    <row r="49" spans="1:22">
      <c r="A49" s="1" t="s">
        <v>70</v>
      </c>
      <c r="B49" s="29">
        <v>0</v>
      </c>
      <c r="C49" s="30">
        <v>0</v>
      </c>
      <c r="D49" s="30">
        <v>0</v>
      </c>
      <c r="E49" s="30">
        <v>0</v>
      </c>
      <c r="F49" s="30">
        <v>0</v>
      </c>
      <c r="G49" s="31">
        <f>SUM(TN_FINANCIAL)</f>
        <v>0</v>
      </c>
      <c r="H49" s="30"/>
      <c r="I49" s="30"/>
      <c r="J49" s="30"/>
      <c r="K49" s="30"/>
      <c r="L49" s="29"/>
      <c r="M49" s="30"/>
      <c r="N49" s="30"/>
      <c r="O49" s="30"/>
      <c r="P49" s="30"/>
      <c r="Q49" s="30"/>
      <c r="R49" s="30"/>
      <c r="S49" s="30"/>
      <c r="T49" s="30"/>
      <c r="U49" s="30"/>
      <c r="V49" s="31"/>
    </row>
    <row r="50" spans="1:22">
      <c r="A50" s="1" t="s">
        <v>71</v>
      </c>
      <c r="B50" s="29">
        <v>0</v>
      </c>
      <c r="C50" s="30">
        <v>0</v>
      </c>
      <c r="D50" s="30">
        <v>0</v>
      </c>
      <c r="E50" s="30">
        <v>0</v>
      </c>
      <c r="F50" s="30">
        <v>0</v>
      </c>
      <c r="G50" s="31">
        <f>SUM(TX_FINANCIAL)</f>
        <v>0</v>
      </c>
      <c r="H50" s="30"/>
      <c r="I50" s="30"/>
      <c r="J50" s="30"/>
      <c r="K50" s="30"/>
      <c r="L50" s="29"/>
      <c r="M50" s="30"/>
      <c r="N50" s="30"/>
      <c r="O50" s="30"/>
      <c r="P50" s="30"/>
      <c r="Q50" s="30"/>
      <c r="R50" s="30"/>
      <c r="S50" s="30"/>
      <c r="T50" s="30"/>
      <c r="U50" s="30"/>
      <c r="V50" s="31"/>
    </row>
    <row r="51" spans="1:22">
      <c r="A51" s="1" t="s">
        <v>72</v>
      </c>
      <c r="B51" s="29">
        <v>0</v>
      </c>
      <c r="C51" s="30">
        <v>0</v>
      </c>
      <c r="D51" s="30">
        <v>0</v>
      </c>
      <c r="E51" s="30">
        <v>0</v>
      </c>
      <c r="F51" s="30">
        <v>0</v>
      </c>
      <c r="G51" s="31">
        <f>SUM(UT_FINANCIAL)</f>
        <v>0</v>
      </c>
      <c r="H51" s="30"/>
      <c r="I51" s="30"/>
      <c r="J51" s="30"/>
      <c r="K51" s="30"/>
      <c r="L51" s="29"/>
      <c r="M51" s="30"/>
      <c r="N51" s="30"/>
      <c r="O51" s="30"/>
      <c r="P51" s="30"/>
      <c r="Q51" s="30"/>
      <c r="R51" s="30"/>
      <c r="S51" s="30"/>
      <c r="T51" s="30"/>
      <c r="U51" s="30"/>
      <c r="V51" s="31"/>
    </row>
    <row r="52" spans="1:22">
      <c r="A52" s="1" t="s">
        <v>73</v>
      </c>
      <c r="B52" s="29">
        <v>0</v>
      </c>
      <c r="C52" s="30">
        <v>0</v>
      </c>
      <c r="D52" s="30">
        <v>0</v>
      </c>
      <c r="E52" s="30">
        <v>0</v>
      </c>
      <c r="F52" s="30">
        <v>0</v>
      </c>
      <c r="G52" s="31">
        <f>SUM(VT_FINANCIAL)</f>
        <v>0</v>
      </c>
      <c r="H52" s="30"/>
      <c r="I52" s="30"/>
      <c r="J52" s="30"/>
      <c r="K52" s="30"/>
      <c r="L52" s="29"/>
      <c r="M52" s="30"/>
      <c r="N52" s="30"/>
      <c r="O52" s="30"/>
      <c r="P52" s="30"/>
      <c r="Q52" s="30"/>
      <c r="R52" s="30"/>
      <c r="S52" s="30"/>
      <c r="T52" s="30"/>
      <c r="U52" s="30"/>
      <c r="V52" s="31"/>
    </row>
    <row r="53" spans="1:22">
      <c r="A53" s="1" t="s">
        <v>74</v>
      </c>
      <c r="B53" s="29">
        <v>0</v>
      </c>
      <c r="C53" s="30">
        <v>0</v>
      </c>
      <c r="D53" s="30">
        <v>0</v>
      </c>
      <c r="E53" s="30">
        <v>0</v>
      </c>
      <c r="F53" s="30">
        <v>0</v>
      </c>
      <c r="G53" s="31">
        <f>SUM(VA_FINANCIAL)</f>
        <v>0</v>
      </c>
      <c r="H53" s="30"/>
      <c r="I53" s="30"/>
      <c r="J53" s="30"/>
      <c r="K53" s="30"/>
      <c r="L53" s="29"/>
      <c r="M53" s="30"/>
      <c r="N53" s="30"/>
      <c r="O53" s="30"/>
      <c r="P53" s="30"/>
      <c r="Q53" s="30"/>
      <c r="R53" s="30"/>
      <c r="S53" s="30"/>
      <c r="T53" s="30"/>
      <c r="U53" s="30"/>
      <c r="V53" s="31"/>
    </row>
    <row r="54" spans="1:22">
      <c r="A54" s="1" t="s">
        <v>75</v>
      </c>
      <c r="B54" s="29">
        <v>0</v>
      </c>
      <c r="C54" s="30">
        <v>0</v>
      </c>
      <c r="D54" s="30">
        <v>0</v>
      </c>
      <c r="E54" s="30">
        <v>0</v>
      </c>
      <c r="F54" s="30">
        <v>0</v>
      </c>
      <c r="G54" s="31">
        <f>SUM(WA_FINANCIAL)</f>
        <v>0</v>
      </c>
      <c r="H54" s="30"/>
      <c r="I54" s="30"/>
      <c r="J54" s="30"/>
      <c r="K54" s="30"/>
      <c r="L54" s="29"/>
      <c r="M54" s="30"/>
      <c r="N54" s="30"/>
      <c r="O54" s="30"/>
      <c r="P54" s="30"/>
      <c r="Q54" s="30"/>
      <c r="R54" s="30"/>
      <c r="S54" s="30"/>
      <c r="T54" s="30"/>
      <c r="U54" s="30"/>
      <c r="V54" s="31"/>
    </row>
    <row r="55" spans="1:22">
      <c r="A55" s="1" t="s">
        <v>76</v>
      </c>
      <c r="B55" s="29">
        <v>0</v>
      </c>
      <c r="C55" s="30">
        <v>0</v>
      </c>
      <c r="D55" s="30">
        <v>0</v>
      </c>
      <c r="E55" s="30">
        <v>0</v>
      </c>
      <c r="F55" s="30">
        <v>0</v>
      </c>
      <c r="G55" s="31">
        <f>SUM(WV_FINANCIAL)</f>
        <v>0</v>
      </c>
      <c r="H55" s="30"/>
      <c r="I55" s="30"/>
      <c r="J55" s="30"/>
      <c r="K55" s="30"/>
      <c r="L55" s="29"/>
      <c r="M55" s="30"/>
      <c r="N55" s="30"/>
      <c r="O55" s="30"/>
      <c r="P55" s="30"/>
      <c r="Q55" s="30"/>
      <c r="R55" s="30"/>
      <c r="S55" s="30"/>
      <c r="T55" s="30"/>
      <c r="U55" s="30"/>
      <c r="V55" s="31"/>
    </row>
    <row r="56" spans="1:22">
      <c r="A56" s="1" t="s">
        <v>77</v>
      </c>
      <c r="B56" s="29">
        <v>0</v>
      </c>
      <c r="C56" s="30">
        <v>0</v>
      </c>
      <c r="D56" s="30">
        <v>0</v>
      </c>
      <c r="E56" s="30">
        <v>0</v>
      </c>
      <c r="F56" s="30">
        <v>0</v>
      </c>
      <c r="G56" s="31">
        <f>SUM(WI_FINANCIAL)</f>
        <v>0</v>
      </c>
      <c r="H56" s="30"/>
      <c r="I56" s="30"/>
      <c r="J56" s="30"/>
      <c r="K56" s="30"/>
      <c r="L56" s="29"/>
      <c r="M56" s="30"/>
      <c r="N56" s="30"/>
      <c r="O56" s="30"/>
      <c r="P56" s="30"/>
      <c r="Q56" s="30"/>
      <c r="R56" s="30"/>
      <c r="S56" s="30"/>
      <c r="T56" s="30"/>
      <c r="U56" s="30"/>
      <c r="V56" s="31"/>
    </row>
    <row r="57" spans="1:22">
      <c r="A57" s="1" t="s">
        <v>78</v>
      </c>
      <c r="B57" s="29">
        <v>0</v>
      </c>
      <c r="C57" s="30">
        <v>0</v>
      </c>
      <c r="D57" s="30">
        <v>0</v>
      </c>
      <c r="E57" s="30">
        <v>0</v>
      </c>
      <c r="F57" s="30">
        <v>0</v>
      </c>
      <c r="G57" s="31">
        <f>SUM(WY_FINANCIAL)</f>
        <v>0</v>
      </c>
      <c r="H57" s="30"/>
      <c r="I57" s="30"/>
      <c r="J57" s="30"/>
      <c r="K57" s="30"/>
      <c r="L57" s="29"/>
      <c r="M57" s="30"/>
      <c r="N57" s="30"/>
      <c r="O57" s="30"/>
      <c r="P57" s="30"/>
      <c r="Q57" s="30"/>
      <c r="R57" s="30"/>
      <c r="S57" s="30"/>
      <c r="T57" s="30"/>
      <c r="U57" s="30"/>
      <c r="V57" s="31"/>
    </row>
    <row r="58" spans="1:22">
      <c r="A58" s="1" t="s">
        <v>79</v>
      </c>
      <c r="B58" s="29">
        <v>0</v>
      </c>
      <c r="C58" s="30">
        <v>0</v>
      </c>
      <c r="D58" s="30">
        <v>0</v>
      </c>
      <c r="E58" s="30">
        <v>0</v>
      </c>
      <c r="F58" s="30">
        <v>0</v>
      </c>
      <c r="G58" s="31">
        <f>SUM(OT_FINANCIAL)</f>
        <v>0</v>
      </c>
      <c r="H58" s="30"/>
      <c r="I58" s="30"/>
      <c r="J58" s="30"/>
      <c r="K58" s="30"/>
      <c r="L58" s="29"/>
      <c r="M58" s="30"/>
      <c r="N58" s="30"/>
      <c r="O58" s="30"/>
      <c r="P58" s="30"/>
      <c r="Q58" s="30"/>
      <c r="R58" s="30"/>
      <c r="S58" s="30"/>
      <c r="T58" s="30"/>
      <c r="U58" s="30"/>
      <c r="V58" s="31"/>
    </row>
    <row r="59" spans="1:22">
      <c r="B59" s="29"/>
      <c r="C59" s="30"/>
      <c r="D59" s="30"/>
      <c r="E59" s="30"/>
      <c r="F59" s="30"/>
      <c r="G59" s="31"/>
      <c r="H59" s="30"/>
      <c r="I59" s="30"/>
      <c r="J59" s="30"/>
      <c r="K59" s="30"/>
      <c r="L59" s="29"/>
      <c r="M59" s="30"/>
      <c r="N59" s="30"/>
      <c r="O59" s="30"/>
      <c r="P59" s="30"/>
      <c r="Q59" s="30"/>
      <c r="R59" s="30"/>
      <c r="S59" s="30"/>
      <c r="T59" s="30"/>
      <c r="U59" s="30"/>
      <c r="V59" s="31"/>
    </row>
    <row r="60" spans="1:22">
      <c r="A60" s="1" t="s">
        <v>8</v>
      </c>
      <c r="B60" s="29">
        <f>SUM(LIFE)</f>
        <v>19770463.759021532</v>
      </c>
      <c r="C60" s="30">
        <f>SUM(ALLOCATED)</f>
        <v>0</v>
      </c>
      <c r="D60" s="30">
        <f>SUM(HEALTH)</f>
        <v>0</v>
      </c>
      <c r="E60" s="30">
        <f>SUM(UNALLOCATED)</f>
        <v>0</v>
      </c>
      <c r="F60" s="30">
        <f>SUM(LTC)</f>
        <v>0</v>
      </c>
      <c r="G60" s="31">
        <f>SUM(ALL_BLOCKS)</f>
        <v>19770463.759021532</v>
      </c>
      <c r="H60" s="30"/>
      <c r="I60" s="30"/>
      <c r="J60" s="30"/>
      <c r="K60" s="30"/>
      <c r="L60" s="29">
        <f>SUM(LIFE_CALLED)</f>
        <v>13800320</v>
      </c>
      <c r="M60" s="30">
        <f>SUM(LIFE_REFUNDED)</f>
        <v>0</v>
      </c>
      <c r="N60" s="30"/>
      <c r="O60" s="30">
        <f>SUM(ALLOC_CALLED)</f>
        <v>4950590</v>
      </c>
      <c r="P60" s="30">
        <f>SUM(ALLOC_REFUNDED)</f>
        <v>0</v>
      </c>
      <c r="Q60" s="30"/>
      <c r="R60" s="30">
        <f>SUM(HEALTH_CALLED)</f>
        <v>0</v>
      </c>
      <c r="S60" s="30">
        <f>SUM(HEALTH_REFUNDED)</f>
        <v>0</v>
      </c>
      <c r="T60" s="30"/>
      <c r="U60" s="30">
        <f>SUM(UNALLOC_CALLED)</f>
        <v>1518800</v>
      </c>
      <c r="V60" s="31">
        <f>SUM(UNALLOC_REFUNDED)</f>
        <v>0</v>
      </c>
    </row>
    <row r="61" spans="1:22" ht="5.0999999999999996" customHeight="1">
      <c r="B61" s="8"/>
      <c r="G61" s="11"/>
      <c r="L61" s="8"/>
      <c r="V61" s="11"/>
    </row>
    <row r="62" spans="1:22">
      <c r="B62" s="8"/>
      <c r="G62" s="11"/>
      <c r="L62" s="122" t="s">
        <v>80</v>
      </c>
      <c r="M62" s="123"/>
      <c r="N62" s="123"/>
      <c r="O62" s="123"/>
      <c r="P62" s="123"/>
      <c r="Q62" s="123"/>
      <c r="R62" s="123"/>
      <c r="S62" s="123"/>
      <c r="T62" s="123"/>
      <c r="U62" s="123"/>
      <c r="V62" s="124"/>
    </row>
    <row r="63" spans="1:22">
      <c r="B63" s="8"/>
      <c r="G63" s="11"/>
      <c r="L63" s="125"/>
      <c r="M63" s="123"/>
      <c r="N63" s="123"/>
      <c r="O63" s="123"/>
      <c r="P63" s="123"/>
      <c r="Q63" s="123"/>
      <c r="R63" s="123"/>
      <c r="S63" s="123"/>
      <c r="T63" s="123"/>
      <c r="U63" s="123"/>
      <c r="V63" s="124"/>
    </row>
    <row r="64" spans="1:22">
      <c r="B64" s="10"/>
      <c r="C64" s="7"/>
      <c r="D64" s="7"/>
      <c r="E64" s="7"/>
      <c r="F64" s="7"/>
      <c r="G64" s="13"/>
      <c r="L64" s="126"/>
      <c r="M64" s="127"/>
      <c r="N64" s="127"/>
      <c r="O64" s="127"/>
      <c r="P64" s="127"/>
      <c r="Q64" s="127"/>
      <c r="R64" s="127"/>
      <c r="S64" s="127"/>
      <c r="T64" s="127"/>
      <c r="U64" s="127"/>
      <c r="V64" s="128"/>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V64"/>
  <sheetViews>
    <sheetView zoomScale="75" workbookViewId="0">
      <selection sqref="A1:XFD1048576"/>
    </sheetView>
  </sheetViews>
  <sheetFormatPr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129" t="s">
        <v>112</v>
      </c>
      <c r="B1" s="123"/>
      <c r="C1" s="123"/>
      <c r="D1" s="123"/>
      <c r="E1" s="123"/>
      <c r="F1" s="123"/>
      <c r="G1" s="123"/>
    </row>
    <row r="3" spans="1:22">
      <c r="B3" s="130" t="s">
        <v>1</v>
      </c>
      <c r="C3" s="131"/>
      <c r="D3" s="131"/>
      <c r="E3" s="131"/>
      <c r="F3" s="131"/>
      <c r="G3" s="132"/>
      <c r="L3" s="133" t="s">
        <v>2</v>
      </c>
      <c r="M3" s="134"/>
      <c r="N3" s="134"/>
      <c r="O3" s="134"/>
      <c r="P3" s="134"/>
      <c r="Q3" s="134"/>
      <c r="R3" s="134"/>
      <c r="S3" s="134"/>
      <c r="T3" s="134"/>
      <c r="U3" s="134"/>
      <c r="V3" s="135"/>
    </row>
    <row r="4" spans="1:22">
      <c r="B4" s="8"/>
      <c r="G4" s="11"/>
      <c r="L4" s="136" t="s">
        <v>3</v>
      </c>
      <c r="M4" s="137"/>
      <c r="N4" s="4"/>
      <c r="O4" s="138" t="s">
        <v>4</v>
      </c>
      <c r="P4" s="137"/>
      <c r="Q4" s="4"/>
      <c r="R4" s="138" t="s">
        <v>5</v>
      </c>
      <c r="S4" s="137"/>
      <c r="T4" s="4"/>
      <c r="U4" s="138" t="s">
        <v>6</v>
      </c>
      <c r="V4" s="139"/>
    </row>
    <row r="5" spans="1:22" ht="60" customHeight="1">
      <c r="B5" s="9" t="s">
        <v>3</v>
      </c>
      <c r="C5" s="5" t="s">
        <v>4</v>
      </c>
      <c r="D5" s="5" t="s">
        <v>5</v>
      </c>
      <c r="E5" s="5" t="s">
        <v>6</v>
      </c>
      <c r="F5" s="5" t="s">
        <v>7</v>
      </c>
      <c r="G5" s="12" t="s">
        <v>8</v>
      </c>
      <c r="L5" s="15" t="s">
        <v>9</v>
      </c>
      <c r="M5" s="14" t="s">
        <v>10</v>
      </c>
      <c r="N5" s="14"/>
      <c r="O5" s="14" t="s">
        <v>9</v>
      </c>
      <c r="P5" s="14" t="s">
        <v>10</v>
      </c>
      <c r="Q5" s="14"/>
      <c r="R5" s="14" t="s">
        <v>9</v>
      </c>
      <c r="S5" s="14" t="s">
        <v>10</v>
      </c>
      <c r="T5" s="14"/>
      <c r="U5" s="14" t="s">
        <v>9</v>
      </c>
      <c r="V5" s="16" t="s">
        <v>10</v>
      </c>
    </row>
    <row r="6" spans="1:22">
      <c r="A6" s="1" t="s">
        <v>11</v>
      </c>
      <c r="B6" s="29">
        <v>0</v>
      </c>
      <c r="C6" s="30">
        <v>0</v>
      </c>
      <c r="D6" s="30">
        <v>0</v>
      </c>
      <c r="E6" s="30">
        <v>0</v>
      </c>
      <c r="F6" s="30">
        <v>0</v>
      </c>
      <c r="G6" s="31">
        <f>SUM(AL_FINANCIAL)</f>
        <v>0</v>
      </c>
      <c r="H6" s="30"/>
      <c r="I6" s="30"/>
      <c r="J6" s="30"/>
      <c r="K6" s="30"/>
      <c r="L6" s="29"/>
      <c r="M6" s="30"/>
      <c r="N6" s="30"/>
      <c r="O6" s="30"/>
      <c r="P6" s="30"/>
      <c r="Q6" s="30"/>
      <c r="R6" s="30"/>
      <c r="S6" s="30"/>
      <c r="T6" s="30"/>
      <c r="U6" s="30"/>
      <c r="V6" s="31"/>
    </row>
    <row r="7" spans="1:22">
      <c r="A7" s="1" t="s">
        <v>12</v>
      </c>
      <c r="B7" s="29">
        <v>0</v>
      </c>
      <c r="C7" s="30">
        <v>0</v>
      </c>
      <c r="D7" s="30">
        <v>0</v>
      </c>
      <c r="E7" s="30">
        <v>0</v>
      </c>
      <c r="F7" s="30">
        <v>0</v>
      </c>
      <c r="G7" s="31">
        <f>SUM(AK_FINANCIAL)</f>
        <v>0</v>
      </c>
      <c r="H7" s="30"/>
      <c r="I7" s="32"/>
      <c r="J7" s="33"/>
      <c r="K7" s="30"/>
      <c r="L7" s="29"/>
      <c r="M7" s="30"/>
      <c r="N7" s="30"/>
      <c r="O7" s="30"/>
      <c r="P7" s="30"/>
      <c r="Q7" s="30"/>
      <c r="R7" s="30"/>
      <c r="S7" s="30"/>
      <c r="T7" s="30"/>
      <c r="U7" s="30"/>
      <c r="V7" s="31"/>
    </row>
    <row r="8" spans="1:22">
      <c r="A8" s="1" t="s">
        <v>13</v>
      </c>
      <c r="B8" s="29">
        <v>0</v>
      </c>
      <c r="C8" s="30">
        <v>0</v>
      </c>
      <c r="D8" s="30">
        <v>0</v>
      </c>
      <c r="E8" s="30">
        <v>0</v>
      </c>
      <c r="F8" s="30">
        <v>0</v>
      </c>
      <c r="G8" s="31">
        <f>SUM(AZ_FINANCIAL)</f>
        <v>0</v>
      </c>
      <c r="H8" s="30"/>
      <c r="I8" s="34" t="s">
        <v>14</v>
      </c>
      <c r="J8" s="35"/>
      <c r="K8" s="30"/>
      <c r="L8" s="29"/>
      <c r="M8" s="30"/>
      <c r="N8" s="30"/>
      <c r="O8" s="30"/>
      <c r="P8" s="30"/>
      <c r="Q8" s="30"/>
      <c r="R8" s="30"/>
      <c r="S8" s="30"/>
      <c r="T8" s="30"/>
      <c r="U8" s="30"/>
      <c r="V8" s="31"/>
    </row>
    <row r="9" spans="1:22">
      <c r="A9" s="1" t="s">
        <v>15</v>
      </c>
      <c r="B9" s="29">
        <v>0</v>
      </c>
      <c r="C9" s="30">
        <v>0</v>
      </c>
      <c r="D9" s="30">
        <v>0</v>
      </c>
      <c r="E9" s="30">
        <v>0</v>
      </c>
      <c r="F9" s="30">
        <v>0</v>
      </c>
      <c r="G9" s="31">
        <f>SUM(AR_FINANCIAL)</f>
        <v>0</v>
      </c>
      <c r="H9" s="30"/>
      <c r="I9" s="34"/>
      <c r="J9" s="35"/>
      <c r="K9" s="30"/>
      <c r="L9" s="29"/>
      <c r="M9" s="30"/>
      <c r="N9" s="30"/>
      <c r="O9" s="30"/>
      <c r="P9" s="30"/>
      <c r="Q9" s="30"/>
      <c r="R9" s="30"/>
      <c r="S9" s="30"/>
      <c r="T9" s="30"/>
      <c r="U9" s="30"/>
      <c r="V9" s="31"/>
    </row>
    <row r="10" spans="1:22">
      <c r="A10" s="1" t="s">
        <v>16</v>
      </c>
      <c r="B10" s="29">
        <v>0</v>
      </c>
      <c r="C10" s="30">
        <v>0</v>
      </c>
      <c r="D10" s="30">
        <v>0</v>
      </c>
      <c r="E10" s="30">
        <v>0</v>
      </c>
      <c r="F10" s="30">
        <v>0</v>
      </c>
      <c r="G10" s="31">
        <f>SUM(CA_FINANCIAL)</f>
        <v>0</v>
      </c>
      <c r="H10" s="30"/>
      <c r="I10" s="34" t="s">
        <v>17</v>
      </c>
      <c r="J10" s="35">
        <v>8850514</v>
      </c>
      <c r="K10" s="30"/>
      <c r="L10" s="29"/>
      <c r="M10" s="30"/>
      <c r="N10" s="30"/>
      <c r="O10" s="30"/>
      <c r="P10" s="30"/>
      <c r="Q10" s="30"/>
      <c r="R10" s="30"/>
      <c r="S10" s="30"/>
      <c r="T10" s="30"/>
      <c r="U10" s="30"/>
      <c r="V10" s="31"/>
    </row>
    <row r="11" spans="1:22">
      <c r="A11" s="1" t="s">
        <v>18</v>
      </c>
      <c r="B11" s="29">
        <v>0</v>
      </c>
      <c r="C11" s="30">
        <v>0</v>
      </c>
      <c r="D11" s="30">
        <v>0</v>
      </c>
      <c r="E11" s="30">
        <v>0</v>
      </c>
      <c r="F11" s="30">
        <v>0</v>
      </c>
      <c r="G11" s="31">
        <f>SUM(CO_FINANCIAL)</f>
        <v>0</v>
      </c>
      <c r="H11" s="30"/>
      <c r="I11" s="34"/>
      <c r="J11" s="35"/>
      <c r="K11" s="30"/>
      <c r="L11" s="29"/>
      <c r="M11" s="30"/>
      <c r="N11" s="30"/>
      <c r="O11" s="30"/>
      <c r="P11" s="30"/>
      <c r="Q11" s="30"/>
      <c r="R11" s="30"/>
      <c r="S11" s="30"/>
      <c r="T11" s="30"/>
      <c r="U11" s="30"/>
      <c r="V11" s="31"/>
    </row>
    <row r="12" spans="1:22">
      <c r="A12" s="1" t="s">
        <v>19</v>
      </c>
      <c r="B12" s="29">
        <v>0</v>
      </c>
      <c r="C12" s="30">
        <v>0</v>
      </c>
      <c r="D12" s="30">
        <v>0</v>
      </c>
      <c r="E12" s="30">
        <v>0</v>
      </c>
      <c r="F12" s="30">
        <v>0</v>
      </c>
      <c r="G12" s="31">
        <f>SUM(CT_FINANCIAL)</f>
        <v>0</v>
      </c>
      <c r="H12" s="30"/>
      <c r="I12" s="34" t="s">
        <v>20</v>
      </c>
      <c r="J12" s="35"/>
      <c r="K12" s="30"/>
      <c r="L12" s="29"/>
      <c r="M12" s="30"/>
      <c r="N12" s="30"/>
      <c r="O12" s="30"/>
      <c r="P12" s="30"/>
      <c r="Q12" s="30"/>
      <c r="R12" s="30"/>
      <c r="S12" s="30"/>
      <c r="T12" s="30"/>
      <c r="U12" s="30"/>
      <c r="V12" s="31"/>
    </row>
    <row r="13" spans="1:22">
      <c r="A13" s="1" t="s">
        <v>21</v>
      </c>
      <c r="B13" s="29">
        <v>0</v>
      </c>
      <c r="C13" s="30">
        <v>0</v>
      </c>
      <c r="D13" s="30">
        <v>0</v>
      </c>
      <c r="E13" s="30">
        <v>0</v>
      </c>
      <c r="F13" s="30">
        <v>0</v>
      </c>
      <c r="G13" s="31">
        <f>SUM(DE_FINANCIAL)</f>
        <v>0</v>
      </c>
      <c r="H13" s="30"/>
      <c r="I13" s="34" t="s">
        <v>22</v>
      </c>
      <c r="J13" s="35">
        <v>0</v>
      </c>
      <c r="K13" s="30"/>
      <c r="L13" s="29"/>
      <c r="M13" s="30"/>
      <c r="N13" s="30"/>
      <c r="O13" s="30"/>
      <c r="P13" s="30"/>
      <c r="Q13" s="30"/>
      <c r="R13" s="30"/>
      <c r="S13" s="30"/>
      <c r="T13" s="30"/>
      <c r="U13" s="30"/>
      <c r="V13" s="31"/>
    </row>
    <row r="14" spans="1:22">
      <c r="A14" s="1" t="s">
        <v>23</v>
      </c>
      <c r="B14" s="29">
        <v>0</v>
      </c>
      <c r="C14" s="30">
        <v>0</v>
      </c>
      <c r="D14" s="30">
        <v>0</v>
      </c>
      <c r="E14" s="30">
        <v>0</v>
      </c>
      <c r="F14" s="30">
        <v>0</v>
      </c>
      <c r="G14" s="31">
        <f>SUM(DC_FINANCIAL)</f>
        <v>0</v>
      </c>
      <c r="H14" s="30"/>
      <c r="I14" s="34" t="s">
        <v>24</v>
      </c>
      <c r="J14" s="35">
        <v>0</v>
      </c>
      <c r="K14" s="30"/>
      <c r="L14" s="29"/>
      <c r="M14" s="30"/>
      <c r="N14" s="30"/>
      <c r="O14" s="30"/>
      <c r="P14" s="30"/>
      <c r="Q14" s="30"/>
      <c r="R14" s="30"/>
      <c r="S14" s="30"/>
      <c r="T14" s="30"/>
      <c r="U14" s="30"/>
      <c r="V14" s="31"/>
    </row>
    <row r="15" spans="1:22">
      <c r="A15" s="1" t="s">
        <v>25</v>
      </c>
      <c r="B15" s="29">
        <v>0</v>
      </c>
      <c r="C15" s="30">
        <v>0</v>
      </c>
      <c r="D15" s="30">
        <v>0</v>
      </c>
      <c r="E15" s="30">
        <v>0</v>
      </c>
      <c r="F15" s="30">
        <v>0</v>
      </c>
      <c r="G15" s="31">
        <f>SUM(FL_FINANCIAL)</f>
        <v>0</v>
      </c>
      <c r="H15" s="30"/>
      <c r="I15" s="34" t="s">
        <v>26</v>
      </c>
      <c r="J15" s="35">
        <v>346163.40568823193</v>
      </c>
      <c r="K15" s="30"/>
      <c r="L15" s="29"/>
      <c r="M15" s="30"/>
      <c r="N15" s="30"/>
      <c r="O15" s="30"/>
      <c r="P15" s="30"/>
      <c r="Q15" s="30"/>
      <c r="R15" s="30"/>
      <c r="S15" s="30"/>
      <c r="T15" s="30"/>
      <c r="U15" s="30"/>
      <c r="V15" s="31"/>
    </row>
    <row r="16" spans="1:22">
      <c r="A16" s="1" t="s">
        <v>27</v>
      </c>
      <c r="B16" s="29">
        <v>0</v>
      </c>
      <c r="C16" s="30">
        <v>0</v>
      </c>
      <c r="D16" s="30">
        <v>0</v>
      </c>
      <c r="E16" s="30">
        <v>0</v>
      </c>
      <c r="F16" s="30">
        <v>0</v>
      </c>
      <c r="G16" s="31">
        <f>SUM(GA_FINANCIAL)</f>
        <v>0</v>
      </c>
      <c r="H16" s="30"/>
      <c r="I16" s="34" t="s">
        <v>28</v>
      </c>
      <c r="J16" s="35">
        <v>0</v>
      </c>
      <c r="K16" s="30"/>
      <c r="L16" s="29"/>
      <c r="M16" s="30"/>
      <c r="N16" s="30"/>
      <c r="O16" s="30"/>
      <c r="P16" s="30"/>
      <c r="Q16" s="30"/>
      <c r="R16" s="30"/>
      <c r="S16" s="30"/>
      <c r="T16" s="30"/>
      <c r="U16" s="30"/>
      <c r="V16" s="31"/>
    </row>
    <row r="17" spans="1:22">
      <c r="A17" s="1" t="s">
        <v>29</v>
      </c>
      <c r="B17" s="29">
        <v>0</v>
      </c>
      <c r="C17" s="30">
        <v>0</v>
      </c>
      <c r="D17" s="30">
        <v>0</v>
      </c>
      <c r="E17" s="30">
        <v>0</v>
      </c>
      <c r="F17" s="30">
        <v>0</v>
      </c>
      <c r="G17" s="31">
        <f>SUM(HI_FINANCIAL)</f>
        <v>0</v>
      </c>
      <c r="H17" s="30"/>
      <c r="I17" s="34"/>
      <c r="J17" s="35"/>
      <c r="K17" s="30"/>
      <c r="L17" s="29"/>
      <c r="M17" s="30"/>
      <c r="N17" s="30"/>
      <c r="O17" s="30"/>
      <c r="P17" s="30"/>
      <c r="Q17" s="30"/>
      <c r="R17" s="30"/>
      <c r="S17" s="30"/>
      <c r="T17" s="30"/>
      <c r="U17" s="30"/>
      <c r="V17" s="31"/>
    </row>
    <row r="18" spans="1:22">
      <c r="A18" s="1" t="s">
        <v>30</v>
      </c>
      <c r="B18" s="29">
        <v>0</v>
      </c>
      <c r="C18" s="30">
        <v>0</v>
      </c>
      <c r="D18" s="30">
        <v>0</v>
      </c>
      <c r="E18" s="30">
        <v>0</v>
      </c>
      <c r="F18" s="30">
        <v>0</v>
      </c>
      <c r="G18" s="31">
        <f>SUM(ID_FINANCIAL)</f>
        <v>0</v>
      </c>
      <c r="H18" s="30"/>
      <c r="I18" s="34" t="s">
        <v>31</v>
      </c>
      <c r="J18" s="35"/>
      <c r="K18" s="30"/>
      <c r="L18" s="29"/>
      <c r="M18" s="30"/>
      <c r="N18" s="30"/>
      <c r="O18" s="30"/>
      <c r="P18" s="30"/>
      <c r="Q18" s="30"/>
      <c r="R18" s="30"/>
      <c r="S18" s="30"/>
      <c r="T18" s="30"/>
      <c r="U18" s="30"/>
      <c r="V18" s="31"/>
    </row>
    <row r="19" spans="1:22">
      <c r="A19" s="1" t="s">
        <v>32</v>
      </c>
      <c r="B19" s="29">
        <v>0</v>
      </c>
      <c r="C19" s="30">
        <v>0</v>
      </c>
      <c r="D19" s="30">
        <v>0</v>
      </c>
      <c r="E19" s="30">
        <v>0</v>
      </c>
      <c r="F19" s="30">
        <v>0</v>
      </c>
      <c r="G19" s="31">
        <f>SUM(IL_FINANCIAL)</f>
        <v>0</v>
      </c>
      <c r="H19" s="30"/>
      <c r="I19" s="34" t="s">
        <v>33</v>
      </c>
      <c r="J19" s="35">
        <v>0</v>
      </c>
      <c r="K19" s="30"/>
      <c r="L19" s="29"/>
      <c r="M19" s="30"/>
      <c r="N19" s="30"/>
      <c r="O19" s="30"/>
      <c r="P19" s="30"/>
      <c r="Q19" s="30"/>
      <c r="R19" s="30"/>
      <c r="S19" s="30"/>
      <c r="T19" s="30"/>
      <c r="U19" s="30"/>
      <c r="V19" s="31"/>
    </row>
    <row r="20" spans="1:22">
      <c r="A20" s="1" t="s">
        <v>34</v>
      </c>
      <c r="B20" s="29">
        <v>0</v>
      </c>
      <c r="C20" s="30">
        <v>0</v>
      </c>
      <c r="D20" s="30">
        <v>0</v>
      </c>
      <c r="E20" s="30">
        <v>0</v>
      </c>
      <c r="F20" s="30">
        <v>0</v>
      </c>
      <c r="G20" s="31">
        <f>SUM(IN_FINANCIAL)</f>
        <v>0</v>
      </c>
      <c r="H20" s="30"/>
      <c r="I20" s="34" t="s">
        <v>35</v>
      </c>
      <c r="J20" s="35">
        <v>0</v>
      </c>
      <c r="K20" s="30"/>
      <c r="L20" s="29"/>
      <c r="M20" s="30"/>
      <c r="N20" s="30"/>
      <c r="O20" s="30"/>
      <c r="P20" s="30"/>
      <c r="Q20" s="30"/>
      <c r="R20" s="30"/>
      <c r="S20" s="30"/>
      <c r="T20" s="30"/>
      <c r="U20" s="30"/>
      <c r="V20" s="31"/>
    </row>
    <row r="21" spans="1:22">
      <c r="A21" s="1" t="s">
        <v>36</v>
      </c>
      <c r="B21" s="29">
        <v>0</v>
      </c>
      <c r="C21" s="30">
        <v>0</v>
      </c>
      <c r="D21" s="30">
        <v>0</v>
      </c>
      <c r="E21" s="30">
        <v>0</v>
      </c>
      <c r="F21" s="30">
        <v>0</v>
      </c>
      <c r="G21" s="31">
        <f>SUM(IA_FINANCIAL)</f>
        <v>0</v>
      </c>
      <c r="H21" s="30"/>
      <c r="I21" s="34" t="s">
        <v>37</v>
      </c>
      <c r="J21" s="35"/>
      <c r="K21" s="30"/>
      <c r="L21" s="29"/>
      <c r="M21" s="30"/>
      <c r="N21" s="30"/>
      <c r="O21" s="30"/>
      <c r="P21" s="30"/>
      <c r="Q21" s="30"/>
      <c r="R21" s="30"/>
      <c r="S21" s="30"/>
      <c r="T21" s="30"/>
      <c r="U21" s="30"/>
      <c r="V21" s="31"/>
    </row>
    <row r="22" spans="1:22">
      <c r="A22" s="1" t="s">
        <v>38</v>
      </c>
      <c r="B22" s="29">
        <v>0</v>
      </c>
      <c r="C22" s="30">
        <v>0</v>
      </c>
      <c r="D22" s="30">
        <v>0</v>
      </c>
      <c r="E22" s="30">
        <v>0</v>
      </c>
      <c r="F22" s="30">
        <v>0</v>
      </c>
      <c r="G22" s="31">
        <f>SUM(KS_FINANCIAL)</f>
        <v>0</v>
      </c>
      <c r="H22" s="30"/>
      <c r="I22" s="34" t="s">
        <v>39</v>
      </c>
      <c r="J22" s="35">
        <v>0</v>
      </c>
      <c r="K22" s="30"/>
      <c r="L22" s="29"/>
      <c r="M22" s="30"/>
      <c r="N22" s="30"/>
      <c r="O22" s="30"/>
      <c r="P22" s="30"/>
      <c r="Q22" s="30"/>
      <c r="R22" s="30"/>
      <c r="S22" s="30"/>
      <c r="T22" s="30"/>
      <c r="U22" s="30"/>
      <c r="V22" s="31"/>
    </row>
    <row r="23" spans="1:22">
      <c r="A23" s="1" t="s">
        <v>40</v>
      </c>
      <c r="B23" s="29">
        <v>0</v>
      </c>
      <c r="C23" s="30">
        <v>0</v>
      </c>
      <c r="D23" s="30">
        <v>0</v>
      </c>
      <c r="E23" s="30">
        <v>0</v>
      </c>
      <c r="F23" s="30">
        <v>0</v>
      </c>
      <c r="G23" s="31">
        <f>SUM(KY_FINANCIAL)</f>
        <v>0</v>
      </c>
      <c r="H23" s="30"/>
      <c r="I23" s="34" t="s">
        <v>41</v>
      </c>
      <c r="J23" s="35"/>
      <c r="K23" s="30"/>
      <c r="L23" s="29"/>
      <c r="M23" s="30"/>
      <c r="N23" s="30"/>
      <c r="O23" s="30"/>
      <c r="P23" s="30"/>
      <c r="Q23" s="30"/>
      <c r="R23" s="30"/>
      <c r="S23" s="30"/>
      <c r="T23" s="30"/>
      <c r="U23" s="30"/>
      <c r="V23" s="31"/>
    </row>
    <row r="24" spans="1:22">
      <c r="A24" s="1" t="s">
        <v>42</v>
      </c>
      <c r="B24" s="29">
        <v>0</v>
      </c>
      <c r="C24" s="30">
        <v>0</v>
      </c>
      <c r="D24" s="30">
        <v>0</v>
      </c>
      <c r="E24" s="30">
        <v>0</v>
      </c>
      <c r="F24" s="30">
        <v>0</v>
      </c>
      <c r="G24" s="31">
        <f>SUM(LA_FINANCIAL)</f>
        <v>0</v>
      </c>
      <c r="H24" s="30"/>
      <c r="I24" s="34" t="s">
        <v>43</v>
      </c>
      <c r="J24" s="35">
        <v>0</v>
      </c>
      <c r="K24" s="30"/>
      <c r="L24" s="29"/>
      <c r="M24" s="30"/>
      <c r="N24" s="30"/>
      <c r="O24" s="30"/>
      <c r="P24" s="30"/>
      <c r="Q24" s="30"/>
      <c r="R24" s="30"/>
      <c r="S24" s="30"/>
      <c r="T24" s="30"/>
      <c r="U24" s="30"/>
      <c r="V24" s="31"/>
    </row>
    <row r="25" spans="1:22">
      <c r="A25" s="1" t="s">
        <v>44</v>
      </c>
      <c r="B25" s="29">
        <v>0</v>
      </c>
      <c r="C25" s="30">
        <v>0</v>
      </c>
      <c r="D25" s="30">
        <v>0</v>
      </c>
      <c r="E25" s="30">
        <v>0</v>
      </c>
      <c r="F25" s="30">
        <v>0</v>
      </c>
      <c r="G25" s="31">
        <f>SUM(ME_FINANCIAL)</f>
        <v>0</v>
      </c>
      <c r="H25" s="30"/>
      <c r="I25" s="34"/>
      <c r="J25" s="35"/>
      <c r="K25" s="30"/>
      <c r="L25" s="29"/>
      <c r="M25" s="30"/>
      <c r="N25" s="30"/>
      <c r="O25" s="30"/>
      <c r="P25" s="30"/>
      <c r="Q25" s="30"/>
      <c r="R25" s="30"/>
      <c r="S25" s="30"/>
      <c r="T25" s="30"/>
      <c r="U25" s="30"/>
      <c r="V25" s="31"/>
    </row>
    <row r="26" spans="1:22">
      <c r="A26" s="1" t="s">
        <v>45</v>
      </c>
      <c r="B26" s="29">
        <v>0</v>
      </c>
      <c r="C26" s="30">
        <v>0</v>
      </c>
      <c r="D26" s="30">
        <v>0</v>
      </c>
      <c r="E26" s="30">
        <v>0</v>
      </c>
      <c r="F26" s="30">
        <v>0</v>
      </c>
      <c r="G26" s="31">
        <f>SUM(MD_FINANCIAL)</f>
        <v>0</v>
      </c>
      <c r="H26" s="30"/>
      <c r="I26" s="34" t="s">
        <v>46</v>
      </c>
      <c r="J26" s="35">
        <f>SUM(ADD_FINANCIAL)-SUM(LESS_FINANCIAL)</f>
        <v>9196677.4056882318</v>
      </c>
      <c r="K26" s="30"/>
      <c r="L26" s="29"/>
      <c r="M26" s="30"/>
      <c r="N26" s="30"/>
      <c r="O26" s="30"/>
      <c r="P26" s="30"/>
      <c r="Q26" s="30"/>
      <c r="R26" s="30"/>
      <c r="S26" s="30"/>
      <c r="T26" s="30"/>
      <c r="U26" s="30"/>
      <c r="V26" s="31"/>
    </row>
    <row r="27" spans="1:22">
      <c r="A27" s="1" t="s">
        <v>47</v>
      </c>
      <c r="B27" s="29">
        <v>0</v>
      </c>
      <c r="C27" s="30">
        <v>0</v>
      </c>
      <c r="D27" s="30">
        <v>0</v>
      </c>
      <c r="E27" s="30">
        <v>0</v>
      </c>
      <c r="F27" s="30">
        <v>0</v>
      </c>
      <c r="G27" s="31">
        <f>SUM(MA_FINANCIAL)</f>
        <v>0</v>
      </c>
      <c r="H27" s="30"/>
      <c r="I27" s="34" t="s">
        <v>48</v>
      </c>
      <c r="J27" s="35">
        <f>SUM(ALL_BLOCKS)</f>
        <v>9196677.4056882318</v>
      </c>
      <c r="K27" s="30"/>
      <c r="L27" s="29"/>
      <c r="M27" s="30"/>
      <c r="N27" s="30"/>
      <c r="O27" s="30"/>
      <c r="P27" s="30"/>
      <c r="Q27" s="30"/>
      <c r="R27" s="30"/>
      <c r="S27" s="30"/>
      <c r="T27" s="30"/>
      <c r="U27" s="30"/>
      <c r="V27" s="31"/>
    </row>
    <row r="28" spans="1:22">
      <c r="A28" s="1" t="s">
        <v>49</v>
      </c>
      <c r="B28" s="29">
        <v>0</v>
      </c>
      <c r="C28" s="30">
        <v>0</v>
      </c>
      <c r="D28" s="30">
        <v>0</v>
      </c>
      <c r="E28" s="30">
        <v>0</v>
      </c>
      <c r="F28" s="30">
        <v>0</v>
      </c>
      <c r="G28" s="31">
        <f>SUM(MI_FINANCIAL)</f>
        <v>0</v>
      </c>
      <c r="H28" s="30"/>
      <c r="I28" s="36"/>
      <c r="J28" s="37"/>
      <c r="K28" s="30"/>
      <c r="L28" s="29"/>
      <c r="M28" s="30"/>
      <c r="N28" s="30"/>
      <c r="O28" s="30"/>
      <c r="P28" s="30"/>
      <c r="Q28" s="30"/>
      <c r="R28" s="30"/>
      <c r="S28" s="30"/>
      <c r="T28" s="30"/>
      <c r="U28" s="30"/>
      <c r="V28" s="31"/>
    </row>
    <row r="29" spans="1:22">
      <c r="A29" s="1" t="s">
        <v>50</v>
      </c>
      <c r="B29" s="29">
        <v>0</v>
      </c>
      <c r="C29" s="30">
        <v>0</v>
      </c>
      <c r="D29" s="30">
        <v>0</v>
      </c>
      <c r="E29" s="30">
        <v>0</v>
      </c>
      <c r="F29" s="30">
        <v>0</v>
      </c>
      <c r="G29" s="31">
        <f>SUM(MN_FINANCIAL)</f>
        <v>0</v>
      </c>
      <c r="H29" s="30"/>
      <c r="I29" s="30"/>
      <c r="J29" s="30"/>
      <c r="K29" s="30"/>
      <c r="L29" s="29"/>
      <c r="M29" s="30"/>
      <c r="N29" s="30"/>
      <c r="O29" s="30"/>
      <c r="P29" s="30"/>
      <c r="Q29" s="30"/>
      <c r="R29" s="30"/>
      <c r="S29" s="30"/>
      <c r="T29" s="30"/>
      <c r="U29" s="30"/>
      <c r="V29" s="31"/>
    </row>
    <row r="30" spans="1:22">
      <c r="A30" s="1" t="s">
        <v>51</v>
      </c>
      <c r="B30" s="29">
        <v>0</v>
      </c>
      <c r="C30" s="30">
        <v>0</v>
      </c>
      <c r="D30" s="30">
        <v>0</v>
      </c>
      <c r="E30" s="30">
        <v>0</v>
      </c>
      <c r="F30" s="30">
        <v>0</v>
      </c>
      <c r="G30" s="31">
        <f>SUM(MS_FINANCIAL)</f>
        <v>0</v>
      </c>
      <c r="H30" s="30"/>
      <c r="I30" s="30"/>
      <c r="J30" s="30"/>
      <c r="K30" s="30"/>
      <c r="L30" s="29"/>
      <c r="M30" s="30"/>
      <c r="N30" s="30"/>
      <c r="O30" s="30"/>
      <c r="P30" s="30"/>
      <c r="Q30" s="30"/>
      <c r="R30" s="30"/>
      <c r="S30" s="30"/>
      <c r="T30" s="30"/>
      <c r="U30" s="30"/>
      <c r="V30" s="31"/>
    </row>
    <row r="31" spans="1:22">
      <c r="A31" s="1" t="s">
        <v>52</v>
      </c>
      <c r="B31" s="29">
        <v>0</v>
      </c>
      <c r="C31" s="30">
        <v>0</v>
      </c>
      <c r="D31" s="30">
        <v>0</v>
      </c>
      <c r="E31" s="30">
        <v>0</v>
      </c>
      <c r="F31" s="30">
        <v>0</v>
      </c>
      <c r="G31" s="31">
        <f>SUM(MO_FINANCIAL)</f>
        <v>0</v>
      </c>
      <c r="H31" s="30"/>
      <c r="I31" s="30"/>
      <c r="J31" s="30"/>
      <c r="K31" s="30"/>
      <c r="L31" s="29"/>
      <c r="M31" s="30"/>
      <c r="N31" s="30"/>
      <c r="O31" s="30"/>
      <c r="P31" s="30"/>
      <c r="Q31" s="30"/>
      <c r="R31" s="30"/>
      <c r="S31" s="30"/>
      <c r="T31" s="30"/>
      <c r="U31" s="30"/>
      <c r="V31" s="31"/>
    </row>
    <row r="32" spans="1:22">
      <c r="A32" s="1" t="s">
        <v>53</v>
      </c>
      <c r="B32" s="29">
        <v>0</v>
      </c>
      <c r="C32" s="30">
        <v>0</v>
      </c>
      <c r="D32" s="30">
        <v>0</v>
      </c>
      <c r="E32" s="30">
        <v>0</v>
      </c>
      <c r="F32" s="30">
        <v>0</v>
      </c>
      <c r="G32" s="31">
        <f>SUM(MT_FINANCIAL)</f>
        <v>0</v>
      </c>
      <c r="H32" s="30"/>
      <c r="I32" s="30"/>
      <c r="J32" s="30"/>
      <c r="K32" s="30"/>
      <c r="L32" s="29"/>
      <c r="M32" s="30"/>
      <c r="N32" s="30"/>
      <c r="O32" s="30"/>
      <c r="P32" s="30"/>
      <c r="Q32" s="30"/>
      <c r="R32" s="30"/>
      <c r="S32" s="30"/>
      <c r="T32" s="30"/>
      <c r="U32" s="30"/>
      <c r="V32" s="31"/>
    </row>
    <row r="33" spans="1:22">
      <c r="A33" s="1" t="s">
        <v>54</v>
      </c>
      <c r="B33" s="29">
        <v>0</v>
      </c>
      <c r="C33" s="30">
        <v>0</v>
      </c>
      <c r="D33" s="30">
        <v>0</v>
      </c>
      <c r="E33" s="30">
        <v>0</v>
      </c>
      <c r="F33" s="30">
        <v>0</v>
      </c>
      <c r="G33" s="31">
        <f>SUM(NE_FINANCIAL)</f>
        <v>0</v>
      </c>
      <c r="H33" s="30"/>
      <c r="I33" s="30"/>
      <c r="J33" s="30"/>
      <c r="K33" s="30"/>
      <c r="L33" s="29"/>
      <c r="M33" s="30"/>
      <c r="N33" s="30"/>
      <c r="O33" s="30"/>
      <c r="P33" s="30"/>
      <c r="Q33" s="30"/>
      <c r="R33" s="30"/>
      <c r="S33" s="30"/>
      <c r="T33" s="30"/>
      <c r="U33" s="30"/>
      <c r="V33" s="31"/>
    </row>
    <row r="34" spans="1:22">
      <c r="A34" s="1" t="s">
        <v>55</v>
      </c>
      <c r="B34" s="29">
        <v>0</v>
      </c>
      <c r="C34" s="30">
        <v>0</v>
      </c>
      <c r="D34" s="30">
        <v>0</v>
      </c>
      <c r="E34" s="30">
        <v>0</v>
      </c>
      <c r="F34" s="30">
        <v>0</v>
      </c>
      <c r="G34" s="31">
        <f>SUM(NV_FINANCIAL)</f>
        <v>0</v>
      </c>
      <c r="H34" s="30"/>
      <c r="I34" s="30"/>
      <c r="J34" s="30"/>
      <c r="K34" s="30"/>
      <c r="L34" s="29"/>
      <c r="M34" s="30"/>
      <c r="N34" s="30"/>
      <c r="O34" s="30"/>
      <c r="P34" s="30"/>
      <c r="Q34" s="30"/>
      <c r="R34" s="30"/>
      <c r="S34" s="30"/>
      <c r="T34" s="30"/>
      <c r="U34" s="30"/>
      <c r="V34" s="31"/>
    </row>
    <row r="35" spans="1:22">
      <c r="A35" s="1" t="s">
        <v>56</v>
      </c>
      <c r="B35" s="29">
        <v>0</v>
      </c>
      <c r="C35" s="30">
        <v>0</v>
      </c>
      <c r="D35" s="30">
        <v>0</v>
      </c>
      <c r="E35" s="30">
        <v>0</v>
      </c>
      <c r="F35" s="30">
        <v>0</v>
      </c>
      <c r="G35" s="31">
        <f>SUM(NH_FINANCIAL)</f>
        <v>0</v>
      </c>
      <c r="H35" s="30"/>
      <c r="I35" s="30"/>
      <c r="J35" s="30"/>
      <c r="K35" s="30"/>
      <c r="L35" s="29"/>
      <c r="M35" s="30"/>
      <c r="N35" s="30"/>
      <c r="O35" s="30"/>
      <c r="P35" s="30"/>
      <c r="Q35" s="30"/>
      <c r="R35" s="30"/>
      <c r="S35" s="30"/>
      <c r="T35" s="30"/>
      <c r="U35" s="30"/>
      <c r="V35" s="31"/>
    </row>
    <row r="36" spans="1:22">
      <c r="A36" s="1" t="s">
        <v>57</v>
      </c>
      <c r="B36" s="29">
        <v>0</v>
      </c>
      <c r="C36" s="30">
        <v>0</v>
      </c>
      <c r="D36" s="30">
        <v>0</v>
      </c>
      <c r="E36" s="30">
        <v>0</v>
      </c>
      <c r="F36" s="30">
        <v>0</v>
      </c>
      <c r="G36" s="31">
        <f>SUM(NJ_FINANCIAL)</f>
        <v>0</v>
      </c>
      <c r="H36" s="30"/>
      <c r="I36" s="30"/>
      <c r="J36" s="30"/>
      <c r="K36" s="30"/>
      <c r="L36" s="29"/>
      <c r="M36" s="30"/>
      <c r="N36" s="30"/>
      <c r="O36" s="30"/>
      <c r="P36" s="30"/>
      <c r="Q36" s="30"/>
      <c r="R36" s="30"/>
      <c r="S36" s="30"/>
      <c r="T36" s="30"/>
      <c r="U36" s="30"/>
      <c r="V36" s="31"/>
    </row>
    <row r="37" spans="1:22">
      <c r="A37" s="1" t="s">
        <v>58</v>
      </c>
      <c r="B37" s="29">
        <v>0</v>
      </c>
      <c r="C37" s="30">
        <v>0</v>
      </c>
      <c r="D37" s="30">
        <v>0</v>
      </c>
      <c r="E37" s="30">
        <v>0</v>
      </c>
      <c r="F37" s="30">
        <v>0</v>
      </c>
      <c r="G37" s="31">
        <f>SUM(NM_FINANCIAL)</f>
        <v>0</v>
      </c>
      <c r="H37" s="30"/>
      <c r="I37" s="30"/>
      <c r="J37" s="30"/>
      <c r="K37" s="30"/>
      <c r="L37" s="29"/>
      <c r="M37" s="30"/>
      <c r="N37" s="30"/>
      <c r="O37" s="30"/>
      <c r="P37" s="30"/>
      <c r="Q37" s="30"/>
      <c r="R37" s="30"/>
      <c r="S37" s="30"/>
      <c r="T37" s="30"/>
      <c r="U37" s="30"/>
      <c r="V37" s="31"/>
    </row>
    <row r="38" spans="1:22">
      <c r="A38" s="1" t="s">
        <v>59</v>
      </c>
      <c r="B38" s="29">
        <v>0</v>
      </c>
      <c r="C38" s="30">
        <v>0</v>
      </c>
      <c r="D38" s="30">
        <v>0</v>
      </c>
      <c r="E38" s="30">
        <v>0</v>
      </c>
      <c r="F38" s="30">
        <v>0</v>
      </c>
      <c r="G38" s="31">
        <f>SUM(NY_FINANCIAL)</f>
        <v>0</v>
      </c>
      <c r="H38" s="30"/>
      <c r="I38" s="30"/>
      <c r="J38" s="30"/>
      <c r="K38" s="30"/>
      <c r="L38" s="29"/>
      <c r="M38" s="30"/>
      <c r="N38" s="30"/>
      <c r="O38" s="30"/>
      <c r="P38" s="30"/>
      <c r="Q38" s="30"/>
      <c r="R38" s="30"/>
      <c r="S38" s="30"/>
      <c r="T38" s="30"/>
      <c r="U38" s="30"/>
      <c r="V38" s="31"/>
    </row>
    <row r="39" spans="1:22">
      <c r="A39" s="1" t="s">
        <v>60</v>
      </c>
      <c r="B39" s="29">
        <v>0</v>
      </c>
      <c r="C39" s="30">
        <v>0</v>
      </c>
      <c r="D39" s="30">
        <v>0</v>
      </c>
      <c r="E39" s="30">
        <v>0</v>
      </c>
      <c r="F39" s="30">
        <v>0</v>
      </c>
      <c r="G39" s="31">
        <f>SUM(NC_FINANCIAL)</f>
        <v>0</v>
      </c>
      <c r="H39" s="30"/>
      <c r="I39" s="30"/>
      <c r="J39" s="30"/>
      <c r="K39" s="30"/>
      <c r="L39" s="29"/>
      <c r="M39" s="30"/>
      <c r="N39" s="30"/>
      <c r="O39" s="30"/>
      <c r="P39" s="30"/>
      <c r="Q39" s="30"/>
      <c r="R39" s="30"/>
      <c r="S39" s="30"/>
      <c r="T39" s="30"/>
      <c r="U39" s="30"/>
      <c r="V39" s="31"/>
    </row>
    <row r="40" spans="1:22">
      <c r="A40" s="1" t="s">
        <v>61</v>
      </c>
      <c r="B40" s="29">
        <v>0</v>
      </c>
      <c r="C40" s="30">
        <v>0</v>
      </c>
      <c r="D40" s="30">
        <v>0</v>
      </c>
      <c r="E40" s="30">
        <v>0</v>
      </c>
      <c r="F40" s="30">
        <v>0</v>
      </c>
      <c r="G40" s="31">
        <f>SUM(ND_FINANCIAL)</f>
        <v>0</v>
      </c>
      <c r="H40" s="30"/>
      <c r="I40" s="30"/>
      <c r="J40" s="30"/>
      <c r="K40" s="30"/>
      <c r="L40" s="29"/>
      <c r="M40" s="30"/>
      <c r="N40" s="30"/>
      <c r="O40" s="30"/>
      <c r="P40" s="30"/>
      <c r="Q40" s="30"/>
      <c r="R40" s="30"/>
      <c r="S40" s="30"/>
      <c r="T40" s="30"/>
      <c r="U40" s="30"/>
      <c r="V40" s="31"/>
    </row>
    <row r="41" spans="1:22">
      <c r="A41" s="1" t="s">
        <v>62</v>
      </c>
      <c r="B41" s="29">
        <v>0</v>
      </c>
      <c r="C41" s="30">
        <v>0</v>
      </c>
      <c r="D41" s="30">
        <v>0</v>
      </c>
      <c r="E41" s="30">
        <v>0</v>
      </c>
      <c r="F41" s="30">
        <v>0</v>
      </c>
      <c r="G41" s="31">
        <f>SUM(OH_FINANCIAL)</f>
        <v>0</v>
      </c>
      <c r="H41" s="30"/>
      <c r="I41" s="30"/>
      <c r="J41" s="30"/>
      <c r="K41" s="30"/>
      <c r="L41" s="29"/>
      <c r="M41" s="30"/>
      <c r="N41" s="30"/>
      <c r="O41" s="30"/>
      <c r="P41" s="30"/>
      <c r="Q41" s="30"/>
      <c r="R41" s="30"/>
      <c r="S41" s="30"/>
      <c r="T41" s="30"/>
      <c r="U41" s="30"/>
      <c r="V41" s="31"/>
    </row>
    <row r="42" spans="1:22">
      <c r="A42" s="1" t="s">
        <v>63</v>
      </c>
      <c r="B42" s="29">
        <v>4721553.5146318031</v>
      </c>
      <c r="C42" s="30">
        <v>4475123.8910564287</v>
      </c>
      <c r="D42" s="30">
        <v>0</v>
      </c>
      <c r="E42" s="30">
        <v>0</v>
      </c>
      <c r="F42" s="30">
        <v>0</v>
      </c>
      <c r="G42" s="31">
        <f>SUM(OK_FINANCIAL)</f>
        <v>9196677.4056882318</v>
      </c>
      <c r="H42" s="30"/>
      <c r="I42" s="30"/>
      <c r="J42" s="30"/>
      <c r="K42" s="30"/>
      <c r="L42" s="29">
        <v>7965000</v>
      </c>
      <c r="M42" s="30">
        <v>3015000</v>
      </c>
      <c r="N42" s="30"/>
      <c r="O42" s="30">
        <v>885000</v>
      </c>
      <c r="P42" s="30">
        <v>335000</v>
      </c>
      <c r="Q42" s="30"/>
      <c r="R42" s="30">
        <v>0</v>
      </c>
      <c r="S42" s="30">
        <v>0</v>
      </c>
      <c r="T42" s="30"/>
      <c r="U42" s="30">
        <v>0</v>
      </c>
      <c r="V42" s="31">
        <v>0</v>
      </c>
    </row>
    <row r="43" spans="1:22">
      <c r="A43" s="1" t="s">
        <v>64</v>
      </c>
      <c r="B43" s="29">
        <v>0</v>
      </c>
      <c r="C43" s="30">
        <v>0</v>
      </c>
      <c r="D43" s="30">
        <v>0</v>
      </c>
      <c r="E43" s="30">
        <v>0</v>
      </c>
      <c r="F43" s="30">
        <v>0</v>
      </c>
      <c r="G43" s="31">
        <f>SUM(OR_FINANCIAL)</f>
        <v>0</v>
      </c>
      <c r="H43" s="30"/>
      <c r="I43" s="30"/>
      <c r="J43" s="30"/>
      <c r="K43" s="30"/>
      <c r="L43" s="29"/>
      <c r="M43" s="30"/>
      <c r="N43" s="30"/>
      <c r="O43" s="30"/>
      <c r="P43" s="30"/>
      <c r="Q43" s="30"/>
      <c r="R43" s="30"/>
      <c r="S43" s="30"/>
      <c r="T43" s="30"/>
      <c r="U43" s="30"/>
      <c r="V43" s="31"/>
    </row>
    <row r="44" spans="1:22">
      <c r="A44" s="1" t="s">
        <v>65</v>
      </c>
      <c r="B44" s="29">
        <v>0</v>
      </c>
      <c r="C44" s="30">
        <v>0</v>
      </c>
      <c r="D44" s="30">
        <v>0</v>
      </c>
      <c r="E44" s="30">
        <v>0</v>
      </c>
      <c r="F44" s="30">
        <v>0</v>
      </c>
      <c r="G44" s="31">
        <f>SUM(PA_FINANCIAL)</f>
        <v>0</v>
      </c>
      <c r="H44" s="30"/>
      <c r="I44" s="30"/>
      <c r="J44" s="30"/>
      <c r="K44" s="30"/>
      <c r="L44" s="29"/>
      <c r="M44" s="30"/>
      <c r="N44" s="30"/>
      <c r="O44" s="30"/>
      <c r="P44" s="30"/>
      <c r="Q44" s="30"/>
      <c r="R44" s="30"/>
      <c r="S44" s="30"/>
      <c r="T44" s="30"/>
      <c r="U44" s="30"/>
      <c r="V44" s="31"/>
    </row>
    <row r="45" spans="1:22">
      <c r="A45" s="1" t="s">
        <v>66</v>
      </c>
      <c r="B45" s="29">
        <v>0</v>
      </c>
      <c r="C45" s="30">
        <v>0</v>
      </c>
      <c r="D45" s="30">
        <v>0</v>
      </c>
      <c r="E45" s="30">
        <v>0</v>
      </c>
      <c r="F45" s="30">
        <v>0</v>
      </c>
      <c r="G45" s="31">
        <f>SUM(PR_FINANCIAL)</f>
        <v>0</v>
      </c>
      <c r="H45" s="30"/>
      <c r="I45" s="30"/>
      <c r="J45" s="30"/>
      <c r="K45" s="30"/>
      <c r="L45" s="29"/>
      <c r="M45" s="30"/>
      <c r="N45" s="30"/>
      <c r="O45" s="30"/>
      <c r="P45" s="30"/>
      <c r="Q45" s="30"/>
      <c r="R45" s="30"/>
      <c r="S45" s="30"/>
      <c r="T45" s="30"/>
      <c r="U45" s="30"/>
      <c r="V45" s="31"/>
    </row>
    <row r="46" spans="1:22">
      <c r="A46" s="1" t="s">
        <v>67</v>
      </c>
      <c r="B46" s="29">
        <v>0</v>
      </c>
      <c r="C46" s="30">
        <v>0</v>
      </c>
      <c r="D46" s="30">
        <v>0</v>
      </c>
      <c r="E46" s="30">
        <v>0</v>
      </c>
      <c r="F46" s="30">
        <v>0</v>
      </c>
      <c r="G46" s="31">
        <f>SUM(RI_FINANCIAL)</f>
        <v>0</v>
      </c>
      <c r="H46" s="30"/>
      <c r="I46" s="30"/>
      <c r="J46" s="30"/>
      <c r="K46" s="30"/>
      <c r="L46" s="29"/>
      <c r="M46" s="30"/>
      <c r="N46" s="30"/>
      <c r="O46" s="30"/>
      <c r="P46" s="30"/>
      <c r="Q46" s="30"/>
      <c r="R46" s="30"/>
      <c r="S46" s="30"/>
      <c r="T46" s="30"/>
      <c r="U46" s="30"/>
      <c r="V46" s="31"/>
    </row>
    <row r="47" spans="1:22">
      <c r="A47" s="1" t="s">
        <v>68</v>
      </c>
      <c r="B47" s="29">
        <v>0</v>
      </c>
      <c r="C47" s="30">
        <v>0</v>
      </c>
      <c r="D47" s="30">
        <v>0</v>
      </c>
      <c r="E47" s="30">
        <v>0</v>
      </c>
      <c r="F47" s="30">
        <v>0</v>
      </c>
      <c r="G47" s="31">
        <f>SUM(SC_FINANCIAL)</f>
        <v>0</v>
      </c>
      <c r="H47" s="30"/>
      <c r="I47" s="30"/>
      <c r="J47" s="30"/>
      <c r="K47" s="30"/>
      <c r="L47" s="29"/>
      <c r="M47" s="30"/>
      <c r="N47" s="30"/>
      <c r="O47" s="30"/>
      <c r="P47" s="30"/>
      <c r="Q47" s="30"/>
      <c r="R47" s="30"/>
      <c r="S47" s="30"/>
      <c r="T47" s="30"/>
      <c r="U47" s="30"/>
      <c r="V47" s="31"/>
    </row>
    <row r="48" spans="1:22">
      <c r="A48" s="1" t="s">
        <v>69</v>
      </c>
      <c r="B48" s="29">
        <v>0</v>
      </c>
      <c r="C48" s="30">
        <v>0</v>
      </c>
      <c r="D48" s="30">
        <v>0</v>
      </c>
      <c r="E48" s="30">
        <v>0</v>
      </c>
      <c r="F48" s="30">
        <v>0</v>
      </c>
      <c r="G48" s="31">
        <f>SUM(SD_FINANCIAL)</f>
        <v>0</v>
      </c>
      <c r="H48" s="30"/>
      <c r="I48" s="30"/>
      <c r="J48" s="30"/>
      <c r="K48" s="30"/>
      <c r="L48" s="29"/>
      <c r="M48" s="30"/>
      <c r="N48" s="30"/>
      <c r="O48" s="30"/>
      <c r="P48" s="30"/>
      <c r="Q48" s="30"/>
      <c r="R48" s="30"/>
      <c r="S48" s="30"/>
      <c r="T48" s="30"/>
      <c r="U48" s="30"/>
      <c r="V48" s="31"/>
    </row>
    <row r="49" spans="1:22">
      <c r="A49" s="1" t="s">
        <v>70</v>
      </c>
      <c r="B49" s="29">
        <v>0</v>
      </c>
      <c r="C49" s="30">
        <v>0</v>
      </c>
      <c r="D49" s="30">
        <v>0</v>
      </c>
      <c r="E49" s="30">
        <v>0</v>
      </c>
      <c r="F49" s="30">
        <v>0</v>
      </c>
      <c r="G49" s="31">
        <f>SUM(TN_FINANCIAL)</f>
        <v>0</v>
      </c>
      <c r="H49" s="30"/>
      <c r="I49" s="30"/>
      <c r="J49" s="30"/>
      <c r="K49" s="30"/>
      <c r="L49" s="29"/>
      <c r="M49" s="30"/>
      <c r="N49" s="30"/>
      <c r="O49" s="30"/>
      <c r="P49" s="30"/>
      <c r="Q49" s="30"/>
      <c r="R49" s="30"/>
      <c r="S49" s="30"/>
      <c r="T49" s="30"/>
      <c r="U49" s="30"/>
      <c r="V49" s="31"/>
    </row>
    <row r="50" spans="1:22">
      <c r="A50" s="1" t="s">
        <v>71</v>
      </c>
      <c r="B50" s="29">
        <v>0</v>
      </c>
      <c r="C50" s="30">
        <v>0</v>
      </c>
      <c r="D50" s="30">
        <v>0</v>
      </c>
      <c r="E50" s="30">
        <v>0</v>
      </c>
      <c r="F50" s="30">
        <v>0</v>
      </c>
      <c r="G50" s="31">
        <f>SUM(TX_FINANCIAL)</f>
        <v>0</v>
      </c>
      <c r="H50" s="30"/>
      <c r="I50" s="30"/>
      <c r="J50" s="30"/>
      <c r="K50" s="30"/>
      <c r="L50" s="29"/>
      <c r="M50" s="30"/>
      <c r="N50" s="30"/>
      <c r="O50" s="30"/>
      <c r="P50" s="30"/>
      <c r="Q50" s="30"/>
      <c r="R50" s="30"/>
      <c r="S50" s="30"/>
      <c r="T50" s="30"/>
      <c r="U50" s="30"/>
      <c r="V50" s="31"/>
    </row>
    <row r="51" spans="1:22">
      <c r="A51" s="1" t="s">
        <v>72</v>
      </c>
      <c r="B51" s="29">
        <v>0</v>
      </c>
      <c r="C51" s="30">
        <v>0</v>
      </c>
      <c r="D51" s="30">
        <v>0</v>
      </c>
      <c r="E51" s="30">
        <v>0</v>
      </c>
      <c r="F51" s="30">
        <v>0</v>
      </c>
      <c r="G51" s="31">
        <f>SUM(UT_FINANCIAL)</f>
        <v>0</v>
      </c>
      <c r="H51" s="30"/>
      <c r="I51" s="30"/>
      <c r="J51" s="30"/>
      <c r="K51" s="30"/>
      <c r="L51" s="29"/>
      <c r="M51" s="30"/>
      <c r="N51" s="30"/>
      <c r="O51" s="30"/>
      <c r="P51" s="30"/>
      <c r="Q51" s="30"/>
      <c r="R51" s="30"/>
      <c r="S51" s="30"/>
      <c r="T51" s="30"/>
      <c r="U51" s="30"/>
      <c r="V51" s="31"/>
    </row>
    <row r="52" spans="1:22">
      <c r="A52" s="1" t="s">
        <v>73</v>
      </c>
      <c r="B52" s="29">
        <v>0</v>
      </c>
      <c r="C52" s="30">
        <v>0</v>
      </c>
      <c r="D52" s="30">
        <v>0</v>
      </c>
      <c r="E52" s="30">
        <v>0</v>
      </c>
      <c r="F52" s="30">
        <v>0</v>
      </c>
      <c r="G52" s="31">
        <f>SUM(VT_FINANCIAL)</f>
        <v>0</v>
      </c>
      <c r="H52" s="30"/>
      <c r="I52" s="30"/>
      <c r="J52" s="30"/>
      <c r="K52" s="30"/>
      <c r="L52" s="29"/>
      <c r="M52" s="30"/>
      <c r="N52" s="30"/>
      <c r="O52" s="30"/>
      <c r="P52" s="30"/>
      <c r="Q52" s="30"/>
      <c r="R52" s="30"/>
      <c r="S52" s="30"/>
      <c r="T52" s="30"/>
      <c r="U52" s="30"/>
      <c r="V52" s="31"/>
    </row>
    <row r="53" spans="1:22">
      <c r="A53" s="1" t="s">
        <v>74</v>
      </c>
      <c r="B53" s="29">
        <v>0</v>
      </c>
      <c r="C53" s="30">
        <v>0</v>
      </c>
      <c r="D53" s="30">
        <v>0</v>
      </c>
      <c r="E53" s="30">
        <v>0</v>
      </c>
      <c r="F53" s="30">
        <v>0</v>
      </c>
      <c r="G53" s="31">
        <f>SUM(VA_FINANCIAL)</f>
        <v>0</v>
      </c>
      <c r="H53" s="30"/>
      <c r="I53" s="30"/>
      <c r="J53" s="30"/>
      <c r="K53" s="30"/>
      <c r="L53" s="29"/>
      <c r="M53" s="30"/>
      <c r="N53" s="30"/>
      <c r="O53" s="30"/>
      <c r="P53" s="30"/>
      <c r="Q53" s="30"/>
      <c r="R53" s="30"/>
      <c r="S53" s="30"/>
      <c r="T53" s="30"/>
      <c r="U53" s="30"/>
      <c r="V53" s="31"/>
    </row>
    <row r="54" spans="1:22">
      <c r="A54" s="1" t="s">
        <v>75</v>
      </c>
      <c r="B54" s="29">
        <v>0</v>
      </c>
      <c r="C54" s="30">
        <v>0</v>
      </c>
      <c r="D54" s="30">
        <v>0</v>
      </c>
      <c r="E54" s="30">
        <v>0</v>
      </c>
      <c r="F54" s="30">
        <v>0</v>
      </c>
      <c r="G54" s="31">
        <f>SUM(WA_FINANCIAL)</f>
        <v>0</v>
      </c>
      <c r="H54" s="30"/>
      <c r="I54" s="30"/>
      <c r="J54" s="30"/>
      <c r="K54" s="30"/>
      <c r="L54" s="29"/>
      <c r="M54" s="30"/>
      <c r="N54" s="30"/>
      <c r="O54" s="30"/>
      <c r="P54" s="30"/>
      <c r="Q54" s="30"/>
      <c r="R54" s="30"/>
      <c r="S54" s="30"/>
      <c r="T54" s="30"/>
      <c r="U54" s="30"/>
      <c r="V54" s="31"/>
    </row>
    <row r="55" spans="1:22">
      <c r="A55" s="1" t="s">
        <v>76</v>
      </c>
      <c r="B55" s="29">
        <v>0</v>
      </c>
      <c r="C55" s="30">
        <v>0</v>
      </c>
      <c r="D55" s="30">
        <v>0</v>
      </c>
      <c r="E55" s="30">
        <v>0</v>
      </c>
      <c r="F55" s="30">
        <v>0</v>
      </c>
      <c r="G55" s="31">
        <f>SUM(WV_FINANCIAL)</f>
        <v>0</v>
      </c>
      <c r="H55" s="30"/>
      <c r="I55" s="30"/>
      <c r="J55" s="30"/>
      <c r="K55" s="30"/>
      <c r="L55" s="29"/>
      <c r="M55" s="30"/>
      <c r="N55" s="30"/>
      <c r="O55" s="30"/>
      <c r="P55" s="30"/>
      <c r="Q55" s="30"/>
      <c r="R55" s="30"/>
      <c r="S55" s="30"/>
      <c r="T55" s="30"/>
      <c r="U55" s="30"/>
      <c r="V55" s="31"/>
    </row>
    <row r="56" spans="1:22">
      <c r="A56" s="1" t="s">
        <v>77</v>
      </c>
      <c r="B56" s="29">
        <v>0</v>
      </c>
      <c r="C56" s="30">
        <v>0</v>
      </c>
      <c r="D56" s="30">
        <v>0</v>
      </c>
      <c r="E56" s="30">
        <v>0</v>
      </c>
      <c r="F56" s="30">
        <v>0</v>
      </c>
      <c r="G56" s="31">
        <f>SUM(WI_FINANCIAL)</f>
        <v>0</v>
      </c>
      <c r="H56" s="30"/>
      <c r="I56" s="30"/>
      <c r="J56" s="30"/>
      <c r="K56" s="30"/>
      <c r="L56" s="29"/>
      <c r="M56" s="30"/>
      <c r="N56" s="30"/>
      <c r="O56" s="30"/>
      <c r="P56" s="30"/>
      <c r="Q56" s="30"/>
      <c r="R56" s="30"/>
      <c r="S56" s="30"/>
      <c r="T56" s="30"/>
      <c r="U56" s="30"/>
      <c r="V56" s="31"/>
    </row>
    <row r="57" spans="1:22">
      <c r="A57" s="1" t="s">
        <v>78</v>
      </c>
      <c r="B57" s="29">
        <v>0</v>
      </c>
      <c r="C57" s="30">
        <v>0</v>
      </c>
      <c r="D57" s="30">
        <v>0</v>
      </c>
      <c r="E57" s="30">
        <v>0</v>
      </c>
      <c r="F57" s="30">
        <v>0</v>
      </c>
      <c r="G57" s="31">
        <f>SUM(WY_FINANCIAL)</f>
        <v>0</v>
      </c>
      <c r="H57" s="30"/>
      <c r="I57" s="30"/>
      <c r="J57" s="30"/>
      <c r="K57" s="30"/>
      <c r="L57" s="29"/>
      <c r="M57" s="30"/>
      <c r="N57" s="30"/>
      <c r="O57" s="30"/>
      <c r="P57" s="30"/>
      <c r="Q57" s="30"/>
      <c r="R57" s="30"/>
      <c r="S57" s="30"/>
      <c r="T57" s="30"/>
      <c r="U57" s="30"/>
      <c r="V57" s="31"/>
    </row>
    <row r="58" spans="1:22">
      <c r="A58" s="1" t="s">
        <v>79</v>
      </c>
      <c r="B58" s="29">
        <v>0</v>
      </c>
      <c r="C58" s="30">
        <v>0</v>
      </c>
      <c r="D58" s="30">
        <v>0</v>
      </c>
      <c r="E58" s="30">
        <v>0</v>
      </c>
      <c r="F58" s="30">
        <v>0</v>
      </c>
      <c r="G58" s="31">
        <f>SUM(OT_FINANCIAL)</f>
        <v>0</v>
      </c>
      <c r="H58" s="30"/>
      <c r="I58" s="30"/>
      <c r="J58" s="30"/>
      <c r="K58" s="30"/>
      <c r="L58" s="29"/>
      <c r="M58" s="30"/>
      <c r="N58" s="30"/>
      <c r="O58" s="30"/>
      <c r="P58" s="30"/>
      <c r="Q58" s="30"/>
      <c r="R58" s="30"/>
      <c r="S58" s="30"/>
      <c r="T58" s="30"/>
      <c r="U58" s="30"/>
      <c r="V58" s="31"/>
    </row>
    <row r="59" spans="1:22">
      <c r="B59" s="29"/>
      <c r="C59" s="30"/>
      <c r="D59" s="30"/>
      <c r="E59" s="30"/>
      <c r="F59" s="30"/>
      <c r="G59" s="31"/>
      <c r="H59" s="30"/>
      <c r="I59" s="30"/>
      <c r="J59" s="30"/>
      <c r="K59" s="30"/>
      <c r="L59" s="29"/>
      <c r="M59" s="30"/>
      <c r="N59" s="30"/>
      <c r="O59" s="30"/>
      <c r="P59" s="30"/>
      <c r="Q59" s="30"/>
      <c r="R59" s="30"/>
      <c r="S59" s="30"/>
      <c r="T59" s="30"/>
      <c r="U59" s="30"/>
      <c r="V59" s="31"/>
    </row>
    <row r="60" spans="1:22">
      <c r="A60" s="1" t="s">
        <v>8</v>
      </c>
      <c r="B60" s="29">
        <f>SUM(LIFE)</f>
        <v>4721553.5146318031</v>
      </c>
      <c r="C60" s="30">
        <f>SUM(ALLOCATED)</f>
        <v>4475123.8910564287</v>
      </c>
      <c r="D60" s="30">
        <f>SUM(HEALTH)</f>
        <v>0</v>
      </c>
      <c r="E60" s="30">
        <f>SUM(UNALLOCATED)</f>
        <v>0</v>
      </c>
      <c r="F60" s="30">
        <f>SUM(LTC)</f>
        <v>0</v>
      </c>
      <c r="G60" s="31">
        <f>SUM(ALL_BLOCKS)</f>
        <v>9196677.4056882318</v>
      </c>
      <c r="H60" s="30"/>
      <c r="I60" s="30"/>
      <c r="J60" s="30"/>
      <c r="K60" s="30"/>
      <c r="L60" s="29">
        <f>SUM(LIFE_CALLED)</f>
        <v>7965000</v>
      </c>
      <c r="M60" s="30">
        <f>SUM(LIFE_REFUNDED)</f>
        <v>3015000</v>
      </c>
      <c r="N60" s="30"/>
      <c r="O60" s="30">
        <f>SUM(ALLOC_CALLED)</f>
        <v>885000</v>
      </c>
      <c r="P60" s="30">
        <f>SUM(ALLOC_REFUNDED)</f>
        <v>335000</v>
      </c>
      <c r="Q60" s="30"/>
      <c r="R60" s="30">
        <f>SUM(HEALTH_CALLED)</f>
        <v>0</v>
      </c>
      <c r="S60" s="30">
        <f>SUM(HEALTH_REFUNDED)</f>
        <v>0</v>
      </c>
      <c r="T60" s="30"/>
      <c r="U60" s="30">
        <f>SUM(UNALLOC_CALLED)</f>
        <v>0</v>
      </c>
      <c r="V60" s="31">
        <f>SUM(UNALLOC_REFUNDED)</f>
        <v>0</v>
      </c>
    </row>
    <row r="61" spans="1:22" ht="5.0999999999999996" customHeight="1">
      <c r="B61" s="8"/>
      <c r="G61" s="11"/>
      <c r="L61" s="8"/>
      <c r="V61" s="11"/>
    </row>
    <row r="62" spans="1:22">
      <c r="B62" s="8"/>
      <c r="G62" s="11"/>
      <c r="L62" s="122" t="s">
        <v>80</v>
      </c>
      <c r="M62" s="123"/>
      <c r="N62" s="123"/>
      <c r="O62" s="123"/>
      <c r="P62" s="123"/>
      <c r="Q62" s="123"/>
      <c r="R62" s="123"/>
      <c r="S62" s="123"/>
      <c r="T62" s="123"/>
      <c r="U62" s="123"/>
      <c r="V62" s="124"/>
    </row>
    <row r="63" spans="1:22">
      <c r="B63" s="8"/>
      <c r="G63" s="11"/>
      <c r="L63" s="125"/>
      <c r="M63" s="123"/>
      <c r="N63" s="123"/>
      <c r="O63" s="123"/>
      <c r="P63" s="123"/>
      <c r="Q63" s="123"/>
      <c r="R63" s="123"/>
      <c r="S63" s="123"/>
      <c r="T63" s="123"/>
      <c r="U63" s="123"/>
      <c r="V63" s="124"/>
    </row>
    <row r="64" spans="1:22">
      <c r="B64" s="10"/>
      <c r="C64" s="7"/>
      <c r="D64" s="7"/>
      <c r="E64" s="7"/>
      <c r="F64" s="7"/>
      <c r="G64" s="13"/>
      <c r="L64" s="126"/>
      <c r="M64" s="127"/>
      <c r="N64" s="127"/>
      <c r="O64" s="127"/>
      <c r="P64" s="127"/>
      <c r="Q64" s="127"/>
      <c r="R64" s="127"/>
      <c r="S64" s="127"/>
      <c r="T64" s="127"/>
      <c r="U64" s="127"/>
      <c r="V64" s="128"/>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pageSetUpPr fitToPage="1"/>
  </sheetPr>
  <dimension ref="A1:V64"/>
  <sheetViews>
    <sheetView zoomScale="75" workbookViewId="0">
      <selection sqref="A1:XFD1048576"/>
    </sheetView>
  </sheetViews>
  <sheetFormatPr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129" t="s">
        <v>113</v>
      </c>
      <c r="B1" s="123"/>
      <c r="C1" s="123"/>
      <c r="D1" s="123"/>
      <c r="E1" s="123"/>
      <c r="F1" s="123"/>
      <c r="G1" s="123"/>
    </row>
    <row r="3" spans="1:22">
      <c r="B3" s="130" t="s">
        <v>1</v>
      </c>
      <c r="C3" s="131"/>
      <c r="D3" s="131"/>
      <c r="E3" s="131"/>
      <c r="F3" s="131"/>
      <c r="G3" s="132"/>
      <c r="L3" s="133" t="s">
        <v>2</v>
      </c>
      <c r="M3" s="134"/>
      <c r="N3" s="134"/>
      <c r="O3" s="134"/>
      <c r="P3" s="134"/>
      <c r="Q3" s="134"/>
      <c r="R3" s="134"/>
      <c r="S3" s="134"/>
      <c r="T3" s="134"/>
      <c r="U3" s="134"/>
      <c r="V3" s="135"/>
    </row>
    <row r="4" spans="1:22">
      <c r="B4" s="8"/>
      <c r="G4" s="11"/>
      <c r="L4" s="136" t="s">
        <v>3</v>
      </c>
      <c r="M4" s="137"/>
      <c r="N4" s="4"/>
      <c r="O4" s="138" t="s">
        <v>4</v>
      </c>
      <c r="P4" s="137"/>
      <c r="Q4" s="4"/>
      <c r="R4" s="138" t="s">
        <v>5</v>
      </c>
      <c r="S4" s="137"/>
      <c r="T4" s="4"/>
      <c r="U4" s="138" t="s">
        <v>6</v>
      </c>
      <c r="V4" s="139"/>
    </row>
    <row r="5" spans="1:22" ht="60" customHeight="1">
      <c r="B5" s="9" t="s">
        <v>3</v>
      </c>
      <c r="C5" s="5" t="s">
        <v>4</v>
      </c>
      <c r="D5" s="5" t="s">
        <v>5</v>
      </c>
      <c r="E5" s="5" t="s">
        <v>6</v>
      </c>
      <c r="F5" s="5" t="s">
        <v>7</v>
      </c>
      <c r="G5" s="12" t="s">
        <v>8</v>
      </c>
      <c r="L5" s="15" t="s">
        <v>9</v>
      </c>
      <c r="M5" s="14" t="s">
        <v>10</v>
      </c>
      <c r="N5" s="14"/>
      <c r="O5" s="14" t="s">
        <v>9</v>
      </c>
      <c r="P5" s="14" t="s">
        <v>10</v>
      </c>
      <c r="Q5" s="14"/>
      <c r="R5" s="14" t="s">
        <v>9</v>
      </c>
      <c r="S5" s="14" t="s">
        <v>10</v>
      </c>
      <c r="T5" s="14"/>
      <c r="U5" s="14" t="s">
        <v>9</v>
      </c>
      <c r="V5" s="16" t="s">
        <v>10</v>
      </c>
    </row>
    <row r="6" spans="1:22">
      <c r="A6" s="1" t="s">
        <v>11</v>
      </c>
      <c r="B6" s="29">
        <v>1799.6324644488068</v>
      </c>
      <c r="C6" s="30">
        <v>382253.76467821293</v>
      </c>
      <c r="D6" s="30">
        <v>0</v>
      </c>
      <c r="E6" s="30">
        <v>0</v>
      </c>
      <c r="F6" s="30">
        <v>0</v>
      </c>
      <c r="G6" s="31">
        <f>SUM(AL_FINANCIAL)</f>
        <v>384053.39714266174</v>
      </c>
      <c r="H6" s="30"/>
      <c r="I6" s="30"/>
      <c r="J6" s="30"/>
      <c r="K6" s="30"/>
      <c r="L6" s="29"/>
      <c r="M6" s="30"/>
      <c r="N6" s="30"/>
      <c r="O6" s="30"/>
      <c r="P6" s="30"/>
      <c r="Q6" s="30"/>
      <c r="R6" s="30"/>
      <c r="S6" s="30"/>
      <c r="T6" s="30"/>
      <c r="U6" s="30"/>
      <c r="V6" s="31"/>
    </row>
    <row r="7" spans="1:22">
      <c r="A7" s="1" t="s">
        <v>12</v>
      </c>
      <c r="B7" s="29">
        <v>723.03365774358747</v>
      </c>
      <c r="C7" s="30">
        <v>1871.4052157662916</v>
      </c>
      <c r="D7" s="30">
        <v>0</v>
      </c>
      <c r="E7" s="30">
        <v>0</v>
      </c>
      <c r="F7" s="30">
        <v>0</v>
      </c>
      <c r="G7" s="31">
        <f>SUM(AK_FINANCIAL)</f>
        <v>2594.4388735098792</v>
      </c>
      <c r="H7" s="30"/>
      <c r="I7" s="32"/>
      <c r="J7" s="33"/>
      <c r="K7" s="30"/>
      <c r="L7" s="29">
        <v>4005</v>
      </c>
      <c r="M7" s="30">
        <v>30</v>
      </c>
      <c r="N7" s="30"/>
      <c r="O7" s="30">
        <v>6000</v>
      </c>
      <c r="P7" s="30">
        <v>20</v>
      </c>
      <c r="Q7" s="30"/>
      <c r="R7" s="30">
        <v>5</v>
      </c>
      <c r="S7" s="30">
        <v>0</v>
      </c>
      <c r="T7" s="30"/>
      <c r="U7" s="30">
        <v>0</v>
      </c>
      <c r="V7" s="31">
        <v>0</v>
      </c>
    </row>
    <row r="8" spans="1:22">
      <c r="A8" s="1" t="s">
        <v>13</v>
      </c>
      <c r="B8" s="29">
        <v>2316.7189140999139</v>
      </c>
      <c r="C8" s="30">
        <v>49016.133866603574</v>
      </c>
      <c r="D8" s="30">
        <v>0</v>
      </c>
      <c r="E8" s="30">
        <v>0</v>
      </c>
      <c r="F8" s="30">
        <v>0</v>
      </c>
      <c r="G8" s="31">
        <f>SUM(AZ_FINANCIAL)</f>
        <v>51332.852780703484</v>
      </c>
      <c r="H8" s="30"/>
      <c r="I8" s="34" t="s">
        <v>14</v>
      </c>
      <c r="J8" s="35"/>
      <c r="K8" s="30"/>
      <c r="L8" s="29"/>
      <c r="M8" s="30"/>
      <c r="N8" s="30"/>
      <c r="O8" s="30"/>
      <c r="P8" s="30"/>
      <c r="Q8" s="30"/>
      <c r="R8" s="30"/>
      <c r="S8" s="30"/>
      <c r="T8" s="30"/>
      <c r="U8" s="30"/>
      <c r="V8" s="31"/>
    </row>
    <row r="9" spans="1:22">
      <c r="A9" s="1" t="s">
        <v>15</v>
      </c>
      <c r="B9" s="29">
        <v>2259.2803646248208</v>
      </c>
      <c r="C9" s="30">
        <v>13185.200961231976</v>
      </c>
      <c r="D9" s="30">
        <v>0</v>
      </c>
      <c r="E9" s="30">
        <v>0</v>
      </c>
      <c r="F9" s="30">
        <v>0</v>
      </c>
      <c r="G9" s="31">
        <f>SUM(AR_FINANCIAL)</f>
        <v>15444.481325856797</v>
      </c>
      <c r="H9" s="30"/>
      <c r="I9" s="34"/>
      <c r="J9" s="35"/>
      <c r="K9" s="30"/>
      <c r="L9" s="29">
        <v>36125</v>
      </c>
      <c r="M9" s="30">
        <v>0</v>
      </c>
      <c r="N9" s="30"/>
      <c r="O9" s="30">
        <v>0</v>
      </c>
      <c r="P9" s="30">
        <v>0</v>
      </c>
      <c r="Q9" s="30"/>
      <c r="R9" s="30">
        <v>0</v>
      </c>
      <c r="S9" s="30">
        <v>0</v>
      </c>
      <c r="T9" s="30"/>
      <c r="U9" s="30">
        <v>0</v>
      </c>
      <c r="V9" s="31">
        <v>0</v>
      </c>
    </row>
    <row r="10" spans="1:22">
      <c r="A10" s="1" t="s">
        <v>16</v>
      </c>
      <c r="B10" s="29">
        <v>31046.759389887586</v>
      </c>
      <c r="C10" s="30">
        <v>249805.78607366551</v>
      </c>
      <c r="D10" s="30">
        <v>0</v>
      </c>
      <c r="E10" s="30">
        <v>0</v>
      </c>
      <c r="F10" s="30">
        <v>0</v>
      </c>
      <c r="G10" s="31">
        <f>SUM(CA_FINANCIAL)</f>
        <v>280852.54546355311</v>
      </c>
      <c r="H10" s="30"/>
      <c r="I10" s="34" t="s">
        <v>17</v>
      </c>
      <c r="J10" s="35">
        <v>11499999</v>
      </c>
      <c r="K10" s="30"/>
      <c r="L10" s="29">
        <v>205036</v>
      </c>
      <c r="M10" s="30">
        <v>0</v>
      </c>
      <c r="N10" s="30"/>
      <c r="O10" s="30">
        <v>314964</v>
      </c>
      <c r="P10" s="30">
        <v>0</v>
      </c>
      <c r="Q10" s="30"/>
      <c r="R10" s="30">
        <v>0</v>
      </c>
      <c r="S10" s="30">
        <v>0</v>
      </c>
      <c r="T10" s="30"/>
      <c r="U10" s="30">
        <v>0</v>
      </c>
      <c r="V10" s="31">
        <v>0</v>
      </c>
    </row>
    <row r="11" spans="1:22">
      <c r="A11" s="1" t="s">
        <v>18</v>
      </c>
      <c r="B11" s="29">
        <v>0</v>
      </c>
      <c r="C11" s="30">
        <v>0</v>
      </c>
      <c r="D11" s="30">
        <v>0</v>
      </c>
      <c r="E11" s="30">
        <v>0</v>
      </c>
      <c r="F11" s="30">
        <v>0</v>
      </c>
      <c r="G11" s="31">
        <f>SUM(CO_FINANCIAL)</f>
        <v>0</v>
      </c>
      <c r="H11" s="30"/>
      <c r="I11" s="34"/>
      <c r="J11" s="35"/>
      <c r="K11" s="30"/>
      <c r="L11" s="29"/>
      <c r="M11" s="30"/>
      <c r="N11" s="30"/>
      <c r="O11" s="30"/>
      <c r="P11" s="30"/>
      <c r="Q11" s="30"/>
      <c r="R11" s="30"/>
      <c r="S11" s="30"/>
      <c r="T11" s="30"/>
      <c r="U11" s="30"/>
      <c r="V11" s="31"/>
    </row>
    <row r="12" spans="1:22">
      <c r="A12" s="1" t="s">
        <v>19</v>
      </c>
      <c r="B12" s="29">
        <v>9007.1263700879808</v>
      </c>
      <c r="C12" s="30">
        <v>163387.86060254782</v>
      </c>
      <c r="D12" s="30">
        <v>0</v>
      </c>
      <c r="E12" s="30">
        <v>0</v>
      </c>
      <c r="F12" s="30">
        <v>0</v>
      </c>
      <c r="G12" s="31">
        <f>SUM(CT_FINANCIAL)</f>
        <v>172394.98697263582</v>
      </c>
      <c r="H12" s="30"/>
      <c r="I12" s="34" t="s">
        <v>20</v>
      </c>
      <c r="J12" s="35"/>
      <c r="K12" s="30"/>
      <c r="L12" s="29">
        <v>210000</v>
      </c>
      <c r="M12" s="30">
        <v>0</v>
      </c>
      <c r="N12" s="30"/>
      <c r="O12" s="30">
        <v>0</v>
      </c>
      <c r="P12" s="30">
        <v>0</v>
      </c>
      <c r="Q12" s="30"/>
      <c r="R12" s="30">
        <v>0</v>
      </c>
      <c r="S12" s="30">
        <v>0</v>
      </c>
      <c r="T12" s="30"/>
      <c r="U12" s="30">
        <v>0</v>
      </c>
      <c r="V12" s="31">
        <v>0</v>
      </c>
    </row>
    <row r="13" spans="1:22">
      <c r="A13" s="1" t="s">
        <v>21</v>
      </c>
      <c r="B13" s="29">
        <v>815.68946251259217</v>
      </c>
      <c r="C13" s="30">
        <v>29731.343645641267</v>
      </c>
      <c r="D13" s="30">
        <v>0</v>
      </c>
      <c r="E13" s="30">
        <v>0</v>
      </c>
      <c r="F13" s="30">
        <v>0</v>
      </c>
      <c r="G13" s="31">
        <f>SUM(DE_FINANCIAL)</f>
        <v>30547.033108153861</v>
      </c>
      <c r="H13" s="30"/>
      <c r="I13" s="34" t="s">
        <v>22</v>
      </c>
      <c r="J13" s="35">
        <v>11499999</v>
      </c>
      <c r="K13" s="30"/>
      <c r="L13" s="29"/>
      <c r="M13" s="30"/>
      <c r="N13" s="30"/>
      <c r="O13" s="30"/>
      <c r="P13" s="30"/>
      <c r="Q13" s="30"/>
      <c r="R13" s="30"/>
      <c r="S13" s="30"/>
      <c r="T13" s="30"/>
      <c r="U13" s="30"/>
      <c r="V13" s="31"/>
    </row>
    <row r="14" spans="1:22">
      <c r="A14" s="1" t="s">
        <v>23</v>
      </c>
      <c r="B14" s="29">
        <v>0</v>
      </c>
      <c r="C14" s="30">
        <v>0</v>
      </c>
      <c r="D14" s="30">
        <v>0</v>
      </c>
      <c r="E14" s="30">
        <v>0</v>
      </c>
      <c r="F14" s="30">
        <v>0</v>
      </c>
      <c r="G14" s="31">
        <f>SUM(DC_FINANCIAL)</f>
        <v>0</v>
      </c>
      <c r="H14" s="30"/>
      <c r="I14" s="34" t="s">
        <v>24</v>
      </c>
      <c r="J14" s="35">
        <v>0</v>
      </c>
      <c r="K14" s="30"/>
      <c r="L14" s="29"/>
      <c r="M14" s="30"/>
      <c r="N14" s="30"/>
      <c r="O14" s="30"/>
      <c r="P14" s="30"/>
      <c r="Q14" s="30"/>
      <c r="R14" s="30"/>
      <c r="S14" s="30"/>
      <c r="T14" s="30"/>
      <c r="U14" s="30"/>
      <c r="V14" s="31"/>
    </row>
    <row r="15" spans="1:22">
      <c r="A15" s="1" t="s">
        <v>25</v>
      </c>
      <c r="B15" s="29">
        <v>11352.212309064294</v>
      </c>
      <c r="C15" s="30">
        <v>272677.84176931792</v>
      </c>
      <c r="D15" s="30">
        <v>0</v>
      </c>
      <c r="E15" s="30">
        <v>0</v>
      </c>
      <c r="F15" s="30">
        <v>0</v>
      </c>
      <c r="G15" s="31">
        <f>SUM(FL_FINANCIAL)</f>
        <v>284030.05407838221</v>
      </c>
      <c r="H15" s="30"/>
      <c r="I15" s="34" t="s">
        <v>26</v>
      </c>
      <c r="J15" s="35">
        <v>2940462.4499999993</v>
      </c>
      <c r="K15" s="30"/>
      <c r="L15" s="29"/>
      <c r="M15" s="30"/>
      <c r="N15" s="30"/>
      <c r="O15" s="30"/>
      <c r="P15" s="30"/>
      <c r="Q15" s="30"/>
      <c r="R15" s="30"/>
      <c r="S15" s="30"/>
      <c r="T15" s="30"/>
      <c r="U15" s="30"/>
      <c r="V15" s="31"/>
    </row>
    <row r="16" spans="1:22">
      <c r="A16" s="1" t="s">
        <v>27</v>
      </c>
      <c r="B16" s="29">
        <v>10137.048501976175</v>
      </c>
      <c r="C16" s="30">
        <v>15586.6937083266</v>
      </c>
      <c r="D16" s="30">
        <v>0</v>
      </c>
      <c r="E16" s="30">
        <v>0</v>
      </c>
      <c r="F16" s="30">
        <v>0</v>
      </c>
      <c r="G16" s="31">
        <f>SUM(GA_FINANCIAL)</f>
        <v>25723.742210302775</v>
      </c>
      <c r="H16" s="30"/>
      <c r="I16" s="34" t="s">
        <v>28</v>
      </c>
      <c r="J16" s="35">
        <v>0</v>
      </c>
      <c r="K16" s="30"/>
      <c r="L16" s="29"/>
      <c r="M16" s="30"/>
      <c r="N16" s="30"/>
      <c r="O16" s="30"/>
      <c r="P16" s="30"/>
      <c r="Q16" s="30"/>
      <c r="R16" s="30"/>
      <c r="S16" s="30"/>
      <c r="T16" s="30"/>
      <c r="U16" s="30"/>
      <c r="V16" s="31"/>
    </row>
    <row r="17" spans="1:22">
      <c r="A17" s="1" t="s">
        <v>29</v>
      </c>
      <c r="B17" s="29">
        <v>664.66850272275087</v>
      </c>
      <c r="C17" s="30">
        <v>18314.638995122856</v>
      </c>
      <c r="D17" s="30">
        <v>0</v>
      </c>
      <c r="E17" s="30">
        <v>0</v>
      </c>
      <c r="F17" s="30">
        <v>0</v>
      </c>
      <c r="G17" s="31">
        <f>SUM(HI_FINANCIAL)</f>
        <v>18979.307497845606</v>
      </c>
      <c r="H17" s="30"/>
      <c r="I17" s="34"/>
      <c r="J17" s="35"/>
      <c r="K17" s="30"/>
      <c r="L17" s="29">
        <v>77</v>
      </c>
      <c r="M17" s="30">
        <v>0</v>
      </c>
      <c r="N17" s="30"/>
      <c r="O17" s="30">
        <v>1692</v>
      </c>
      <c r="P17" s="30">
        <v>0</v>
      </c>
      <c r="Q17" s="30"/>
      <c r="R17" s="30">
        <v>73</v>
      </c>
      <c r="S17" s="30">
        <v>0</v>
      </c>
      <c r="T17" s="30"/>
      <c r="U17" s="30">
        <v>0</v>
      </c>
      <c r="V17" s="31">
        <v>0</v>
      </c>
    </row>
    <row r="18" spans="1:22">
      <c r="A18" s="1" t="s">
        <v>30</v>
      </c>
      <c r="B18" s="29">
        <v>348.25803565988809</v>
      </c>
      <c r="C18" s="30">
        <v>158024.07655813478</v>
      </c>
      <c r="D18" s="30">
        <v>0</v>
      </c>
      <c r="E18" s="30">
        <v>0</v>
      </c>
      <c r="F18" s="30">
        <v>0</v>
      </c>
      <c r="G18" s="31">
        <f>SUM(ID_FINANCIAL)</f>
        <v>158372.33459379466</v>
      </c>
      <c r="H18" s="30"/>
      <c r="I18" s="34" t="s">
        <v>31</v>
      </c>
      <c r="J18" s="35"/>
      <c r="K18" s="30"/>
      <c r="L18" s="29"/>
      <c r="M18" s="30"/>
      <c r="N18" s="30"/>
      <c r="O18" s="30"/>
      <c r="P18" s="30"/>
      <c r="Q18" s="30"/>
      <c r="R18" s="30"/>
      <c r="S18" s="30"/>
      <c r="T18" s="30"/>
      <c r="U18" s="30"/>
      <c r="V18" s="31"/>
    </row>
    <row r="19" spans="1:22">
      <c r="A19" s="1" t="s">
        <v>32</v>
      </c>
      <c r="B19" s="29">
        <v>13087.039744516891</v>
      </c>
      <c r="C19" s="30">
        <v>630500.0300065825</v>
      </c>
      <c r="D19" s="30">
        <v>0</v>
      </c>
      <c r="E19" s="30">
        <v>0</v>
      </c>
      <c r="F19" s="30">
        <v>0</v>
      </c>
      <c r="G19" s="31">
        <f>SUM(IL_FINANCIAL)</f>
        <v>643587.06975109933</v>
      </c>
      <c r="H19" s="30"/>
      <c r="I19" s="34" t="s">
        <v>33</v>
      </c>
      <c r="J19" s="35">
        <v>0</v>
      </c>
      <c r="K19" s="30"/>
      <c r="L19" s="29">
        <v>80000</v>
      </c>
      <c r="M19" s="30">
        <v>0</v>
      </c>
      <c r="N19" s="30"/>
      <c r="O19" s="30">
        <v>895000</v>
      </c>
      <c r="P19" s="30">
        <v>0</v>
      </c>
      <c r="Q19" s="30"/>
      <c r="R19" s="30">
        <v>5000</v>
      </c>
      <c r="S19" s="30">
        <v>0</v>
      </c>
      <c r="T19" s="30"/>
      <c r="U19" s="30">
        <v>35000</v>
      </c>
      <c r="V19" s="31">
        <v>0</v>
      </c>
    </row>
    <row r="20" spans="1:22">
      <c r="A20" s="1" t="s">
        <v>34</v>
      </c>
      <c r="B20" s="29">
        <v>6785.1273746141524</v>
      </c>
      <c r="C20" s="30">
        <v>1120676.5569827275</v>
      </c>
      <c r="D20" s="30">
        <v>0</v>
      </c>
      <c r="E20" s="30">
        <v>0</v>
      </c>
      <c r="F20" s="30">
        <v>0</v>
      </c>
      <c r="G20" s="31">
        <f>SUM(IN_FINANCIAL)</f>
        <v>1127461.6843573416</v>
      </c>
      <c r="H20" s="30"/>
      <c r="I20" s="34" t="s">
        <v>35</v>
      </c>
      <c r="J20" s="35">
        <v>11499999</v>
      </c>
      <c r="K20" s="30"/>
      <c r="L20" s="29"/>
      <c r="M20" s="30"/>
      <c r="N20" s="30"/>
      <c r="O20" s="30"/>
      <c r="P20" s="30"/>
      <c r="Q20" s="30"/>
      <c r="R20" s="30"/>
      <c r="S20" s="30"/>
      <c r="T20" s="30"/>
      <c r="U20" s="30"/>
      <c r="V20" s="31"/>
    </row>
    <row r="21" spans="1:22">
      <c r="A21" s="1" t="s">
        <v>36</v>
      </c>
      <c r="B21" s="29">
        <v>1909.0058210929424</v>
      </c>
      <c r="C21" s="30">
        <v>61383.605649586818</v>
      </c>
      <c r="D21" s="30">
        <v>0</v>
      </c>
      <c r="E21" s="30">
        <v>0</v>
      </c>
      <c r="F21" s="30">
        <v>0</v>
      </c>
      <c r="G21" s="31">
        <f>SUM(IA_FINANCIAL)</f>
        <v>63292.61147067976</v>
      </c>
      <c r="H21" s="30"/>
      <c r="I21" s="34" t="s">
        <v>37</v>
      </c>
      <c r="J21" s="35"/>
      <c r="K21" s="30"/>
      <c r="L21" s="29"/>
      <c r="M21" s="30"/>
      <c r="N21" s="30"/>
      <c r="O21" s="30"/>
      <c r="P21" s="30"/>
      <c r="Q21" s="30"/>
      <c r="R21" s="30"/>
      <c r="S21" s="30"/>
      <c r="T21" s="30"/>
      <c r="U21" s="30"/>
      <c r="V21" s="31"/>
    </row>
    <row r="22" spans="1:22">
      <c r="A22" s="1" t="s">
        <v>38</v>
      </c>
      <c r="B22" s="29">
        <v>2015.8066605397948</v>
      </c>
      <c r="C22" s="30">
        <v>15596.238715640842</v>
      </c>
      <c r="D22" s="30">
        <v>0</v>
      </c>
      <c r="E22" s="30">
        <v>0</v>
      </c>
      <c r="F22" s="30">
        <v>0</v>
      </c>
      <c r="G22" s="31">
        <f>SUM(KS_FINANCIAL)</f>
        <v>17612.045376180638</v>
      </c>
      <c r="H22" s="30"/>
      <c r="I22" s="34" t="s">
        <v>39</v>
      </c>
      <c r="J22" s="35">
        <v>0</v>
      </c>
      <c r="K22" s="30"/>
      <c r="L22" s="29"/>
      <c r="M22" s="30"/>
      <c r="N22" s="30"/>
      <c r="O22" s="30"/>
      <c r="P22" s="30"/>
      <c r="Q22" s="30"/>
      <c r="R22" s="30"/>
      <c r="S22" s="30"/>
      <c r="T22" s="30"/>
      <c r="U22" s="30"/>
      <c r="V22" s="31"/>
    </row>
    <row r="23" spans="1:22">
      <c r="A23" s="1" t="s">
        <v>40</v>
      </c>
      <c r="B23" s="29">
        <v>1487.9397772359164</v>
      </c>
      <c r="C23" s="30">
        <v>28971.000904697292</v>
      </c>
      <c r="D23" s="30">
        <v>0</v>
      </c>
      <c r="E23" s="30">
        <v>0</v>
      </c>
      <c r="F23" s="30">
        <v>0</v>
      </c>
      <c r="G23" s="31">
        <f>SUM(KY_FINANCIAL)</f>
        <v>30458.940681933207</v>
      </c>
      <c r="H23" s="30"/>
      <c r="I23" s="34" t="s">
        <v>41</v>
      </c>
      <c r="J23" s="35"/>
      <c r="K23" s="30"/>
      <c r="L23" s="29"/>
      <c r="M23" s="30"/>
      <c r="N23" s="30"/>
      <c r="O23" s="30"/>
      <c r="P23" s="30"/>
      <c r="Q23" s="30"/>
      <c r="R23" s="30"/>
      <c r="S23" s="30"/>
      <c r="T23" s="30"/>
      <c r="U23" s="30"/>
      <c r="V23" s="31"/>
    </row>
    <row r="24" spans="1:22">
      <c r="A24" s="1" t="s">
        <v>42</v>
      </c>
      <c r="B24" s="29">
        <v>0</v>
      </c>
      <c r="C24" s="30">
        <v>0</v>
      </c>
      <c r="D24" s="30">
        <v>0</v>
      </c>
      <c r="E24" s="30">
        <v>0</v>
      </c>
      <c r="F24" s="30">
        <v>0</v>
      </c>
      <c r="G24" s="31">
        <f>SUM(LA_FINANCIAL)</f>
        <v>0</v>
      </c>
      <c r="H24" s="30"/>
      <c r="I24" s="34" t="s">
        <v>43</v>
      </c>
      <c r="J24" s="35">
        <v>0</v>
      </c>
      <c r="K24" s="30"/>
      <c r="L24" s="29"/>
      <c r="M24" s="30"/>
      <c r="N24" s="30"/>
      <c r="O24" s="30"/>
      <c r="P24" s="30"/>
      <c r="Q24" s="30"/>
      <c r="R24" s="30"/>
      <c r="S24" s="30"/>
      <c r="T24" s="30"/>
      <c r="U24" s="30"/>
      <c r="V24" s="31"/>
    </row>
    <row r="25" spans="1:22">
      <c r="A25" s="1" t="s">
        <v>44</v>
      </c>
      <c r="B25" s="29">
        <v>1431.834669562963</v>
      </c>
      <c r="C25" s="30">
        <v>16000.25252292334</v>
      </c>
      <c r="D25" s="30">
        <v>0</v>
      </c>
      <c r="E25" s="30">
        <v>0</v>
      </c>
      <c r="F25" s="30">
        <v>0</v>
      </c>
      <c r="G25" s="31">
        <f>SUM(ME_FINANCIAL)</f>
        <v>17432.087192486302</v>
      </c>
      <c r="H25" s="30"/>
      <c r="I25" s="34"/>
      <c r="J25" s="35"/>
      <c r="K25" s="30"/>
      <c r="L25" s="29"/>
      <c r="M25" s="30"/>
      <c r="N25" s="30"/>
      <c r="O25" s="30"/>
      <c r="P25" s="30"/>
      <c r="Q25" s="30"/>
      <c r="R25" s="30"/>
      <c r="S25" s="30"/>
      <c r="T25" s="30"/>
      <c r="U25" s="30"/>
      <c r="V25" s="31"/>
    </row>
    <row r="26" spans="1:22">
      <c r="A26" s="1" t="s">
        <v>45</v>
      </c>
      <c r="B26" s="29">
        <v>12654.787991078008</v>
      </c>
      <c r="C26" s="30">
        <v>25691.506637563078</v>
      </c>
      <c r="D26" s="30">
        <v>0</v>
      </c>
      <c r="E26" s="30">
        <v>0</v>
      </c>
      <c r="F26" s="30">
        <v>0</v>
      </c>
      <c r="G26" s="31">
        <f>SUM(MD_FINANCIAL)</f>
        <v>38346.294628641088</v>
      </c>
      <c r="H26" s="30"/>
      <c r="I26" s="34" t="s">
        <v>46</v>
      </c>
      <c r="J26" s="35">
        <f>SUM(ADD_FINANCIAL)-SUM(LESS_FINANCIAL)</f>
        <v>14440461.449999999</v>
      </c>
      <c r="K26" s="30"/>
      <c r="L26" s="29"/>
      <c r="M26" s="30"/>
      <c r="N26" s="30"/>
      <c r="O26" s="30"/>
      <c r="P26" s="30"/>
      <c r="Q26" s="30"/>
      <c r="R26" s="30"/>
      <c r="S26" s="30"/>
      <c r="T26" s="30"/>
      <c r="U26" s="30"/>
      <c r="V26" s="31"/>
    </row>
    <row r="27" spans="1:22">
      <c r="A27" s="1" t="s">
        <v>47</v>
      </c>
      <c r="B27" s="29">
        <v>10992.479706298687</v>
      </c>
      <c r="C27" s="30">
        <v>108416.3319795979</v>
      </c>
      <c r="D27" s="30">
        <v>0</v>
      </c>
      <c r="E27" s="30">
        <v>0</v>
      </c>
      <c r="F27" s="30">
        <v>0</v>
      </c>
      <c r="G27" s="31">
        <f>SUM(MA_FINANCIAL)</f>
        <v>119408.8116858966</v>
      </c>
      <c r="H27" s="30"/>
      <c r="I27" s="34" t="s">
        <v>48</v>
      </c>
      <c r="J27" s="35">
        <f>SUM(ALL_BLOCKS)</f>
        <v>14440461.449999997</v>
      </c>
      <c r="K27" s="30"/>
      <c r="L27" s="29"/>
      <c r="M27" s="30"/>
      <c r="N27" s="30"/>
      <c r="O27" s="30"/>
      <c r="P27" s="30"/>
      <c r="Q27" s="30"/>
      <c r="R27" s="30"/>
      <c r="S27" s="30"/>
      <c r="T27" s="30"/>
      <c r="U27" s="30"/>
      <c r="V27" s="31"/>
    </row>
    <row r="28" spans="1:22">
      <c r="A28" s="1" t="s">
        <v>49</v>
      </c>
      <c r="B28" s="29">
        <v>9442.9647994595125</v>
      </c>
      <c r="C28" s="30">
        <v>123577.4923670373</v>
      </c>
      <c r="D28" s="30">
        <v>0</v>
      </c>
      <c r="E28" s="30">
        <v>0</v>
      </c>
      <c r="F28" s="30">
        <v>0</v>
      </c>
      <c r="G28" s="31">
        <f>SUM(MI_FINANCIAL)</f>
        <v>133020.45716649681</v>
      </c>
      <c r="H28" s="30"/>
      <c r="I28" s="36"/>
      <c r="J28" s="37"/>
      <c r="K28" s="30"/>
      <c r="L28" s="29"/>
      <c r="M28" s="30"/>
      <c r="N28" s="30"/>
      <c r="O28" s="30"/>
      <c r="P28" s="30"/>
      <c r="Q28" s="30"/>
      <c r="R28" s="30"/>
      <c r="S28" s="30"/>
      <c r="T28" s="30"/>
      <c r="U28" s="30"/>
      <c r="V28" s="31"/>
    </row>
    <row r="29" spans="1:22">
      <c r="A29" s="1" t="s">
        <v>50</v>
      </c>
      <c r="B29" s="29">
        <v>8062.0958639939954</v>
      </c>
      <c r="C29" s="30">
        <v>1058872.4774863066</v>
      </c>
      <c r="D29" s="30">
        <v>0</v>
      </c>
      <c r="E29" s="30">
        <v>0</v>
      </c>
      <c r="F29" s="30">
        <v>0</v>
      </c>
      <c r="G29" s="31">
        <f>SUM(MN_FINANCIAL)</f>
        <v>1066934.5733503005</v>
      </c>
      <c r="H29" s="30"/>
      <c r="I29" s="30"/>
      <c r="J29" s="30"/>
      <c r="K29" s="30"/>
      <c r="L29" s="29">
        <v>286000</v>
      </c>
      <c r="M29" s="30">
        <v>0</v>
      </c>
      <c r="N29" s="30"/>
      <c r="O29" s="30">
        <v>814000</v>
      </c>
      <c r="P29" s="30">
        <v>0</v>
      </c>
      <c r="Q29" s="30"/>
      <c r="R29" s="30">
        <v>0</v>
      </c>
      <c r="S29" s="30">
        <v>0</v>
      </c>
      <c r="T29" s="30"/>
      <c r="U29" s="30">
        <v>0</v>
      </c>
      <c r="V29" s="31">
        <v>0</v>
      </c>
    </row>
    <row r="30" spans="1:22">
      <c r="A30" s="1" t="s">
        <v>51</v>
      </c>
      <c r="B30" s="29">
        <v>1547.6222243954485</v>
      </c>
      <c r="C30" s="30">
        <v>9452.2249807436292</v>
      </c>
      <c r="D30" s="30">
        <v>0</v>
      </c>
      <c r="E30" s="30">
        <v>0</v>
      </c>
      <c r="F30" s="30">
        <v>0</v>
      </c>
      <c r="G30" s="31">
        <f>SUM(MS_FINANCIAL)</f>
        <v>10999.847205139078</v>
      </c>
      <c r="H30" s="30"/>
      <c r="I30" s="30"/>
      <c r="J30" s="30"/>
      <c r="K30" s="30"/>
      <c r="L30" s="29"/>
      <c r="M30" s="30"/>
      <c r="N30" s="30"/>
      <c r="O30" s="30"/>
      <c r="P30" s="30"/>
      <c r="Q30" s="30"/>
      <c r="R30" s="30"/>
      <c r="S30" s="30"/>
      <c r="T30" s="30"/>
      <c r="U30" s="30"/>
      <c r="V30" s="31"/>
    </row>
    <row r="31" spans="1:22">
      <c r="A31" s="1" t="s">
        <v>52</v>
      </c>
      <c r="B31" s="29">
        <v>3512.3774388894781</v>
      </c>
      <c r="C31" s="30">
        <v>78283.247043423995</v>
      </c>
      <c r="D31" s="30">
        <v>0</v>
      </c>
      <c r="E31" s="30">
        <v>0</v>
      </c>
      <c r="F31" s="30">
        <v>0</v>
      </c>
      <c r="G31" s="31">
        <f>SUM(MO_FINANCIAL)</f>
        <v>81795.624482313477</v>
      </c>
      <c r="H31" s="30"/>
      <c r="I31" s="30"/>
      <c r="J31" s="30"/>
      <c r="K31" s="30"/>
      <c r="L31" s="29"/>
      <c r="M31" s="30"/>
      <c r="N31" s="30"/>
      <c r="O31" s="30"/>
      <c r="P31" s="30"/>
      <c r="Q31" s="30"/>
      <c r="R31" s="30"/>
      <c r="S31" s="30"/>
      <c r="T31" s="30"/>
      <c r="U31" s="30"/>
      <c r="V31" s="31"/>
    </row>
    <row r="32" spans="1:22">
      <c r="A32" s="1" t="s">
        <v>53</v>
      </c>
      <c r="B32" s="29">
        <v>561.47965162386288</v>
      </c>
      <c r="C32" s="30">
        <v>27761.943400361939</v>
      </c>
      <c r="D32" s="30">
        <v>0</v>
      </c>
      <c r="E32" s="30">
        <v>0</v>
      </c>
      <c r="F32" s="30">
        <v>0</v>
      </c>
      <c r="G32" s="31">
        <f>SUM(MT_FINANCIAL)</f>
        <v>28323.423051985803</v>
      </c>
      <c r="H32" s="30"/>
      <c r="I32" s="30"/>
      <c r="J32" s="30"/>
      <c r="K32" s="30"/>
      <c r="L32" s="29"/>
      <c r="M32" s="30"/>
      <c r="N32" s="30"/>
      <c r="O32" s="30"/>
      <c r="P32" s="30"/>
      <c r="Q32" s="30"/>
      <c r="R32" s="30"/>
      <c r="S32" s="30"/>
      <c r="T32" s="30"/>
      <c r="U32" s="30"/>
      <c r="V32" s="31"/>
    </row>
    <row r="33" spans="1:22">
      <c r="A33" s="1" t="s">
        <v>54</v>
      </c>
      <c r="B33" s="29">
        <v>802.6090993740695</v>
      </c>
      <c r="C33" s="30">
        <v>397573.25326913968</v>
      </c>
      <c r="D33" s="30">
        <v>0</v>
      </c>
      <c r="E33" s="30">
        <v>0</v>
      </c>
      <c r="F33" s="30">
        <v>0</v>
      </c>
      <c r="G33" s="31">
        <f>SUM(NE_FINANCIAL)</f>
        <v>398375.86236851377</v>
      </c>
      <c r="H33" s="30"/>
      <c r="I33" s="30"/>
      <c r="J33" s="30"/>
      <c r="K33" s="30"/>
      <c r="L33" s="29"/>
      <c r="M33" s="30"/>
      <c r="N33" s="30"/>
      <c r="O33" s="30"/>
      <c r="P33" s="30"/>
      <c r="Q33" s="30"/>
      <c r="R33" s="30"/>
      <c r="S33" s="30"/>
      <c r="T33" s="30"/>
      <c r="U33" s="30"/>
      <c r="V33" s="31"/>
    </row>
    <row r="34" spans="1:22">
      <c r="A34" s="1" t="s">
        <v>55</v>
      </c>
      <c r="B34" s="29">
        <v>540.57371675506431</v>
      </c>
      <c r="C34" s="30">
        <v>87858.406522177174</v>
      </c>
      <c r="D34" s="30">
        <v>0</v>
      </c>
      <c r="E34" s="30">
        <v>0</v>
      </c>
      <c r="F34" s="30">
        <v>0</v>
      </c>
      <c r="G34" s="31">
        <f>SUM(NV_FINANCIAL)</f>
        <v>88398.980238932243</v>
      </c>
      <c r="H34" s="30"/>
      <c r="I34" s="30"/>
      <c r="J34" s="30"/>
      <c r="K34" s="30"/>
      <c r="L34" s="29"/>
      <c r="M34" s="30"/>
      <c r="N34" s="30"/>
      <c r="O34" s="30"/>
      <c r="P34" s="30"/>
      <c r="Q34" s="30"/>
      <c r="R34" s="30"/>
      <c r="S34" s="30"/>
      <c r="T34" s="30"/>
      <c r="U34" s="30"/>
      <c r="V34" s="31"/>
    </row>
    <row r="35" spans="1:22">
      <c r="A35" s="1" t="s">
        <v>56</v>
      </c>
      <c r="B35" s="29">
        <v>3878.3608939476085</v>
      </c>
      <c r="C35" s="30">
        <v>259028.93056086489</v>
      </c>
      <c r="D35" s="30">
        <v>0</v>
      </c>
      <c r="E35" s="30">
        <v>0</v>
      </c>
      <c r="F35" s="30">
        <v>0</v>
      </c>
      <c r="G35" s="31">
        <f>SUM(NH_FINANCIAL)</f>
        <v>262907.29145481251</v>
      </c>
      <c r="H35" s="30"/>
      <c r="I35" s="30"/>
      <c r="J35" s="30"/>
      <c r="K35" s="30"/>
      <c r="L35" s="29"/>
      <c r="M35" s="30"/>
      <c r="N35" s="30"/>
      <c r="O35" s="30"/>
      <c r="P35" s="30"/>
      <c r="Q35" s="30"/>
      <c r="R35" s="30"/>
      <c r="S35" s="30"/>
      <c r="T35" s="30"/>
      <c r="U35" s="30"/>
      <c r="V35" s="31"/>
    </row>
    <row r="36" spans="1:22">
      <c r="A36" s="1" t="s">
        <v>57</v>
      </c>
      <c r="B36" s="29">
        <v>12917.261060499834</v>
      </c>
      <c r="C36" s="30">
        <v>145681.2218065674</v>
      </c>
      <c r="D36" s="30">
        <v>0</v>
      </c>
      <c r="E36" s="30">
        <v>0</v>
      </c>
      <c r="F36" s="30">
        <v>0</v>
      </c>
      <c r="G36" s="31">
        <f>SUM(NJ_FINANCIAL)</f>
        <v>158598.48286706721</v>
      </c>
      <c r="H36" s="30"/>
      <c r="I36" s="30"/>
      <c r="J36" s="30"/>
      <c r="K36" s="30"/>
      <c r="L36" s="29"/>
      <c r="M36" s="30"/>
      <c r="N36" s="30"/>
      <c r="O36" s="30"/>
      <c r="P36" s="30"/>
      <c r="Q36" s="30"/>
      <c r="R36" s="30"/>
      <c r="S36" s="30"/>
      <c r="T36" s="30"/>
      <c r="U36" s="30"/>
      <c r="V36" s="31"/>
    </row>
    <row r="37" spans="1:22">
      <c r="A37" s="1" t="s">
        <v>58</v>
      </c>
      <c r="B37" s="29">
        <v>635.93615647607555</v>
      </c>
      <c r="C37" s="30">
        <v>271543.23759245529</v>
      </c>
      <c r="D37" s="30">
        <v>0</v>
      </c>
      <c r="E37" s="30">
        <v>0</v>
      </c>
      <c r="F37" s="30">
        <v>0</v>
      </c>
      <c r="G37" s="31">
        <f>SUM(NM_FINANCIAL)</f>
        <v>272179.17374893138</v>
      </c>
      <c r="H37" s="30"/>
      <c r="I37" s="30"/>
      <c r="J37" s="30"/>
      <c r="K37" s="30"/>
      <c r="L37" s="29">
        <v>49965</v>
      </c>
      <c r="M37" s="30">
        <v>0</v>
      </c>
      <c r="N37" s="30"/>
      <c r="O37" s="30">
        <v>349994</v>
      </c>
      <c r="P37" s="30">
        <v>0</v>
      </c>
      <c r="Q37" s="30"/>
      <c r="R37" s="30">
        <v>0</v>
      </c>
      <c r="S37" s="30">
        <v>0</v>
      </c>
      <c r="T37" s="30"/>
      <c r="U37" s="30">
        <v>0</v>
      </c>
      <c r="V37" s="31">
        <v>0</v>
      </c>
    </row>
    <row r="38" spans="1:22">
      <c r="A38" s="1" t="s">
        <v>59</v>
      </c>
      <c r="B38" s="29">
        <v>0</v>
      </c>
      <c r="C38" s="30">
        <v>0</v>
      </c>
      <c r="D38" s="30">
        <v>0</v>
      </c>
      <c r="E38" s="30">
        <v>0</v>
      </c>
      <c r="F38" s="30">
        <v>0</v>
      </c>
      <c r="G38" s="31">
        <f>SUM(NY_FINANCIAL)</f>
        <v>0</v>
      </c>
      <c r="H38" s="30"/>
      <c r="I38" s="30"/>
      <c r="J38" s="30"/>
      <c r="K38" s="30"/>
      <c r="L38" s="29"/>
      <c r="M38" s="30"/>
      <c r="N38" s="30"/>
      <c r="O38" s="30"/>
      <c r="P38" s="30"/>
      <c r="Q38" s="30"/>
      <c r="R38" s="30"/>
      <c r="S38" s="30"/>
      <c r="T38" s="30"/>
      <c r="U38" s="30"/>
      <c r="V38" s="31"/>
    </row>
    <row r="39" spans="1:22">
      <c r="A39" s="1" t="s">
        <v>60</v>
      </c>
      <c r="B39" s="29">
        <v>8696.5836764464912</v>
      </c>
      <c r="C39" s="30">
        <v>119657.92989066108</v>
      </c>
      <c r="D39" s="30">
        <v>0</v>
      </c>
      <c r="E39" s="30">
        <v>0</v>
      </c>
      <c r="F39" s="30">
        <v>0</v>
      </c>
      <c r="G39" s="31">
        <f>SUM(NC_FINANCIAL)</f>
        <v>128354.51356710757</v>
      </c>
      <c r="H39" s="30"/>
      <c r="I39" s="30"/>
      <c r="J39" s="30"/>
      <c r="K39" s="30"/>
      <c r="L39" s="29">
        <v>12800</v>
      </c>
      <c r="M39" s="30">
        <v>0</v>
      </c>
      <c r="N39" s="30"/>
      <c r="O39" s="30">
        <v>147200</v>
      </c>
      <c r="P39" s="30">
        <v>0</v>
      </c>
      <c r="Q39" s="30"/>
      <c r="R39" s="30">
        <v>0</v>
      </c>
      <c r="S39" s="30">
        <v>0</v>
      </c>
      <c r="T39" s="30"/>
      <c r="U39" s="30">
        <v>0</v>
      </c>
      <c r="V39" s="31">
        <v>0</v>
      </c>
    </row>
    <row r="40" spans="1:22">
      <c r="A40" s="1" t="s">
        <v>61</v>
      </c>
      <c r="B40" s="29">
        <v>552.06069327136561</v>
      </c>
      <c r="C40" s="30">
        <v>20115.992318379445</v>
      </c>
      <c r="D40" s="30">
        <v>0</v>
      </c>
      <c r="E40" s="30">
        <v>0</v>
      </c>
      <c r="F40" s="30">
        <v>0</v>
      </c>
      <c r="G40" s="31">
        <f>SUM(ND_FINANCIAL)</f>
        <v>20668.053011650813</v>
      </c>
      <c r="H40" s="30"/>
      <c r="I40" s="30"/>
      <c r="J40" s="30"/>
      <c r="K40" s="30"/>
      <c r="L40" s="29"/>
      <c r="M40" s="30"/>
      <c r="N40" s="30"/>
      <c r="O40" s="30"/>
      <c r="P40" s="30"/>
      <c r="Q40" s="30"/>
      <c r="R40" s="30"/>
      <c r="S40" s="30"/>
      <c r="T40" s="30"/>
      <c r="U40" s="30"/>
      <c r="V40" s="31"/>
    </row>
    <row r="41" spans="1:22">
      <c r="A41" s="1" t="s">
        <v>62</v>
      </c>
      <c r="B41" s="29">
        <v>14266.412093490315</v>
      </c>
      <c r="C41" s="30">
        <v>200845.76865189485</v>
      </c>
      <c r="D41" s="30">
        <v>0</v>
      </c>
      <c r="E41" s="30">
        <v>0</v>
      </c>
      <c r="F41" s="30">
        <v>0</v>
      </c>
      <c r="G41" s="31">
        <f>SUM(OH_FINANCIAL)</f>
        <v>215112.18074538515</v>
      </c>
      <c r="H41" s="30"/>
      <c r="I41" s="30"/>
      <c r="J41" s="30"/>
      <c r="K41" s="30"/>
      <c r="L41" s="29"/>
      <c r="M41" s="30"/>
      <c r="N41" s="30"/>
      <c r="O41" s="30"/>
      <c r="P41" s="30"/>
      <c r="Q41" s="30"/>
      <c r="R41" s="30"/>
      <c r="S41" s="30"/>
      <c r="T41" s="30"/>
      <c r="U41" s="30"/>
      <c r="V41" s="31"/>
    </row>
    <row r="42" spans="1:22">
      <c r="A42" s="1" t="s">
        <v>63</v>
      </c>
      <c r="B42" s="29">
        <v>1022.0756637615145</v>
      </c>
      <c r="C42" s="30">
        <v>28163.386616148615</v>
      </c>
      <c r="D42" s="30">
        <v>0</v>
      </c>
      <c r="E42" s="30">
        <v>0</v>
      </c>
      <c r="F42" s="30">
        <v>0</v>
      </c>
      <c r="G42" s="31">
        <f>SUM(OK_FINANCIAL)</f>
        <v>29185.462279910131</v>
      </c>
      <c r="H42" s="30"/>
      <c r="I42" s="30"/>
      <c r="J42" s="30"/>
      <c r="K42" s="30"/>
      <c r="L42" s="29">
        <v>5500</v>
      </c>
      <c r="M42" s="30">
        <v>0</v>
      </c>
      <c r="N42" s="30"/>
      <c r="O42" s="30">
        <v>44500</v>
      </c>
      <c r="P42" s="30">
        <v>0</v>
      </c>
      <c r="Q42" s="30"/>
      <c r="R42" s="30">
        <v>0</v>
      </c>
      <c r="S42" s="30">
        <v>0</v>
      </c>
      <c r="T42" s="30"/>
      <c r="U42" s="30">
        <v>0</v>
      </c>
      <c r="V42" s="31">
        <v>0</v>
      </c>
    </row>
    <row r="43" spans="1:22">
      <c r="A43" s="1" t="s">
        <v>64</v>
      </c>
      <c r="B43" s="29">
        <v>2955.5576402142351</v>
      </c>
      <c r="C43" s="30">
        <v>57065.327498658502</v>
      </c>
      <c r="D43" s="30">
        <v>0</v>
      </c>
      <c r="E43" s="30">
        <v>0</v>
      </c>
      <c r="F43" s="30">
        <v>0</v>
      </c>
      <c r="G43" s="31">
        <f>SUM(OR_FINANCIAL)</f>
        <v>60020.885138872734</v>
      </c>
      <c r="H43" s="30"/>
      <c r="I43" s="30"/>
      <c r="J43" s="30"/>
      <c r="K43" s="30"/>
      <c r="L43" s="29"/>
      <c r="M43" s="30"/>
      <c r="N43" s="30"/>
      <c r="O43" s="30"/>
      <c r="P43" s="30"/>
      <c r="Q43" s="30"/>
      <c r="R43" s="30"/>
      <c r="S43" s="30"/>
      <c r="T43" s="30"/>
      <c r="U43" s="30"/>
      <c r="V43" s="31"/>
    </row>
    <row r="44" spans="1:22">
      <c r="A44" s="1" t="s">
        <v>65</v>
      </c>
      <c r="B44" s="29">
        <v>13758.729814338165</v>
      </c>
      <c r="C44" s="30">
        <v>3793202.2854570295</v>
      </c>
      <c r="D44" s="30">
        <v>0</v>
      </c>
      <c r="E44" s="30">
        <v>0</v>
      </c>
      <c r="F44" s="30">
        <v>0</v>
      </c>
      <c r="G44" s="31">
        <f>SUM(PA_FINANCIAL)</f>
        <v>3806961.0152713675</v>
      </c>
      <c r="H44" s="30"/>
      <c r="I44" s="30"/>
      <c r="J44" s="30"/>
      <c r="K44" s="30"/>
      <c r="L44" s="29"/>
      <c r="M44" s="30"/>
      <c r="N44" s="30"/>
      <c r="O44" s="30"/>
      <c r="P44" s="30"/>
      <c r="Q44" s="30"/>
      <c r="R44" s="30"/>
      <c r="S44" s="30"/>
      <c r="T44" s="30"/>
      <c r="U44" s="30"/>
      <c r="V44" s="31"/>
    </row>
    <row r="45" spans="1:22">
      <c r="A45" s="1" t="s">
        <v>66</v>
      </c>
      <c r="B45" s="29">
        <v>0</v>
      </c>
      <c r="C45" s="30">
        <v>0</v>
      </c>
      <c r="D45" s="30">
        <v>0</v>
      </c>
      <c r="E45" s="30">
        <v>0</v>
      </c>
      <c r="F45" s="30">
        <v>0</v>
      </c>
      <c r="G45" s="31">
        <f>SUM(PR_FINANCIAL)</f>
        <v>0</v>
      </c>
      <c r="H45" s="30"/>
      <c r="I45" s="30"/>
      <c r="J45" s="30"/>
      <c r="K45" s="30"/>
      <c r="L45" s="29"/>
      <c r="M45" s="30"/>
      <c r="N45" s="30"/>
      <c r="O45" s="30"/>
      <c r="P45" s="30"/>
      <c r="Q45" s="30"/>
      <c r="R45" s="30"/>
      <c r="S45" s="30"/>
      <c r="T45" s="30"/>
      <c r="U45" s="30"/>
      <c r="V45" s="31"/>
    </row>
    <row r="46" spans="1:22">
      <c r="A46" s="1" t="s">
        <v>67</v>
      </c>
      <c r="B46" s="29">
        <v>970.57573919617062</v>
      </c>
      <c r="C46" s="30">
        <v>209785.39261775569</v>
      </c>
      <c r="D46" s="30">
        <v>0</v>
      </c>
      <c r="E46" s="30">
        <v>0</v>
      </c>
      <c r="F46" s="30">
        <v>0</v>
      </c>
      <c r="G46" s="31">
        <f>SUM(RI_FINANCIAL)</f>
        <v>210755.96835695187</v>
      </c>
      <c r="H46" s="30"/>
      <c r="I46" s="30"/>
      <c r="J46" s="30"/>
      <c r="K46" s="30"/>
      <c r="L46" s="29"/>
      <c r="M46" s="30"/>
      <c r="N46" s="30"/>
      <c r="O46" s="30"/>
      <c r="P46" s="30"/>
      <c r="Q46" s="30"/>
      <c r="R46" s="30"/>
      <c r="S46" s="30"/>
      <c r="T46" s="30"/>
      <c r="U46" s="30"/>
      <c r="V46" s="31"/>
    </row>
    <row r="47" spans="1:22">
      <c r="A47" s="1" t="s">
        <v>68</v>
      </c>
      <c r="B47" s="29">
        <v>3904.214762537862</v>
      </c>
      <c r="C47" s="30">
        <v>667149.33167845919</v>
      </c>
      <c r="D47" s="30">
        <v>0</v>
      </c>
      <c r="E47" s="30">
        <v>0</v>
      </c>
      <c r="F47" s="30">
        <v>0</v>
      </c>
      <c r="G47" s="31">
        <f>SUM(SC_FINANCIAL)</f>
        <v>671053.54644099704</v>
      </c>
      <c r="H47" s="30"/>
      <c r="I47" s="30"/>
      <c r="J47" s="30"/>
      <c r="K47" s="30"/>
      <c r="L47" s="29"/>
      <c r="M47" s="30"/>
      <c r="N47" s="30"/>
      <c r="O47" s="30"/>
      <c r="P47" s="30"/>
      <c r="Q47" s="30"/>
      <c r="R47" s="30"/>
      <c r="S47" s="30"/>
      <c r="T47" s="30"/>
      <c r="U47" s="30"/>
      <c r="V47" s="31"/>
    </row>
    <row r="48" spans="1:22">
      <c r="A48" s="1" t="s">
        <v>69</v>
      </c>
      <c r="B48" s="29">
        <v>136.67673281348777</v>
      </c>
      <c r="C48" s="30">
        <v>9203.2657938941229</v>
      </c>
      <c r="D48" s="30">
        <v>0</v>
      </c>
      <c r="E48" s="30">
        <v>0</v>
      </c>
      <c r="F48" s="30">
        <v>0</v>
      </c>
      <c r="G48" s="31">
        <f>SUM(SD_FINANCIAL)</f>
        <v>9339.9425267076113</v>
      </c>
      <c r="H48" s="30"/>
      <c r="I48" s="30"/>
      <c r="J48" s="30"/>
      <c r="K48" s="30"/>
      <c r="L48" s="29"/>
      <c r="M48" s="30"/>
      <c r="N48" s="30"/>
      <c r="O48" s="30"/>
      <c r="P48" s="30"/>
      <c r="Q48" s="30"/>
      <c r="R48" s="30"/>
      <c r="S48" s="30"/>
      <c r="T48" s="30"/>
      <c r="U48" s="30"/>
      <c r="V48" s="31"/>
    </row>
    <row r="49" spans="1:22">
      <c r="A49" s="1" t="s">
        <v>70</v>
      </c>
      <c r="B49" s="29">
        <v>5330.4469552819555</v>
      </c>
      <c r="C49" s="30">
        <v>55760.650938937433</v>
      </c>
      <c r="D49" s="30">
        <v>0</v>
      </c>
      <c r="E49" s="30">
        <v>0</v>
      </c>
      <c r="F49" s="30">
        <v>0</v>
      </c>
      <c r="G49" s="31">
        <f>SUM(TN_FINANCIAL)</f>
        <v>61091.097894219391</v>
      </c>
      <c r="H49" s="30"/>
      <c r="I49" s="30"/>
      <c r="J49" s="30"/>
      <c r="K49" s="30"/>
      <c r="L49" s="29"/>
      <c r="M49" s="30"/>
      <c r="N49" s="30"/>
      <c r="O49" s="30"/>
      <c r="P49" s="30"/>
      <c r="Q49" s="30"/>
      <c r="R49" s="30"/>
      <c r="S49" s="30"/>
      <c r="T49" s="30"/>
      <c r="U49" s="30"/>
      <c r="V49" s="31"/>
    </row>
    <row r="50" spans="1:22">
      <c r="A50" s="1" t="s">
        <v>71</v>
      </c>
      <c r="B50" s="29">
        <v>10108.940880951886</v>
      </c>
      <c r="C50" s="30">
        <v>130448.55491229151</v>
      </c>
      <c r="D50" s="30">
        <v>0</v>
      </c>
      <c r="E50" s="30">
        <v>0</v>
      </c>
      <c r="F50" s="30">
        <v>0</v>
      </c>
      <c r="G50" s="31">
        <f>SUM(TX_FINANCIAL)</f>
        <v>140557.4957932434</v>
      </c>
      <c r="H50" s="30"/>
      <c r="I50" s="30"/>
      <c r="J50" s="30"/>
      <c r="K50" s="30"/>
      <c r="L50" s="29"/>
      <c r="M50" s="30"/>
      <c r="N50" s="30"/>
      <c r="O50" s="30"/>
      <c r="P50" s="30"/>
      <c r="Q50" s="30"/>
      <c r="R50" s="30"/>
      <c r="S50" s="30"/>
      <c r="T50" s="30"/>
      <c r="U50" s="30"/>
      <c r="V50" s="31"/>
    </row>
    <row r="51" spans="1:22">
      <c r="A51" s="1" t="s">
        <v>72</v>
      </c>
      <c r="B51" s="29">
        <v>483.80135233725957</v>
      </c>
      <c r="C51" s="30">
        <v>35745.170700541072</v>
      </c>
      <c r="D51" s="30">
        <v>0</v>
      </c>
      <c r="E51" s="30">
        <v>0</v>
      </c>
      <c r="F51" s="30">
        <v>0</v>
      </c>
      <c r="G51" s="31">
        <f>SUM(UT_FINANCIAL)</f>
        <v>36228.972052878329</v>
      </c>
      <c r="H51" s="30"/>
      <c r="I51" s="30"/>
      <c r="J51" s="30"/>
      <c r="K51" s="30"/>
      <c r="L51" s="29">
        <v>0</v>
      </c>
      <c r="M51" s="30">
        <v>0</v>
      </c>
      <c r="N51" s="30"/>
      <c r="O51" s="30">
        <v>0</v>
      </c>
      <c r="P51" s="30">
        <v>0</v>
      </c>
      <c r="Q51" s="30"/>
      <c r="R51" s="30">
        <v>325000</v>
      </c>
      <c r="S51" s="30">
        <v>0</v>
      </c>
      <c r="T51" s="30"/>
      <c r="U51" s="30">
        <v>0</v>
      </c>
      <c r="V51" s="31">
        <v>0</v>
      </c>
    </row>
    <row r="52" spans="1:22">
      <c r="A52" s="1" t="s">
        <v>73</v>
      </c>
      <c r="B52" s="29">
        <v>2346.2563675777387</v>
      </c>
      <c r="C52" s="30">
        <v>26086.642991661865</v>
      </c>
      <c r="D52" s="30">
        <v>0</v>
      </c>
      <c r="E52" s="30">
        <v>0</v>
      </c>
      <c r="F52" s="30">
        <v>0</v>
      </c>
      <c r="G52" s="31">
        <f>SUM(VT_FINANCIAL)</f>
        <v>28432.899359239604</v>
      </c>
      <c r="H52" s="30"/>
      <c r="I52" s="30"/>
      <c r="J52" s="30"/>
      <c r="K52" s="30"/>
      <c r="L52" s="29"/>
      <c r="M52" s="30"/>
      <c r="N52" s="30"/>
      <c r="O52" s="30"/>
      <c r="P52" s="30"/>
      <c r="Q52" s="30"/>
      <c r="R52" s="30"/>
      <c r="S52" s="30"/>
      <c r="T52" s="30"/>
      <c r="U52" s="30"/>
      <c r="V52" s="31"/>
    </row>
    <row r="53" spans="1:22">
      <c r="A53" s="1" t="s">
        <v>74</v>
      </c>
      <c r="B53" s="29">
        <v>37858.883010188052</v>
      </c>
      <c r="C53" s="30">
        <v>2300954.378364895</v>
      </c>
      <c r="D53" s="30">
        <v>0</v>
      </c>
      <c r="E53" s="30">
        <v>0</v>
      </c>
      <c r="F53" s="30">
        <v>0</v>
      </c>
      <c r="G53" s="31">
        <f>SUM(VA_FINANCIAL)</f>
        <v>2338813.2613750831</v>
      </c>
      <c r="H53" s="30"/>
      <c r="I53" s="30"/>
      <c r="J53" s="30"/>
      <c r="K53" s="30"/>
      <c r="L53" s="29"/>
      <c r="M53" s="30"/>
      <c r="N53" s="30"/>
      <c r="O53" s="30"/>
      <c r="P53" s="30"/>
      <c r="Q53" s="30"/>
      <c r="R53" s="30"/>
      <c r="S53" s="30"/>
      <c r="T53" s="30"/>
      <c r="U53" s="30"/>
      <c r="V53" s="31"/>
    </row>
    <row r="54" spans="1:22">
      <c r="A54" s="1" t="s">
        <v>75</v>
      </c>
      <c r="B54" s="29">
        <v>2547.1101924792069</v>
      </c>
      <c r="C54" s="30">
        <v>39424.15866288932</v>
      </c>
      <c r="D54" s="30">
        <v>0</v>
      </c>
      <c r="E54" s="30">
        <v>0</v>
      </c>
      <c r="F54" s="30">
        <v>0</v>
      </c>
      <c r="G54" s="31">
        <f>SUM(WA_FINANCIAL)</f>
        <v>41971.268855368529</v>
      </c>
      <c r="H54" s="30"/>
      <c r="I54" s="30"/>
      <c r="J54" s="30"/>
      <c r="K54" s="30"/>
      <c r="L54" s="29"/>
      <c r="M54" s="30"/>
      <c r="N54" s="30"/>
      <c r="O54" s="30"/>
      <c r="P54" s="30"/>
      <c r="Q54" s="30"/>
      <c r="R54" s="30"/>
      <c r="S54" s="30"/>
      <c r="T54" s="30"/>
      <c r="U54" s="30"/>
      <c r="V54" s="31"/>
    </row>
    <row r="55" spans="1:22">
      <c r="A55" s="1" t="s">
        <v>76</v>
      </c>
      <c r="B55" s="29">
        <v>929.62875049806917</v>
      </c>
      <c r="C55" s="30">
        <v>47409.251534309027</v>
      </c>
      <c r="D55" s="30">
        <v>0</v>
      </c>
      <c r="E55" s="30">
        <v>0</v>
      </c>
      <c r="F55" s="30">
        <v>0</v>
      </c>
      <c r="G55" s="31">
        <f>SUM(WV_FINANCIAL)</f>
        <v>48338.880284807099</v>
      </c>
      <c r="H55" s="30"/>
      <c r="I55" s="30"/>
      <c r="J55" s="30"/>
      <c r="K55" s="30"/>
      <c r="L55" s="29">
        <v>0</v>
      </c>
      <c r="M55" s="30">
        <v>0</v>
      </c>
      <c r="N55" s="30"/>
      <c r="O55" s="30">
        <v>75000</v>
      </c>
      <c r="P55" s="30">
        <v>0</v>
      </c>
      <c r="Q55" s="30"/>
      <c r="R55" s="30">
        <v>0</v>
      </c>
      <c r="S55" s="30">
        <v>0</v>
      </c>
      <c r="T55" s="30"/>
      <c r="U55" s="30">
        <v>0</v>
      </c>
      <c r="V55" s="31">
        <v>0</v>
      </c>
    </row>
    <row r="56" spans="1:22">
      <c r="A56" s="1" t="s">
        <v>77</v>
      </c>
      <c r="B56" s="29">
        <v>7247.7291211556312</v>
      </c>
      <c r="C56" s="30">
        <v>589468.57488654205</v>
      </c>
      <c r="D56" s="30">
        <v>0</v>
      </c>
      <c r="E56" s="30">
        <v>0</v>
      </c>
      <c r="F56" s="30">
        <v>0</v>
      </c>
      <c r="G56" s="31">
        <f>SUM(WI_FINANCIAL)</f>
        <v>596716.30400769773</v>
      </c>
      <c r="H56" s="30"/>
      <c r="I56" s="30"/>
      <c r="J56" s="30"/>
      <c r="K56" s="30"/>
      <c r="L56" s="29"/>
      <c r="M56" s="30"/>
      <c r="N56" s="30"/>
      <c r="O56" s="30"/>
      <c r="P56" s="30"/>
      <c r="Q56" s="30"/>
      <c r="R56" s="30"/>
      <c r="S56" s="30"/>
      <c r="T56" s="30"/>
      <c r="U56" s="30"/>
      <c r="V56" s="31"/>
    </row>
    <row r="57" spans="1:22">
      <c r="A57" s="1" t="s">
        <v>78</v>
      </c>
      <c r="B57" s="29">
        <v>90.058902130206789</v>
      </c>
      <c r="C57" s="30">
        <v>13311.209010230526</v>
      </c>
      <c r="D57" s="30">
        <v>0</v>
      </c>
      <c r="E57" s="30">
        <v>0</v>
      </c>
      <c r="F57" s="30">
        <v>0</v>
      </c>
      <c r="G57" s="31">
        <f>SUM(WY_FINANCIAL)</f>
        <v>13401.267912360734</v>
      </c>
      <c r="H57" s="30"/>
      <c r="I57" s="30"/>
      <c r="J57" s="30"/>
      <c r="K57" s="30"/>
      <c r="L57" s="29"/>
      <c r="M57" s="30"/>
      <c r="N57" s="30"/>
      <c r="O57" s="30"/>
      <c r="P57" s="30"/>
      <c r="Q57" s="30"/>
      <c r="R57" s="30"/>
      <c r="S57" s="30"/>
      <c r="T57" s="30"/>
      <c r="U57" s="30"/>
      <c r="V57" s="31"/>
    </row>
    <row r="58" spans="1:22">
      <c r="A58" s="1" t="s">
        <v>79</v>
      </c>
      <c r="B58" s="29">
        <v>0</v>
      </c>
      <c r="C58" s="30">
        <v>0</v>
      </c>
      <c r="D58" s="30">
        <v>0</v>
      </c>
      <c r="E58" s="30">
        <v>0</v>
      </c>
      <c r="F58" s="30">
        <v>0</v>
      </c>
      <c r="G58" s="31">
        <f>SUM(OT_FINANCIAL)</f>
        <v>0</v>
      </c>
      <c r="H58" s="30"/>
      <c r="I58" s="30"/>
      <c r="J58" s="30"/>
      <c r="K58" s="30"/>
      <c r="L58" s="29"/>
      <c r="M58" s="30"/>
      <c r="N58" s="30"/>
      <c r="O58" s="30"/>
      <c r="P58" s="30"/>
      <c r="Q58" s="30"/>
      <c r="R58" s="30"/>
      <c r="S58" s="30"/>
      <c r="T58" s="30"/>
      <c r="U58" s="30"/>
      <c r="V58" s="31"/>
    </row>
    <row r="59" spans="1:22">
      <c r="B59" s="29"/>
      <c r="C59" s="30"/>
      <c r="D59" s="30"/>
      <c r="E59" s="30"/>
      <c r="F59" s="30"/>
      <c r="G59" s="31"/>
      <c r="H59" s="30"/>
      <c r="I59" s="30"/>
      <c r="J59" s="30"/>
      <c r="K59" s="30"/>
      <c r="L59" s="29"/>
      <c r="M59" s="30"/>
      <c r="N59" s="30"/>
      <c r="O59" s="30"/>
      <c r="P59" s="30"/>
      <c r="Q59" s="30"/>
      <c r="R59" s="30"/>
      <c r="S59" s="30"/>
      <c r="T59" s="30"/>
      <c r="U59" s="30"/>
      <c r="V59" s="31"/>
    </row>
    <row r="60" spans="1:22">
      <c r="A60" s="1" t="s">
        <v>8</v>
      </c>
      <c r="B60" s="29">
        <f>SUM(LIFE)</f>
        <v>275941.47297185229</v>
      </c>
      <c r="C60" s="30">
        <f>SUM(ALLOCATED)</f>
        <v>14164519.977028148</v>
      </c>
      <c r="D60" s="30">
        <f>SUM(HEALTH)</f>
        <v>0</v>
      </c>
      <c r="E60" s="30">
        <f>SUM(UNALLOCATED)</f>
        <v>0</v>
      </c>
      <c r="F60" s="30">
        <f>SUM(LTC)</f>
        <v>0</v>
      </c>
      <c r="G60" s="31">
        <f>SUM(ALL_BLOCKS)</f>
        <v>14440461.449999997</v>
      </c>
      <c r="H60" s="30"/>
      <c r="I60" s="30"/>
      <c r="J60" s="30"/>
      <c r="K60" s="30"/>
      <c r="L60" s="29">
        <f>SUM(LIFE_CALLED)</f>
        <v>889508</v>
      </c>
      <c r="M60" s="30">
        <f>SUM(LIFE_REFUNDED)</f>
        <v>30</v>
      </c>
      <c r="N60" s="30"/>
      <c r="O60" s="30">
        <f>SUM(ALLOC_CALLED)</f>
        <v>2648350</v>
      </c>
      <c r="P60" s="30">
        <f>SUM(ALLOC_REFUNDED)</f>
        <v>20</v>
      </c>
      <c r="Q60" s="30"/>
      <c r="R60" s="30">
        <f>SUM(HEALTH_CALLED)</f>
        <v>330078</v>
      </c>
      <c r="S60" s="30">
        <f>SUM(HEALTH_REFUNDED)</f>
        <v>0</v>
      </c>
      <c r="T60" s="30"/>
      <c r="U60" s="30">
        <f>SUM(UNALLOC_CALLED)</f>
        <v>35000</v>
      </c>
      <c r="V60" s="31">
        <f>SUM(UNALLOC_REFUNDED)</f>
        <v>0</v>
      </c>
    </row>
    <row r="61" spans="1:22" ht="5.0999999999999996" customHeight="1">
      <c r="B61" s="8"/>
      <c r="G61" s="11"/>
      <c r="L61" s="8"/>
      <c r="V61" s="11"/>
    </row>
    <row r="62" spans="1:22">
      <c r="B62" s="8"/>
      <c r="G62" s="11"/>
      <c r="L62" s="122" t="s">
        <v>80</v>
      </c>
      <c r="M62" s="123"/>
      <c r="N62" s="123"/>
      <c r="O62" s="123"/>
      <c r="P62" s="123"/>
      <c r="Q62" s="123"/>
      <c r="R62" s="123"/>
      <c r="S62" s="123"/>
      <c r="T62" s="123"/>
      <c r="U62" s="123"/>
      <c r="V62" s="124"/>
    </row>
    <row r="63" spans="1:22">
      <c r="B63" s="8"/>
      <c r="G63" s="11"/>
      <c r="L63" s="125"/>
      <c r="M63" s="123"/>
      <c r="N63" s="123"/>
      <c r="O63" s="123"/>
      <c r="P63" s="123"/>
      <c r="Q63" s="123"/>
      <c r="R63" s="123"/>
      <c r="S63" s="123"/>
      <c r="T63" s="123"/>
      <c r="U63" s="123"/>
      <c r="V63" s="124"/>
    </row>
    <row r="64" spans="1:22">
      <c r="B64" s="10"/>
      <c r="C64" s="7"/>
      <c r="D64" s="7"/>
      <c r="E64" s="7"/>
      <c r="F64" s="7"/>
      <c r="G64" s="13"/>
      <c r="L64" s="126"/>
      <c r="M64" s="127"/>
      <c r="N64" s="127"/>
      <c r="O64" s="127"/>
      <c r="P64" s="127"/>
      <c r="Q64" s="127"/>
      <c r="R64" s="127"/>
      <c r="S64" s="127"/>
      <c r="T64" s="127"/>
      <c r="U64" s="127"/>
      <c r="V64" s="128"/>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pageSetUpPr fitToPage="1"/>
  </sheetPr>
  <dimension ref="A1:V64"/>
  <sheetViews>
    <sheetView zoomScale="75" workbookViewId="0">
      <selection sqref="A1:XFD1048576"/>
    </sheetView>
  </sheetViews>
  <sheetFormatPr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129" t="s">
        <v>114</v>
      </c>
      <c r="B1" s="123"/>
      <c r="C1" s="123"/>
      <c r="D1" s="123"/>
      <c r="E1" s="123"/>
      <c r="F1" s="123"/>
      <c r="G1" s="123"/>
    </row>
    <row r="3" spans="1:22">
      <c r="B3" s="130" t="s">
        <v>1</v>
      </c>
      <c r="C3" s="131"/>
      <c r="D3" s="131"/>
      <c r="E3" s="131"/>
      <c r="F3" s="131"/>
      <c r="G3" s="132"/>
      <c r="L3" s="133" t="s">
        <v>2</v>
      </c>
      <c r="M3" s="134"/>
      <c r="N3" s="134"/>
      <c r="O3" s="134"/>
      <c r="P3" s="134"/>
      <c r="Q3" s="134"/>
      <c r="R3" s="134"/>
      <c r="S3" s="134"/>
      <c r="T3" s="134"/>
      <c r="U3" s="134"/>
      <c r="V3" s="135"/>
    </row>
    <row r="4" spans="1:22">
      <c r="B4" s="8"/>
      <c r="G4" s="11"/>
      <c r="L4" s="136" t="s">
        <v>3</v>
      </c>
      <c r="M4" s="137"/>
      <c r="N4" s="4"/>
      <c r="O4" s="138" t="s">
        <v>4</v>
      </c>
      <c r="P4" s="137"/>
      <c r="Q4" s="4"/>
      <c r="R4" s="138" t="s">
        <v>5</v>
      </c>
      <c r="S4" s="137"/>
      <c r="T4" s="4"/>
      <c r="U4" s="138" t="s">
        <v>6</v>
      </c>
      <c r="V4" s="139"/>
    </row>
    <row r="5" spans="1:22" ht="60" customHeight="1">
      <c r="B5" s="9" t="s">
        <v>3</v>
      </c>
      <c r="C5" s="5" t="s">
        <v>4</v>
      </c>
      <c r="D5" s="5" t="s">
        <v>5</v>
      </c>
      <c r="E5" s="5" t="s">
        <v>6</v>
      </c>
      <c r="F5" s="5" t="s">
        <v>7</v>
      </c>
      <c r="G5" s="12" t="s">
        <v>8</v>
      </c>
      <c r="L5" s="15" t="s">
        <v>9</v>
      </c>
      <c r="M5" s="14" t="s">
        <v>10</v>
      </c>
      <c r="N5" s="14"/>
      <c r="O5" s="14" t="s">
        <v>9</v>
      </c>
      <c r="P5" s="14" t="s">
        <v>10</v>
      </c>
      <c r="Q5" s="14"/>
      <c r="R5" s="14" t="s">
        <v>9</v>
      </c>
      <c r="S5" s="14" t="s">
        <v>10</v>
      </c>
      <c r="T5" s="14"/>
      <c r="U5" s="14" t="s">
        <v>9</v>
      </c>
      <c r="V5" s="16" t="s">
        <v>10</v>
      </c>
    </row>
    <row r="6" spans="1:22">
      <c r="A6" s="1" t="s">
        <v>11</v>
      </c>
      <c r="B6" s="29">
        <v>21200.36318150732</v>
      </c>
      <c r="C6" s="30">
        <v>38.520311795796026</v>
      </c>
      <c r="D6" s="30">
        <v>0</v>
      </c>
      <c r="E6" s="30">
        <v>0</v>
      </c>
      <c r="F6" s="30">
        <v>0</v>
      </c>
      <c r="G6" s="31">
        <f>SUM(AL_FINANCIAL)</f>
        <v>21238.883493303118</v>
      </c>
      <c r="H6" s="30"/>
      <c r="I6" s="30"/>
      <c r="J6" s="30"/>
      <c r="K6" s="30"/>
      <c r="L6" s="29"/>
      <c r="M6" s="30"/>
      <c r="N6" s="30"/>
      <c r="O6" s="30"/>
      <c r="P6" s="30"/>
      <c r="Q6" s="30"/>
      <c r="R6" s="30"/>
      <c r="S6" s="30"/>
      <c r="T6" s="30"/>
      <c r="U6" s="30"/>
      <c r="V6" s="31"/>
    </row>
    <row r="7" spans="1:22">
      <c r="A7" s="1" t="s">
        <v>12</v>
      </c>
      <c r="B7" s="29">
        <v>0</v>
      </c>
      <c r="C7" s="30">
        <v>0</v>
      </c>
      <c r="D7" s="30">
        <v>0</v>
      </c>
      <c r="E7" s="30">
        <v>0</v>
      </c>
      <c r="F7" s="30">
        <v>0</v>
      </c>
      <c r="G7" s="31">
        <f>SUM(AK_FINANCIAL)</f>
        <v>0</v>
      </c>
      <c r="H7" s="30"/>
      <c r="I7" s="32"/>
      <c r="J7" s="33"/>
      <c r="K7" s="30"/>
      <c r="L7" s="29"/>
      <c r="M7" s="30"/>
      <c r="N7" s="30"/>
      <c r="O7" s="30"/>
      <c r="P7" s="30"/>
      <c r="Q7" s="30"/>
      <c r="R7" s="30"/>
      <c r="S7" s="30"/>
      <c r="T7" s="30"/>
      <c r="U7" s="30"/>
      <c r="V7" s="31"/>
    </row>
    <row r="8" spans="1:22">
      <c r="A8" s="1" t="s">
        <v>13</v>
      </c>
      <c r="B8" s="29">
        <v>12092.716539992469</v>
      </c>
      <c r="C8" s="30">
        <v>62.845634994093302</v>
      </c>
      <c r="D8" s="30">
        <v>0</v>
      </c>
      <c r="E8" s="30">
        <v>0</v>
      </c>
      <c r="F8" s="30">
        <v>0</v>
      </c>
      <c r="G8" s="31">
        <f>SUM(AZ_FINANCIAL)</f>
        <v>12155.562174986562</v>
      </c>
      <c r="H8" s="30"/>
      <c r="I8" s="34" t="s">
        <v>14</v>
      </c>
      <c r="J8" s="35"/>
      <c r="K8" s="30"/>
      <c r="L8" s="29"/>
      <c r="M8" s="30"/>
      <c r="N8" s="30"/>
      <c r="O8" s="30"/>
      <c r="P8" s="30"/>
      <c r="Q8" s="30"/>
      <c r="R8" s="30"/>
      <c r="S8" s="30"/>
      <c r="T8" s="30"/>
      <c r="U8" s="30"/>
      <c r="V8" s="31"/>
    </row>
    <row r="9" spans="1:22">
      <c r="A9" s="1" t="s">
        <v>15</v>
      </c>
      <c r="B9" s="29">
        <v>4660.6168227693252</v>
      </c>
      <c r="C9" s="30">
        <v>38.517494403052275</v>
      </c>
      <c r="D9" s="30">
        <v>0</v>
      </c>
      <c r="E9" s="30">
        <v>0</v>
      </c>
      <c r="F9" s="30">
        <v>0</v>
      </c>
      <c r="G9" s="31">
        <f>SUM(AR_FINANCIAL)</f>
        <v>4699.1343171723775</v>
      </c>
      <c r="H9" s="30"/>
      <c r="I9" s="34"/>
      <c r="J9" s="35"/>
      <c r="K9" s="30"/>
      <c r="L9" s="29">
        <v>4523</v>
      </c>
      <c r="M9" s="30">
        <v>0</v>
      </c>
      <c r="N9" s="30"/>
      <c r="O9" s="30">
        <v>0</v>
      </c>
      <c r="P9" s="30">
        <v>0</v>
      </c>
      <c r="Q9" s="30"/>
      <c r="R9" s="30">
        <v>0</v>
      </c>
      <c r="S9" s="30">
        <v>0</v>
      </c>
      <c r="T9" s="30"/>
      <c r="U9" s="30">
        <v>0</v>
      </c>
      <c r="V9" s="31">
        <v>0</v>
      </c>
    </row>
    <row r="10" spans="1:22">
      <c r="A10" s="1" t="s">
        <v>16</v>
      </c>
      <c r="B10" s="29">
        <v>93122.38880827614</v>
      </c>
      <c r="C10" s="30">
        <v>3215.3812868727482</v>
      </c>
      <c r="D10" s="30">
        <v>0</v>
      </c>
      <c r="E10" s="30">
        <v>0</v>
      </c>
      <c r="F10" s="30">
        <v>0</v>
      </c>
      <c r="G10" s="31">
        <f>SUM(CA_FINANCIAL)</f>
        <v>96337.770095148895</v>
      </c>
      <c r="H10" s="30"/>
      <c r="I10" s="34" t="s">
        <v>17</v>
      </c>
      <c r="J10" s="35">
        <v>629575000</v>
      </c>
      <c r="K10" s="30"/>
      <c r="L10" s="29"/>
      <c r="M10" s="30"/>
      <c r="N10" s="30"/>
      <c r="O10" s="30"/>
      <c r="P10" s="30"/>
      <c r="Q10" s="30"/>
      <c r="R10" s="30"/>
      <c r="S10" s="30"/>
      <c r="T10" s="30"/>
      <c r="U10" s="30"/>
      <c r="V10" s="31"/>
    </row>
    <row r="11" spans="1:22">
      <c r="A11" s="1" t="s">
        <v>18</v>
      </c>
      <c r="B11" s="29">
        <v>18189.826780828131</v>
      </c>
      <c r="C11" s="30">
        <v>2844.4412587496513</v>
      </c>
      <c r="D11" s="30">
        <v>0</v>
      </c>
      <c r="E11" s="30">
        <v>0</v>
      </c>
      <c r="F11" s="30">
        <v>0</v>
      </c>
      <c r="G11" s="31">
        <f>SUM(CO_FINANCIAL)</f>
        <v>21034.268039577782</v>
      </c>
      <c r="H11" s="30"/>
      <c r="I11" s="34"/>
      <c r="J11" s="35"/>
      <c r="K11" s="30"/>
      <c r="L11" s="29"/>
      <c r="M11" s="30"/>
      <c r="N11" s="30"/>
      <c r="O11" s="30"/>
      <c r="P11" s="30"/>
      <c r="Q11" s="30"/>
      <c r="R11" s="30"/>
      <c r="S11" s="30"/>
      <c r="T11" s="30"/>
      <c r="U11" s="30"/>
      <c r="V11" s="31"/>
    </row>
    <row r="12" spans="1:22">
      <c r="A12" s="1" t="s">
        <v>19</v>
      </c>
      <c r="B12" s="29">
        <v>12519.37660454067</v>
      </c>
      <c r="C12" s="30">
        <v>121.64576457853285</v>
      </c>
      <c r="D12" s="30">
        <v>0</v>
      </c>
      <c r="E12" s="30">
        <v>0</v>
      </c>
      <c r="F12" s="30">
        <v>0</v>
      </c>
      <c r="G12" s="31">
        <f>SUM(CT_FINANCIAL)</f>
        <v>12641.022369119202</v>
      </c>
      <c r="H12" s="30"/>
      <c r="I12" s="34" t="s">
        <v>20</v>
      </c>
      <c r="J12" s="35"/>
      <c r="K12" s="30"/>
      <c r="L12" s="29"/>
      <c r="M12" s="30"/>
      <c r="N12" s="30"/>
      <c r="O12" s="30"/>
      <c r="P12" s="30"/>
      <c r="Q12" s="30"/>
      <c r="R12" s="30"/>
      <c r="S12" s="30"/>
      <c r="T12" s="30"/>
      <c r="U12" s="30"/>
      <c r="V12" s="31"/>
    </row>
    <row r="13" spans="1:22">
      <c r="A13" s="1" t="s">
        <v>21</v>
      </c>
      <c r="B13" s="29">
        <v>10376.222740459049</v>
      </c>
      <c r="C13" s="30">
        <v>760.27423362097363</v>
      </c>
      <c r="D13" s="30">
        <v>0</v>
      </c>
      <c r="E13" s="30">
        <v>0</v>
      </c>
      <c r="F13" s="30">
        <v>0</v>
      </c>
      <c r="G13" s="31">
        <f>SUM(DE_FINANCIAL)</f>
        <v>11136.496974080022</v>
      </c>
      <c r="H13" s="30"/>
      <c r="I13" s="34" t="s">
        <v>22</v>
      </c>
      <c r="J13" s="35">
        <v>0</v>
      </c>
      <c r="K13" s="30"/>
      <c r="L13" s="29"/>
      <c r="M13" s="30"/>
      <c r="N13" s="30"/>
      <c r="O13" s="30"/>
      <c r="P13" s="30"/>
      <c r="Q13" s="30"/>
      <c r="R13" s="30"/>
      <c r="S13" s="30"/>
      <c r="T13" s="30"/>
      <c r="U13" s="30"/>
      <c r="V13" s="31"/>
    </row>
    <row r="14" spans="1:22">
      <c r="A14" s="1" t="s">
        <v>23</v>
      </c>
      <c r="B14" s="29">
        <v>5264.7210434097315</v>
      </c>
      <c r="C14" s="30">
        <v>490.59010108015207</v>
      </c>
      <c r="D14" s="30">
        <v>0</v>
      </c>
      <c r="E14" s="30">
        <v>0</v>
      </c>
      <c r="F14" s="30">
        <v>0</v>
      </c>
      <c r="G14" s="31">
        <f>SUM(DC_FINANCIAL)</f>
        <v>5755.3111444898832</v>
      </c>
      <c r="H14" s="30"/>
      <c r="I14" s="34" t="s">
        <v>24</v>
      </c>
      <c r="J14" s="35">
        <v>0</v>
      </c>
      <c r="K14" s="30"/>
      <c r="L14" s="29">
        <v>2326</v>
      </c>
      <c r="M14" s="30">
        <v>0</v>
      </c>
      <c r="N14" s="30"/>
      <c r="O14" s="30">
        <v>3076</v>
      </c>
      <c r="P14" s="30">
        <v>0</v>
      </c>
      <c r="Q14" s="30"/>
      <c r="R14" s="30">
        <v>0</v>
      </c>
      <c r="S14" s="30">
        <v>0</v>
      </c>
      <c r="T14" s="30"/>
      <c r="U14" s="30">
        <v>0</v>
      </c>
      <c r="V14" s="31">
        <v>0</v>
      </c>
    </row>
    <row r="15" spans="1:22">
      <c r="A15" s="1" t="s">
        <v>25</v>
      </c>
      <c r="B15" s="29">
        <v>86764.96364113556</v>
      </c>
      <c r="C15" s="30">
        <v>7533.6730352702225</v>
      </c>
      <c r="D15" s="30">
        <v>0</v>
      </c>
      <c r="E15" s="30">
        <v>0</v>
      </c>
      <c r="F15" s="30">
        <v>0</v>
      </c>
      <c r="G15" s="31">
        <f>SUM(FL_FINANCIAL)</f>
        <v>94298.636676405789</v>
      </c>
      <c r="H15" s="30"/>
      <c r="I15" s="34" t="s">
        <v>26</v>
      </c>
      <c r="J15" s="35">
        <v>1276371.1400000013</v>
      </c>
      <c r="K15" s="30"/>
      <c r="L15" s="29"/>
      <c r="M15" s="30"/>
      <c r="N15" s="30"/>
      <c r="O15" s="30"/>
      <c r="P15" s="30"/>
      <c r="Q15" s="30"/>
      <c r="R15" s="30"/>
      <c r="S15" s="30"/>
      <c r="T15" s="30"/>
      <c r="U15" s="30"/>
      <c r="V15" s="31"/>
    </row>
    <row r="16" spans="1:22">
      <c r="A16" s="1" t="s">
        <v>27</v>
      </c>
      <c r="B16" s="29">
        <v>17486.047886899429</v>
      </c>
      <c r="C16" s="30">
        <v>478.45881754298722</v>
      </c>
      <c r="D16" s="30">
        <v>0</v>
      </c>
      <c r="E16" s="30">
        <v>1194.1196759865231</v>
      </c>
      <c r="F16" s="30">
        <v>0</v>
      </c>
      <c r="G16" s="31">
        <f>SUM(GA_FINANCIAL)</f>
        <v>19158.626380428941</v>
      </c>
      <c r="H16" s="30"/>
      <c r="I16" s="34" t="s">
        <v>28</v>
      </c>
      <c r="J16" s="35">
        <v>0</v>
      </c>
      <c r="K16" s="30"/>
      <c r="L16" s="29"/>
      <c r="M16" s="30"/>
      <c r="N16" s="30"/>
      <c r="O16" s="30"/>
      <c r="P16" s="30"/>
      <c r="Q16" s="30"/>
      <c r="R16" s="30"/>
      <c r="S16" s="30"/>
      <c r="T16" s="30"/>
      <c r="U16" s="30"/>
      <c r="V16" s="31"/>
    </row>
    <row r="17" spans="1:22">
      <c r="A17" s="1" t="s">
        <v>29</v>
      </c>
      <c r="B17" s="29">
        <v>0</v>
      </c>
      <c r="C17" s="30">
        <v>0</v>
      </c>
      <c r="D17" s="30">
        <v>0</v>
      </c>
      <c r="E17" s="30">
        <v>0</v>
      </c>
      <c r="F17" s="30">
        <v>0</v>
      </c>
      <c r="G17" s="31">
        <f>SUM(HI_FINANCIAL)</f>
        <v>0</v>
      </c>
      <c r="H17" s="30"/>
      <c r="I17" s="34"/>
      <c r="J17" s="35"/>
      <c r="K17" s="30"/>
      <c r="L17" s="29"/>
      <c r="M17" s="30"/>
      <c r="N17" s="30"/>
      <c r="O17" s="30"/>
      <c r="P17" s="30"/>
      <c r="Q17" s="30"/>
      <c r="R17" s="30"/>
      <c r="S17" s="30"/>
      <c r="T17" s="30"/>
      <c r="U17" s="30"/>
      <c r="V17" s="31"/>
    </row>
    <row r="18" spans="1:22">
      <c r="A18" s="1" t="s">
        <v>30</v>
      </c>
      <c r="B18" s="29">
        <v>444.33650000157172</v>
      </c>
      <c r="C18" s="30">
        <v>0</v>
      </c>
      <c r="D18" s="30">
        <v>0</v>
      </c>
      <c r="E18" s="30">
        <v>0</v>
      </c>
      <c r="F18" s="30">
        <v>0</v>
      </c>
      <c r="G18" s="31">
        <f>SUM(ID_FINANCIAL)</f>
        <v>444.33650000157172</v>
      </c>
      <c r="H18" s="30"/>
      <c r="I18" s="34" t="s">
        <v>31</v>
      </c>
      <c r="J18" s="35"/>
      <c r="K18" s="30"/>
      <c r="L18" s="29"/>
      <c r="M18" s="30"/>
      <c r="N18" s="30"/>
      <c r="O18" s="30"/>
      <c r="P18" s="30"/>
      <c r="Q18" s="30"/>
      <c r="R18" s="30"/>
      <c r="S18" s="30"/>
      <c r="T18" s="30"/>
      <c r="U18" s="30"/>
      <c r="V18" s="31"/>
    </row>
    <row r="19" spans="1:22">
      <c r="A19" s="1" t="s">
        <v>32</v>
      </c>
      <c r="B19" s="29">
        <v>75689.47685472414</v>
      </c>
      <c r="C19" s="30">
        <v>6522.0187239954885</v>
      </c>
      <c r="D19" s="30">
        <v>0</v>
      </c>
      <c r="E19" s="30">
        <v>360.87016875076063</v>
      </c>
      <c r="F19" s="30">
        <v>0</v>
      </c>
      <c r="G19" s="31">
        <f>SUM(IL_FINANCIAL)</f>
        <v>82572.36574747038</v>
      </c>
      <c r="H19" s="30"/>
      <c r="I19" s="34" t="s">
        <v>33</v>
      </c>
      <c r="J19" s="35">
        <v>0</v>
      </c>
      <c r="K19" s="30"/>
      <c r="L19" s="29"/>
      <c r="M19" s="30"/>
      <c r="N19" s="30"/>
      <c r="O19" s="30"/>
      <c r="P19" s="30"/>
      <c r="Q19" s="30"/>
      <c r="R19" s="30"/>
      <c r="S19" s="30"/>
      <c r="T19" s="30"/>
      <c r="U19" s="30"/>
      <c r="V19" s="31"/>
    </row>
    <row r="20" spans="1:22">
      <c r="A20" s="1" t="s">
        <v>34</v>
      </c>
      <c r="B20" s="29">
        <v>9904.0121364298811</v>
      </c>
      <c r="C20" s="30">
        <v>1879.4307575169905</v>
      </c>
      <c r="D20" s="30">
        <v>0</v>
      </c>
      <c r="E20" s="30">
        <v>0</v>
      </c>
      <c r="F20" s="30">
        <v>0</v>
      </c>
      <c r="G20" s="31">
        <f>SUM(IN_FINANCIAL)</f>
        <v>11783.442893946871</v>
      </c>
      <c r="H20" s="30"/>
      <c r="I20" s="34" t="s">
        <v>35</v>
      </c>
      <c r="J20" s="35">
        <v>629575000</v>
      </c>
      <c r="K20" s="30"/>
      <c r="L20" s="29"/>
      <c r="M20" s="30"/>
      <c r="N20" s="30"/>
      <c r="O20" s="30"/>
      <c r="P20" s="30"/>
      <c r="Q20" s="30"/>
      <c r="R20" s="30"/>
      <c r="S20" s="30"/>
      <c r="T20" s="30"/>
      <c r="U20" s="30"/>
      <c r="V20" s="31"/>
    </row>
    <row r="21" spans="1:22">
      <c r="A21" s="1" t="s">
        <v>36</v>
      </c>
      <c r="B21" s="29">
        <v>1417.381599702599</v>
      </c>
      <c r="C21" s="30">
        <v>176.41230210890723</v>
      </c>
      <c r="D21" s="30">
        <v>0</v>
      </c>
      <c r="E21" s="30">
        <v>0</v>
      </c>
      <c r="F21" s="30">
        <v>0</v>
      </c>
      <c r="G21" s="31">
        <f>SUM(IA_FINANCIAL)</f>
        <v>1593.7939018115062</v>
      </c>
      <c r="H21" s="30"/>
      <c r="I21" s="34" t="s">
        <v>37</v>
      </c>
      <c r="J21" s="35"/>
      <c r="K21" s="30"/>
      <c r="L21" s="29"/>
      <c r="M21" s="30"/>
      <c r="N21" s="30"/>
      <c r="O21" s="30"/>
      <c r="P21" s="30"/>
      <c r="Q21" s="30"/>
      <c r="R21" s="30"/>
      <c r="S21" s="30"/>
      <c r="T21" s="30"/>
      <c r="U21" s="30"/>
      <c r="V21" s="31"/>
    </row>
    <row r="22" spans="1:22">
      <c r="A22" s="1" t="s">
        <v>38</v>
      </c>
      <c r="B22" s="29">
        <v>4541.5534324040636</v>
      </c>
      <c r="C22" s="30">
        <v>10.137396054473356</v>
      </c>
      <c r="D22" s="30">
        <v>0</v>
      </c>
      <c r="E22" s="30">
        <v>0</v>
      </c>
      <c r="F22" s="30">
        <v>0</v>
      </c>
      <c r="G22" s="31">
        <f>SUM(KS_FINANCIAL)</f>
        <v>4551.690828458537</v>
      </c>
      <c r="H22" s="30"/>
      <c r="I22" s="34" t="s">
        <v>39</v>
      </c>
      <c r="J22" s="35">
        <v>0</v>
      </c>
      <c r="K22" s="30"/>
      <c r="L22" s="29"/>
      <c r="M22" s="30"/>
      <c r="N22" s="30"/>
      <c r="O22" s="30"/>
      <c r="P22" s="30"/>
      <c r="Q22" s="30"/>
      <c r="R22" s="30"/>
      <c r="S22" s="30"/>
      <c r="T22" s="30"/>
      <c r="U22" s="30"/>
      <c r="V22" s="31"/>
    </row>
    <row r="23" spans="1:22">
      <c r="A23" s="1" t="s">
        <v>40</v>
      </c>
      <c r="B23" s="29">
        <v>24521.021388672641</v>
      </c>
      <c r="C23" s="30">
        <v>3405.9789940446499</v>
      </c>
      <c r="D23" s="30">
        <v>0</v>
      </c>
      <c r="E23" s="30">
        <v>0</v>
      </c>
      <c r="F23" s="30">
        <v>0</v>
      </c>
      <c r="G23" s="31">
        <f>SUM(KY_FINANCIAL)</f>
        <v>27927.000382717291</v>
      </c>
      <c r="H23" s="30"/>
      <c r="I23" s="34" t="s">
        <v>41</v>
      </c>
      <c r="J23" s="35"/>
      <c r="K23" s="30"/>
      <c r="L23" s="29"/>
      <c r="M23" s="30"/>
      <c r="N23" s="30"/>
      <c r="O23" s="30"/>
      <c r="P23" s="30"/>
      <c r="Q23" s="30"/>
      <c r="R23" s="30"/>
      <c r="S23" s="30"/>
      <c r="T23" s="30"/>
      <c r="U23" s="30"/>
      <c r="V23" s="31"/>
    </row>
    <row r="24" spans="1:22">
      <c r="A24" s="1" t="s">
        <v>42</v>
      </c>
      <c r="B24" s="29">
        <v>1947.8588781107271</v>
      </c>
      <c r="C24" s="30">
        <v>0</v>
      </c>
      <c r="D24" s="30">
        <v>0</v>
      </c>
      <c r="E24" s="30">
        <v>0</v>
      </c>
      <c r="F24" s="30">
        <v>0</v>
      </c>
      <c r="G24" s="31">
        <f>SUM(LA_FINANCIAL)</f>
        <v>1947.8588781107271</v>
      </c>
      <c r="H24" s="30"/>
      <c r="I24" s="34" t="s">
        <v>43</v>
      </c>
      <c r="J24" s="35">
        <v>0</v>
      </c>
      <c r="K24" s="30"/>
      <c r="L24" s="29"/>
      <c r="M24" s="30"/>
      <c r="N24" s="30"/>
      <c r="O24" s="30"/>
      <c r="P24" s="30"/>
      <c r="Q24" s="30"/>
      <c r="R24" s="30"/>
      <c r="S24" s="30"/>
      <c r="T24" s="30"/>
      <c r="U24" s="30"/>
      <c r="V24" s="31"/>
    </row>
    <row r="25" spans="1:22">
      <c r="A25" s="1" t="s">
        <v>44</v>
      </c>
      <c r="B25" s="29">
        <v>6515.7437060130296</v>
      </c>
      <c r="C25" s="30">
        <v>5149.3431901907579</v>
      </c>
      <c r="D25" s="30">
        <v>0</v>
      </c>
      <c r="E25" s="30">
        <v>0</v>
      </c>
      <c r="F25" s="30">
        <v>0</v>
      </c>
      <c r="G25" s="31">
        <f>SUM(ME_FINANCIAL)</f>
        <v>11665.086896203788</v>
      </c>
      <c r="H25" s="30"/>
      <c r="I25" s="34"/>
      <c r="J25" s="35"/>
      <c r="K25" s="30"/>
      <c r="L25" s="29"/>
      <c r="M25" s="30"/>
      <c r="N25" s="30"/>
      <c r="O25" s="30"/>
      <c r="P25" s="30"/>
      <c r="Q25" s="30"/>
      <c r="R25" s="30"/>
      <c r="S25" s="30"/>
      <c r="T25" s="30"/>
      <c r="U25" s="30"/>
      <c r="V25" s="31"/>
    </row>
    <row r="26" spans="1:22">
      <c r="A26" s="1" t="s">
        <v>45</v>
      </c>
      <c r="B26" s="29">
        <v>30055.140758027785</v>
      </c>
      <c r="C26" s="30">
        <v>693.34624885298501</v>
      </c>
      <c r="D26" s="30">
        <v>0</v>
      </c>
      <c r="E26" s="30">
        <v>0</v>
      </c>
      <c r="F26" s="30">
        <v>0</v>
      </c>
      <c r="G26" s="31">
        <f>SUM(MD_FINANCIAL)</f>
        <v>30748.487006880769</v>
      </c>
      <c r="H26" s="30"/>
      <c r="I26" s="34" t="s">
        <v>46</v>
      </c>
      <c r="J26" s="35">
        <f>SUM(ADD_FINANCIAL)-SUM(LESS_FINANCIAL)</f>
        <v>1276371.1399999857</v>
      </c>
      <c r="K26" s="30"/>
      <c r="L26" s="29">
        <v>34200</v>
      </c>
      <c r="M26" s="30">
        <v>0</v>
      </c>
      <c r="N26" s="30"/>
      <c r="O26" s="30">
        <v>800</v>
      </c>
      <c r="P26" s="30">
        <v>0</v>
      </c>
      <c r="Q26" s="30"/>
      <c r="R26" s="30">
        <v>0</v>
      </c>
      <c r="S26" s="30">
        <v>0</v>
      </c>
      <c r="T26" s="30"/>
      <c r="U26" s="30">
        <v>0</v>
      </c>
      <c r="V26" s="31">
        <v>0</v>
      </c>
    </row>
    <row r="27" spans="1:22">
      <c r="A27" s="1" t="s">
        <v>47</v>
      </c>
      <c r="B27" s="29">
        <v>69635.441162725401</v>
      </c>
      <c r="C27" s="30">
        <v>2576.7627145051815</v>
      </c>
      <c r="D27" s="30">
        <v>0</v>
      </c>
      <c r="E27" s="30">
        <v>0</v>
      </c>
      <c r="F27" s="30">
        <v>0</v>
      </c>
      <c r="G27" s="31">
        <f>SUM(MA_FINANCIAL)</f>
        <v>72212.203877230582</v>
      </c>
      <c r="H27" s="30"/>
      <c r="I27" s="34" t="s">
        <v>48</v>
      </c>
      <c r="J27" s="35">
        <f>SUM(ALL_BLOCKS)</f>
        <v>1276371.1400000004</v>
      </c>
      <c r="K27" s="30"/>
      <c r="L27" s="29"/>
      <c r="M27" s="30"/>
      <c r="N27" s="30"/>
      <c r="O27" s="30"/>
      <c r="P27" s="30"/>
      <c r="Q27" s="30"/>
      <c r="R27" s="30"/>
      <c r="S27" s="30"/>
      <c r="T27" s="30"/>
      <c r="U27" s="30"/>
      <c r="V27" s="31"/>
    </row>
    <row r="28" spans="1:22">
      <c r="A28" s="1" t="s">
        <v>49</v>
      </c>
      <c r="B28" s="29">
        <v>20066.935039530545</v>
      </c>
      <c r="C28" s="30">
        <v>1484.0368204623519</v>
      </c>
      <c r="D28" s="30">
        <v>0</v>
      </c>
      <c r="E28" s="30">
        <v>748.10052834782493</v>
      </c>
      <c r="F28" s="30">
        <v>0</v>
      </c>
      <c r="G28" s="31">
        <f>SUM(MI_FINANCIAL)</f>
        <v>22299.072388340723</v>
      </c>
      <c r="H28" s="30"/>
      <c r="I28" s="36"/>
      <c r="J28" s="37"/>
      <c r="K28" s="30"/>
      <c r="L28" s="29"/>
      <c r="M28" s="30"/>
      <c r="N28" s="30"/>
      <c r="O28" s="30"/>
      <c r="P28" s="30"/>
      <c r="Q28" s="30"/>
      <c r="R28" s="30"/>
      <c r="S28" s="30"/>
      <c r="T28" s="30"/>
      <c r="U28" s="30"/>
      <c r="V28" s="31"/>
    </row>
    <row r="29" spans="1:22">
      <c r="A29" s="1" t="s">
        <v>50</v>
      </c>
      <c r="B29" s="29">
        <v>5207.9463484135267</v>
      </c>
      <c r="C29" s="30">
        <v>68.925720453896417</v>
      </c>
      <c r="D29" s="30">
        <v>0</v>
      </c>
      <c r="E29" s="30">
        <v>0</v>
      </c>
      <c r="F29" s="30">
        <v>0</v>
      </c>
      <c r="G29" s="31">
        <f>SUM(MN_FINANCIAL)</f>
        <v>5276.872068867423</v>
      </c>
      <c r="H29" s="30"/>
      <c r="I29" s="30"/>
      <c r="J29" s="30"/>
      <c r="K29" s="30"/>
      <c r="L29" s="29"/>
      <c r="M29" s="30"/>
      <c r="N29" s="30"/>
      <c r="O29" s="30"/>
      <c r="P29" s="30"/>
      <c r="Q29" s="30"/>
      <c r="R29" s="30"/>
      <c r="S29" s="30"/>
      <c r="T29" s="30"/>
      <c r="U29" s="30"/>
      <c r="V29" s="31"/>
    </row>
    <row r="30" spans="1:22">
      <c r="A30" s="1" t="s">
        <v>51</v>
      </c>
      <c r="B30" s="29">
        <v>1721.1770519248237</v>
      </c>
      <c r="C30" s="30">
        <v>0</v>
      </c>
      <c r="D30" s="30">
        <v>0</v>
      </c>
      <c r="E30" s="30">
        <v>0</v>
      </c>
      <c r="F30" s="30">
        <v>0</v>
      </c>
      <c r="G30" s="31">
        <f>SUM(MS_FINANCIAL)</f>
        <v>1721.1770519248237</v>
      </c>
      <c r="H30" s="30"/>
      <c r="I30" s="30"/>
      <c r="J30" s="30"/>
      <c r="K30" s="30"/>
      <c r="L30" s="29"/>
      <c r="M30" s="30"/>
      <c r="N30" s="30"/>
      <c r="O30" s="30"/>
      <c r="P30" s="30"/>
      <c r="Q30" s="30"/>
      <c r="R30" s="30"/>
      <c r="S30" s="30"/>
      <c r="T30" s="30"/>
      <c r="U30" s="30"/>
      <c r="V30" s="31"/>
    </row>
    <row r="31" spans="1:22">
      <c r="A31" s="1" t="s">
        <v>52</v>
      </c>
      <c r="B31" s="29">
        <v>7464.6286714659209</v>
      </c>
      <c r="C31" s="30">
        <v>269.63487596549902</v>
      </c>
      <c r="D31" s="30">
        <v>0</v>
      </c>
      <c r="E31" s="30">
        <v>0</v>
      </c>
      <c r="F31" s="30">
        <v>0</v>
      </c>
      <c r="G31" s="31">
        <f>SUM(MO_FINANCIAL)</f>
        <v>7734.2635474314202</v>
      </c>
      <c r="H31" s="30"/>
      <c r="I31" s="30"/>
      <c r="J31" s="30"/>
      <c r="K31" s="30"/>
      <c r="L31" s="29"/>
      <c r="M31" s="30"/>
      <c r="N31" s="30"/>
      <c r="O31" s="30"/>
      <c r="P31" s="30"/>
      <c r="Q31" s="30"/>
      <c r="R31" s="30"/>
      <c r="S31" s="30"/>
      <c r="T31" s="30"/>
      <c r="U31" s="30"/>
      <c r="V31" s="31"/>
    </row>
    <row r="32" spans="1:22">
      <c r="A32" s="1" t="s">
        <v>53</v>
      </c>
      <c r="B32" s="29">
        <v>583.75585327520241</v>
      </c>
      <c r="C32" s="30">
        <v>0</v>
      </c>
      <c r="D32" s="30">
        <v>0</v>
      </c>
      <c r="E32" s="30">
        <v>0</v>
      </c>
      <c r="F32" s="30">
        <v>0</v>
      </c>
      <c r="G32" s="31">
        <f>SUM(MT_FINANCIAL)</f>
        <v>583.75585327520241</v>
      </c>
      <c r="H32" s="30"/>
      <c r="I32" s="30"/>
      <c r="J32" s="30"/>
      <c r="K32" s="30"/>
      <c r="L32" s="29"/>
      <c r="M32" s="30"/>
      <c r="N32" s="30"/>
      <c r="O32" s="30"/>
      <c r="P32" s="30"/>
      <c r="Q32" s="30"/>
      <c r="R32" s="30"/>
      <c r="S32" s="30"/>
      <c r="T32" s="30"/>
      <c r="U32" s="30"/>
      <c r="V32" s="31"/>
    </row>
    <row r="33" spans="1:22">
      <c r="A33" s="1" t="s">
        <v>54</v>
      </c>
      <c r="B33" s="29">
        <v>1385.1663803660733</v>
      </c>
      <c r="C33" s="30">
        <v>0</v>
      </c>
      <c r="D33" s="30">
        <v>0</v>
      </c>
      <c r="E33" s="30">
        <v>0</v>
      </c>
      <c r="F33" s="30">
        <v>0</v>
      </c>
      <c r="G33" s="31">
        <f>SUM(NE_FINANCIAL)</f>
        <v>1385.1663803660733</v>
      </c>
      <c r="H33" s="30"/>
      <c r="I33" s="30"/>
      <c r="J33" s="30"/>
      <c r="K33" s="30"/>
      <c r="L33" s="29"/>
      <c r="M33" s="30"/>
      <c r="N33" s="30"/>
      <c r="O33" s="30"/>
      <c r="P33" s="30"/>
      <c r="Q33" s="30"/>
      <c r="R33" s="30"/>
      <c r="S33" s="30"/>
      <c r="T33" s="30"/>
      <c r="U33" s="30"/>
      <c r="V33" s="31"/>
    </row>
    <row r="34" spans="1:22">
      <c r="A34" s="1" t="s">
        <v>55</v>
      </c>
      <c r="B34" s="29">
        <v>1897.7080316094211</v>
      </c>
      <c r="C34" s="30">
        <v>0</v>
      </c>
      <c r="D34" s="30">
        <v>0</v>
      </c>
      <c r="E34" s="30">
        <v>0</v>
      </c>
      <c r="F34" s="30">
        <v>0</v>
      </c>
      <c r="G34" s="31">
        <f>SUM(NV_FINANCIAL)</f>
        <v>1897.7080316094211</v>
      </c>
      <c r="H34" s="30"/>
      <c r="I34" s="30"/>
      <c r="J34" s="30"/>
      <c r="K34" s="30"/>
      <c r="L34" s="29"/>
      <c r="M34" s="30"/>
      <c r="N34" s="30"/>
      <c r="O34" s="30"/>
      <c r="P34" s="30"/>
      <c r="Q34" s="30"/>
      <c r="R34" s="30"/>
      <c r="S34" s="30"/>
      <c r="T34" s="30"/>
      <c r="U34" s="30"/>
      <c r="V34" s="31"/>
    </row>
    <row r="35" spans="1:22">
      <c r="A35" s="1" t="s">
        <v>56</v>
      </c>
      <c r="B35" s="29">
        <v>9409.2942696320315</v>
      </c>
      <c r="C35" s="30">
        <v>285.86737600045603</v>
      </c>
      <c r="D35" s="30">
        <v>0</v>
      </c>
      <c r="E35" s="30">
        <v>0</v>
      </c>
      <c r="F35" s="30">
        <v>0</v>
      </c>
      <c r="G35" s="31">
        <f>SUM(NH_FINANCIAL)</f>
        <v>9695.1616456324882</v>
      </c>
      <c r="H35" s="30"/>
      <c r="I35" s="30"/>
      <c r="J35" s="30"/>
      <c r="K35" s="30"/>
      <c r="L35" s="29"/>
      <c r="M35" s="30"/>
      <c r="N35" s="30"/>
      <c r="O35" s="30"/>
      <c r="P35" s="30"/>
      <c r="Q35" s="30"/>
      <c r="R35" s="30"/>
      <c r="S35" s="30"/>
      <c r="T35" s="30"/>
      <c r="U35" s="30"/>
      <c r="V35" s="31"/>
    </row>
    <row r="36" spans="1:22">
      <c r="A36" s="1" t="s">
        <v>57</v>
      </c>
      <c r="B36" s="29">
        <v>76212.291690024998</v>
      </c>
      <c r="C36" s="30">
        <v>4987.2908479852495</v>
      </c>
      <c r="D36" s="30">
        <v>0</v>
      </c>
      <c r="E36" s="30">
        <v>2637.5875582230933</v>
      </c>
      <c r="F36" s="30">
        <v>0</v>
      </c>
      <c r="G36" s="31">
        <f>SUM(NJ_FINANCIAL)</f>
        <v>83837.170096233342</v>
      </c>
      <c r="H36" s="30"/>
      <c r="I36" s="30"/>
      <c r="J36" s="30"/>
      <c r="K36" s="30"/>
      <c r="L36" s="29"/>
      <c r="M36" s="30"/>
      <c r="N36" s="30"/>
      <c r="O36" s="30"/>
      <c r="P36" s="30"/>
      <c r="Q36" s="30"/>
      <c r="R36" s="30"/>
      <c r="S36" s="30"/>
      <c r="T36" s="30"/>
      <c r="U36" s="30"/>
      <c r="V36" s="31"/>
    </row>
    <row r="37" spans="1:22">
      <c r="A37" s="1" t="s">
        <v>58</v>
      </c>
      <c r="B37" s="29">
        <v>1096.2975045185503</v>
      </c>
      <c r="C37" s="30">
        <v>0</v>
      </c>
      <c r="D37" s="30">
        <v>0</v>
      </c>
      <c r="E37" s="30">
        <v>0</v>
      </c>
      <c r="F37" s="30">
        <v>0</v>
      </c>
      <c r="G37" s="31">
        <f>SUM(NM_FINANCIAL)</f>
        <v>1096.2975045185503</v>
      </c>
      <c r="H37" s="30"/>
      <c r="I37" s="30"/>
      <c r="J37" s="30"/>
      <c r="K37" s="30"/>
      <c r="L37" s="29"/>
      <c r="M37" s="30"/>
      <c r="N37" s="30"/>
      <c r="O37" s="30"/>
      <c r="P37" s="30"/>
      <c r="Q37" s="30"/>
      <c r="R37" s="30"/>
      <c r="S37" s="30"/>
      <c r="T37" s="30"/>
      <c r="U37" s="30"/>
      <c r="V37" s="31"/>
    </row>
    <row r="38" spans="1:22">
      <c r="A38" s="1" t="s">
        <v>59</v>
      </c>
      <c r="B38" s="29">
        <v>66077.781985260372</v>
      </c>
      <c r="C38" s="30">
        <v>8241.2230776572706</v>
      </c>
      <c r="D38" s="30">
        <v>0</v>
      </c>
      <c r="E38" s="30">
        <v>2625.4326901761783</v>
      </c>
      <c r="F38" s="30">
        <v>0</v>
      </c>
      <c r="G38" s="31">
        <f>SUM(NY_FINANCIAL)</f>
        <v>76944.437753093822</v>
      </c>
      <c r="H38" s="30"/>
      <c r="I38" s="30"/>
      <c r="J38" s="30"/>
      <c r="K38" s="30"/>
      <c r="L38" s="29"/>
      <c r="M38" s="30"/>
      <c r="N38" s="30"/>
      <c r="O38" s="30"/>
      <c r="P38" s="30"/>
      <c r="Q38" s="30"/>
      <c r="R38" s="30"/>
      <c r="S38" s="30"/>
      <c r="T38" s="30"/>
      <c r="U38" s="30"/>
      <c r="V38" s="31"/>
    </row>
    <row r="39" spans="1:22">
      <c r="A39" s="1" t="s">
        <v>60</v>
      </c>
      <c r="B39" s="29">
        <v>28042.292841207513</v>
      </c>
      <c r="C39" s="30">
        <v>24494.431904819925</v>
      </c>
      <c r="D39" s="30">
        <v>0</v>
      </c>
      <c r="E39" s="30">
        <v>3367.4268659084501</v>
      </c>
      <c r="F39" s="30">
        <v>0</v>
      </c>
      <c r="G39" s="31">
        <f>SUM(NC_FINANCIAL)</f>
        <v>55904.151611935886</v>
      </c>
      <c r="H39" s="30"/>
      <c r="I39" s="30"/>
      <c r="J39" s="30"/>
      <c r="K39" s="30"/>
      <c r="L39" s="29"/>
      <c r="M39" s="30"/>
      <c r="N39" s="30"/>
      <c r="O39" s="30"/>
      <c r="P39" s="30"/>
      <c r="Q39" s="30"/>
      <c r="R39" s="30"/>
      <c r="S39" s="30"/>
      <c r="T39" s="30"/>
      <c r="U39" s="30"/>
      <c r="V39" s="31"/>
    </row>
    <row r="40" spans="1:22">
      <c r="A40" s="1" t="s">
        <v>61</v>
      </c>
      <c r="B40" s="29">
        <v>148.44650564386592</v>
      </c>
      <c r="C40" s="30">
        <v>0</v>
      </c>
      <c r="D40" s="30">
        <v>0</v>
      </c>
      <c r="E40" s="30">
        <v>0</v>
      </c>
      <c r="F40" s="30">
        <v>0</v>
      </c>
      <c r="G40" s="31">
        <f>SUM(ND_FINANCIAL)</f>
        <v>148.44650564386592</v>
      </c>
      <c r="H40" s="30"/>
      <c r="I40" s="30"/>
      <c r="J40" s="30"/>
      <c r="K40" s="30"/>
      <c r="L40" s="29"/>
      <c r="M40" s="30"/>
      <c r="N40" s="30"/>
      <c r="O40" s="30"/>
      <c r="P40" s="30"/>
      <c r="Q40" s="30"/>
      <c r="R40" s="30"/>
      <c r="S40" s="30"/>
      <c r="T40" s="30"/>
      <c r="U40" s="30"/>
      <c r="V40" s="31"/>
    </row>
    <row r="41" spans="1:22">
      <c r="A41" s="1" t="s">
        <v>62</v>
      </c>
      <c r="B41" s="29">
        <v>39535.601098444437</v>
      </c>
      <c r="C41" s="30">
        <v>429.80090420338553</v>
      </c>
      <c r="D41" s="30">
        <v>0</v>
      </c>
      <c r="E41" s="30">
        <v>3699.9370291093323</v>
      </c>
      <c r="F41" s="30">
        <v>0</v>
      </c>
      <c r="G41" s="31">
        <f>SUM(OH_FINANCIAL)</f>
        <v>43665.339031757154</v>
      </c>
      <c r="H41" s="30"/>
      <c r="I41" s="30"/>
      <c r="J41" s="30"/>
      <c r="K41" s="30"/>
      <c r="L41" s="29"/>
      <c r="M41" s="30"/>
      <c r="N41" s="30"/>
      <c r="O41" s="30"/>
      <c r="P41" s="30"/>
      <c r="Q41" s="30"/>
      <c r="R41" s="30"/>
      <c r="S41" s="30"/>
      <c r="T41" s="30"/>
      <c r="U41" s="30"/>
      <c r="V41" s="31"/>
    </row>
    <row r="42" spans="1:22">
      <c r="A42" s="1" t="s">
        <v>63</v>
      </c>
      <c r="B42" s="29">
        <v>3203.5714454908834</v>
      </c>
      <c r="C42" s="30">
        <v>6.082730592704209</v>
      </c>
      <c r="D42" s="30">
        <v>0</v>
      </c>
      <c r="E42" s="30">
        <v>0</v>
      </c>
      <c r="F42" s="30">
        <v>0</v>
      </c>
      <c r="G42" s="31">
        <f>SUM(OK_FINANCIAL)</f>
        <v>3209.6541760835876</v>
      </c>
      <c r="H42" s="30"/>
      <c r="I42" s="30"/>
      <c r="J42" s="30"/>
      <c r="K42" s="30"/>
      <c r="L42" s="29"/>
      <c r="M42" s="30"/>
      <c r="N42" s="30"/>
      <c r="O42" s="30"/>
      <c r="P42" s="30"/>
      <c r="Q42" s="30"/>
      <c r="R42" s="30"/>
      <c r="S42" s="30"/>
      <c r="T42" s="30"/>
      <c r="U42" s="30"/>
      <c r="V42" s="31"/>
    </row>
    <row r="43" spans="1:22">
      <c r="A43" s="1" t="s">
        <v>64</v>
      </c>
      <c r="B43" s="29">
        <v>3519.5864074616584</v>
      </c>
      <c r="C43" s="30">
        <v>0</v>
      </c>
      <c r="D43" s="30">
        <v>0</v>
      </c>
      <c r="E43" s="30">
        <v>0</v>
      </c>
      <c r="F43" s="30">
        <v>0</v>
      </c>
      <c r="G43" s="31">
        <f>SUM(OR_FINANCIAL)</f>
        <v>3519.5864074616584</v>
      </c>
      <c r="H43" s="30"/>
      <c r="I43" s="30"/>
      <c r="J43" s="30"/>
      <c r="K43" s="30"/>
      <c r="L43" s="29"/>
      <c r="M43" s="30"/>
      <c r="N43" s="30"/>
      <c r="O43" s="30"/>
      <c r="P43" s="30"/>
      <c r="Q43" s="30"/>
      <c r="R43" s="30"/>
      <c r="S43" s="30"/>
      <c r="T43" s="30"/>
      <c r="U43" s="30"/>
      <c r="V43" s="31"/>
    </row>
    <row r="44" spans="1:22">
      <c r="A44" s="1" t="s">
        <v>65</v>
      </c>
      <c r="B44" s="29">
        <v>214485.48782082714</v>
      </c>
      <c r="C44" s="30">
        <v>22140.476691127853</v>
      </c>
      <c r="D44" s="30">
        <v>0</v>
      </c>
      <c r="E44" s="30">
        <v>13441.201397507341</v>
      </c>
      <c r="F44" s="30">
        <v>0</v>
      </c>
      <c r="G44" s="31">
        <f>SUM(PA_FINANCIAL)</f>
        <v>250067.16590946232</v>
      </c>
      <c r="H44" s="30"/>
      <c r="I44" s="30"/>
      <c r="J44" s="30"/>
      <c r="K44" s="30"/>
      <c r="L44" s="29"/>
      <c r="M44" s="30"/>
      <c r="N44" s="30"/>
      <c r="O44" s="30"/>
      <c r="P44" s="30"/>
      <c r="Q44" s="30"/>
      <c r="R44" s="30"/>
      <c r="S44" s="30"/>
      <c r="T44" s="30"/>
      <c r="U44" s="30"/>
      <c r="V44" s="31"/>
    </row>
    <row r="45" spans="1:22">
      <c r="A45" s="1" t="s">
        <v>66</v>
      </c>
      <c r="B45" s="29">
        <v>0</v>
      </c>
      <c r="C45" s="30">
        <v>0</v>
      </c>
      <c r="D45" s="30">
        <v>0</v>
      </c>
      <c r="E45" s="30">
        <v>0</v>
      </c>
      <c r="F45" s="30">
        <v>0</v>
      </c>
      <c r="G45" s="31">
        <f>SUM(PR_FINANCIAL)</f>
        <v>0</v>
      </c>
      <c r="H45" s="30"/>
      <c r="I45" s="30"/>
      <c r="J45" s="30"/>
      <c r="K45" s="30"/>
      <c r="L45" s="29"/>
      <c r="M45" s="30"/>
      <c r="N45" s="30"/>
      <c r="O45" s="30"/>
      <c r="P45" s="30"/>
      <c r="Q45" s="30"/>
      <c r="R45" s="30"/>
      <c r="S45" s="30"/>
      <c r="T45" s="30"/>
      <c r="U45" s="30"/>
      <c r="V45" s="31"/>
    </row>
    <row r="46" spans="1:22">
      <c r="A46" s="1" t="s">
        <v>67</v>
      </c>
      <c r="B46" s="29">
        <v>9465.290217201582</v>
      </c>
      <c r="C46" s="30">
        <v>208.80807290035617</v>
      </c>
      <c r="D46" s="30">
        <v>0</v>
      </c>
      <c r="E46" s="30">
        <v>0</v>
      </c>
      <c r="F46" s="30">
        <v>0</v>
      </c>
      <c r="G46" s="31">
        <f>SUM(RI_FINANCIAL)</f>
        <v>9674.0982901019379</v>
      </c>
      <c r="H46" s="30"/>
      <c r="I46" s="30"/>
      <c r="J46" s="30"/>
      <c r="K46" s="30"/>
      <c r="L46" s="29"/>
      <c r="M46" s="30"/>
      <c r="N46" s="30"/>
      <c r="O46" s="30"/>
      <c r="P46" s="30"/>
      <c r="Q46" s="30"/>
      <c r="R46" s="30"/>
      <c r="S46" s="30"/>
      <c r="T46" s="30"/>
      <c r="U46" s="30"/>
      <c r="V46" s="31"/>
    </row>
    <row r="47" spans="1:22">
      <c r="A47" s="1" t="s">
        <v>68</v>
      </c>
      <c r="B47" s="29">
        <v>14241.950983454335</v>
      </c>
      <c r="C47" s="30">
        <v>275.71606174374227</v>
      </c>
      <c r="D47" s="30">
        <v>0</v>
      </c>
      <c r="E47" s="30">
        <v>0</v>
      </c>
      <c r="F47" s="30">
        <v>0</v>
      </c>
      <c r="G47" s="31">
        <f>SUM(SC_FINANCIAL)</f>
        <v>14517.667045198077</v>
      </c>
      <c r="H47" s="30"/>
      <c r="I47" s="30"/>
      <c r="J47" s="30"/>
      <c r="K47" s="30"/>
      <c r="L47" s="29"/>
      <c r="M47" s="30"/>
      <c r="N47" s="30"/>
      <c r="O47" s="30"/>
      <c r="P47" s="30"/>
      <c r="Q47" s="30"/>
      <c r="R47" s="30"/>
      <c r="S47" s="30"/>
      <c r="T47" s="30"/>
      <c r="U47" s="30"/>
      <c r="V47" s="31"/>
    </row>
    <row r="48" spans="1:22">
      <c r="A48" s="1" t="s">
        <v>69</v>
      </c>
      <c r="B48" s="29">
        <v>172.51891196449282</v>
      </c>
      <c r="C48" s="30">
        <v>0</v>
      </c>
      <c r="D48" s="30">
        <v>0</v>
      </c>
      <c r="E48" s="30">
        <v>0</v>
      </c>
      <c r="F48" s="30">
        <v>0</v>
      </c>
      <c r="G48" s="31">
        <f>SUM(SD_FINANCIAL)</f>
        <v>172.51891196449282</v>
      </c>
      <c r="H48" s="30"/>
      <c r="I48" s="30"/>
      <c r="J48" s="30"/>
      <c r="K48" s="30"/>
      <c r="L48" s="29"/>
      <c r="M48" s="30"/>
      <c r="N48" s="30"/>
      <c r="O48" s="30"/>
      <c r="P48" s="30"/>
      <c r="Q48" s="30"/>
      <c r="R48" s="30"/>
      <c r="S48" s="30"/>
      <c r="T48" s="30"/>
      <c r="U48" s="30"/>
      <c r="V48" s="31"/>
    </row>
    <row r="49" spans="1:22">
      <c r="A49" s="1" t="s">
        <v>70</v>
      </c>
      <c r="B49" s="29">
        <v>55717.817149563125</v>
      </c>
      <c r="C49" s="30">
        <v>10564.550637353035</v>
      </c>
      <c r="D49" s="30">
        <v>0</v>
      </c>
      <c r="E49" s="30">
        <v>0</v>
      </c>
      <c r="F49" s="30">
        <v>0</v>
      </c>
      <c r="G49" s="31">
        <f>SUM(TN_FINANCIAL)</f>
        <v>66282.367786916162</v>
      </c>
      <c r="H49" s="30"/>
      <c r="I49" s="30"/>
      <c r="J49" s="30"/>
      <c r="K49" s="30"/>
      <c r="L49" s="29"/>
      <c r="M49" s="30"/>
      <c r="N49" s="30"/>
      <c r="O49" s="30"/>
      <c r="P49" s="30"/>
      <c r="Q49" s="30"/>
      <c r="R49" s="30"/>
      <c r="S49" s="30"/>
      <c r="T49" s="30"/>
      <c r="U49" s="30"/>
      <c r="V49" s="31"/>
    </row>
    <row r="50" spans="1:22">
      <c r="A50" s="1" t="s">
        <v>71</v>
      </c>
      <c r="B50" s="29">
        <v>22376.386915284387</v>
      </c>
      <c r="C50" s="30">
        <v>277.75346628558134</v>
      </c>
      <c r="D50" s="30">
        <v>0</v>
      </c>
      <c r="E50" s="30">
        <v>0</v>
      </c>
      <c r="F50" s="30">
        <v>0</v>
      </c>
      <c r="G50" s="31">
        <f>SUM(TX_FINANCIAL)</f>
        <v>22654.140381569967</v>
      </c>
      <c r="H50" s="30"/>
      <c r="I50" s="30"/>
      <c r="J50" s="30"/>
      <c r="K50" s="30"/>
      <c r="L50" s="29"/>
      <c r="M50" s="30"/>
      <c r="N50" s="30"/>
      <c r="O50" s="30"/>
      <c r="P50" s="30"/>
      <c r="Q50" s="30"/>
      <c r="R50" s="30"/>
      <c r="S50" s="30"/>
      <c r="T50" s="30"/>
      <c r="U50" s="30"/>
      <c r="V50" s="31"/>
    </row>
    <row r="51" spans="1:22">
      <c r="A51" s="1" t="s">
        <v>72</v>
      </c>
      <c r="B51" s="29">
        <v>720.16615575875494</v>
      </c>
      <c r="C51" s="30">
        <v>0</v>
      </c>
      <c r="D51" s="30">
        <v>0</v>
      </c>
      <c r="E51" s="30">
        <v>0</v>
      </c>
      <c r="F51" s="30">
        <v>0</v>
      </c>
      <c r="G51" s="31">
        <f>SUM(UT_FINANCIAL)</f>
        <v>720.16615575875494</v>
      </c>
      <c r="H51" s="30"/>
      <c r="I51" s="30"/>
      <c r="J51" s="30"/>
      <c r="K51" s="30"/>
      <c r="L51" s="29"/>
      <c r="M51" s="30"/>
      <c r="N51" s="30"/>
      <c r="O51" s="30"/>
      <c r="P51" s="30"/>
      <c r="Q51" s="30"/>
      <c r="R51" s="30"/>
      <c r="S51" s="30"/>
      <c r="T51" s="30"/>
      <c r="U51" s="30"/>
      <c r="V51" s="31"/>
    </row>
    <row r="52" spans="1:22">
      <c r="A52" s="1" t="s">
        <v>73</v>
      </c>
      <c r="B52" s="29">
        <v>1425.2870575671182</v>
      </c>
      <c r="C52" s="30">
        <v>0</v>
      </c>
      <c r="D52" s="30">
        <v>0</v>
      </c>
      <c r="E52" s="30">
        <v>0</v>
      </c>
      <c r="F52" s="30">
        <v>0</v>
      </c>
      <c r="G52" s="31">
        <f>SUM(VT_FINANCIAL)</f>
        <v>1425.2870575671182</v>
      </c>
      <c r="H52" s="30"/>
      <c r="I52" s="30"/>
      <c r="J52" s="30"/>
      <c r="K52" s="30"/>
      <c r="L52" s="29"/>
      <c r="M52" s="30"/>
      <c r="N52" s="30"/>
      <c r="O52" s="30"/>
      <c r="P52" s="30"/>
      <c r="Q52" s="30"/>
      <c r="R52" s="30"/>
      <c r="S52" s="30"/>
      <c r="T52" s="30"/>
      <c r="U52" s="30"/>
      <c r="V52" s="31"/>
    </row>
    <row r="53" spans="1:22">
      <c r="A53" s="1" t="s">
        <v>74</v>
      </c>
      <c r="B53" s="29">
        <v>25102.912423246769</v>
      </c>
      <c r="C53" s="30">
        <v>1390.7767664631951</v>
      </c>
      <c r="D53" s="30">
        <v>0</v>
      </c>
      <c r="E53" s="30">
        <v>0</v>
      </c>
      <c r="F53" s="30">
        <v>0</v>
      </c>
      <c r="G53" s="31">
        <f>SUM(VA_FINANCIAL)</f>
        <v>26493.689189709963</v>
      </c>
      <c r="H53" s="30"/>
      <c r="I53" s="30"/>
      <c r="J53" s="30"/>
      <c r="K53" s="30"/>
      <c r="L53" s="29"/>
      <c r="M53" s="30"/>
      <c r="N53" s="30"/>
      <c r="O53" s="30"/>
      <c r="P53" s="30"/>
      <c r="Q53" s="30"/>
      <c r="R53" s="30"/>
      <c r="S53" s="30"/>
      <c r="T53" s="30"/>
      <c r="U53" s="30"/>
      <c r="V53" s="31"/>
    </row>
    <row r="54" spans="1:22">
      <c r="A54" s="1" t="s">
        <v>75</v>
      </c>
      <c r="B54" s="29">
        <v>10840.255144554691</v>
      </c>
      <c r="C54" s="30">
        <v>2990.3453035754947</v>
      </c>
      <c r="D54" s="30">
        <v>0</v>
      </c>
      <c r="E54" s="30">
        <v>0</v>
      </c>
      <c r="F54" s="30">
        <v>0</v>
      </c>
      <c r="G54" s="31">
        <f>SUM(WA_FINANCIAL)</f>
        <v>13830.600448130186</v>
      </c>
      <c r="H54" s="30"/>
      <c r="I54" s="30"/>
      <c r="J54" s="30"/>
      <c r="K54" s="30"/>
      <c r="L54" s="29"/>
      <c r="M54" s="30"/>
      <c r="N54" s="30"/>
      <c r="O54" s="30"/>
      <c r="P54" s="30"/>
      <c r="Q54" s="30"/>
      <c r="R54" s="30"/>
      <c r="S54" s="30"/>
      <c r="T54" s="30"/>
      <c r="U54" s="30"/>
      <c r="V54" s="31"/>
    </row>
    <row r="55" spans="1:22">
      <c r="A55" s="1" t="s">
        <v>76</v>
      </c>
      <c r="B55" s="29">
        <v>3289.8955304856772</v>
      </c>
      <c r="C55" s="30">
        <v>0</v>
      </c>
      <c r="D55" s="30">
        <v>0</v>
      </c>
      <c r="E55" s="30">
        <v>0</v>
      </c>
      <c r="F55" s="30">
        <v>0</v>
      </c>
      <c r="G55" s="31">
        <f>SUM(WV_FINANCIAL)</f>
        <v>3289.8955304856772</v>
      </c>
      <c r="H55" s="30"/>
      <c r="I55" s="30"/>
      <c r="J55" s="30"/>
      <c r="K55" s="30"/>
      <c r="L55" s="29"/>
      <c r="M55" s="30"/>
      <c r="N55" s="30"/>
      <c r="O55" s="30"/>
      <c r="P55" s="30"/>
      <c r="Q55" s="30"/>
      <c r="R55" s="30"/>
      <c r="S55" s="30"/>
      <c r="T55" s="30"/>
      <c r="U55" s="30"/>
      <c r="V55" s="31"/>
    </row>
    <row r="56" spans="1:22">
      <c r="A56" s="1" t="s">
        <v>77</v>
      </c>
      <c r="B56" s="29">
        <v>4374.6523644977042</v>
      </c>
      <c r="C56" s="30">
        <v>48.652296917490681</v>
      </c>
      <c r="D56" s="30">
        <v>0</v>
      </c>
      <c r="E56" s="30">
        <v>0</v>
      </c>
      <c r="F56" s="30">
        <v>0</v>
      </c>
      <c r="G56" s="31">
        <f>SUM(WI_FINANCIAL)</f>
        <v>4423.3046614151945</v>
      </c>
      <c r="H56" s="30"/>
      <c r="I56" s="30"/>
      <c r="J56" s="30"/>
      <c r="K56" s="30"/>
      <c r="L56" s="29"/>
      <c r="M56" s="30"/>
      <c r="N56" s="30"/>
      <c r="O56" s="30"/>
      <c r="P56" s="30"/>
      <c r="Q56" s="30"/>
      <c r="R56" s="30"/>
      <c r="S56" s="30"/>
      <c r="T56" s="30"/>
      <c r="U56" s="30"/>
      <c r="V56" s="31"/>
    </row>
    <row r="57" spans="1:22">
      <c r="A57" s="1" t="s">
        <v>78</v>
      </c>
      <c r="B57" s="29">
        <v>0</v>
      </c>
      <c r="C57" s="30">
        <v>0</v>
      </c>
      <c r="D57" s="30">
        <v>0</v>
      </c>
      <c r="E57" s="30">
        <v>0</v>
      </c>
      <c r="F57" s="30">
        <v>0</v>
      </c>
      <c r="G57" s="31">
        <f>SUM(WY_FINANCIAL)</f>
        <v>0</v>
      </c>
      <c r="H57" s="30"/>
      <c r="I57" s="30"/>
      <c r="J57" s="30"/>
      <c r="K57" s="30"/>
      <c r="L57" s="29"/>
      <c r="M57" s="30"/>
      <c r="N57" s="30"/>
      <c r="O57" s="30"/>
      <c r="P57" s="30"/>
      <c r="Q57" s="30"/>
      <c r="R57" s="30"/>
      <c r="S57" s="30"/>
      <c r="T57" s="30"/>
      <c r="U57" s="30"/>
      <c r="V57" s="31"/>
    </row>
    <row r="58" spans="1:22">
      <c r="A58" s="1" t="s">
        <v>79</v>
      </c>
      <c r="B58" s="29">
        <v>0</v>
      </c>
      <c r="C58" s="30">
        <v>0</v>
      </c>
      <c r="D58" s="30">
        <v>0</v>
      </c>
      <c r="E58" s="30">
        <v>0</v>
      </c>
      <c r="F58" s="30">
        <v>0</v>
      </c>
      <c r="G58" s="31">
        <f>SUM(OT_FINANCIAL)</f>
        <v>0</v>
      </c>
      <c r="H58" s="30"/>
      <c r="I58" s="30"/>
      <c r="J58" s="30"/>
      <c r="K58" s="30"/>
      <c r="L58" s="29"/>
      <c r="M58" s="30"/>
      <c r="N58" s="30"/>
      <c r="O58" s="30"/>
      <c r="P58" s="30"/>
      <c r="Q58" s="30"/>
      <c r="R58" s="30"/>
      <c r="S58" s="30"/>
      <c r="T58" s="30"/>
      <c r="U58" s="30"/>
      <c r="V58" s="31"/>
    </row>
    <row r="59" spans="1:22">
      <c r="B59" s="29"/>
      <c r="C59" s="30"/>
      <c r="D59" s="30"/>
      <c r="E59" s="30"/>
      <c r="F59" s="30"/>
      <c r="G59" s="31"/>
      <c r="H59" s="30"/>
      <c r="I59" s="30"/>
      <c r="J59" s="30"/>
      <c r="K59" s="30"/>
      <c r="L59" s="29"/>
      <c r="M59" s="30"/>
      <c r="N59" s="30"/>
      <c r="O59" s="30"/>
      <c r="P59" s="30"/>
      <c r="Q59" s="30"/>
      <c r="R59" s="30"/>
      <c r="S59" s="30"/>
      <c r="T59" s="30"/>
      <c r="U59" s="30"/>
      <c r="V59" s="31"/>
    </row>
    <row r="60" spans="1:22">
      <c r="A60" s="1" t="s">
        <v>8</v>
      </c>
      <c r="B60" s="29">
        <f>SUM(LIFE)</f>
        <v>1134134.3122653055</v>
      </c>
      <c r="C60" s="30">
        <f>SUM(ALLOCATED)</f>
        <v>114162.15182068512</v>
      </c>
      <c r="D60" s="30">
        <f>SUM(HEALTH)</f>
        <v>0</v>
      </c>
      <c r="E60" s="30">
        <f>SUM(UNALLOCATED)</f>
        <v>28074.675914009502</v>
      </c>
      <c r="F60" s="30">
        <f>SUM(LTC)</f>
        <v>0</v>
      </c>
      <c r="G60" s="31">
        <f>SUM(ALL_BLOCKS)</f>
        <v>1276371.1400000004</v>
      </c>
      <c r="H60" s="30"/>
      <c r="I60" s="30"/>
      <c r="J60" s="30"/>
      <c r="K60" s="30"/>
      <c r="L60" s="29">
        <f>SUM(LIFE_CALLED)</f>
        <v>41049</v>
      </c>
      <c r="M60" s="30">
        <f>SUM(LIFE_REFUNDED)</f>
        <v>0</v>
      </c>
      <c r="N60" s="30"/>
      <c r="O60" s="30">
        <f>SUM(ALLOC_CALLED)</f>
        <v>3876</v>
      </c>
      <c r="P60" s="30">
        <f>SUM(ALLOC_REFUNDED)</f>
        <v>0</v>
      </c>
      <c r="Q60" s="30"/>
      <c r="R60" s="30">
        <f>SUM(HEALTH_CALLED)</f>
        <v>0</v>
      </c>
      <c r="S60" s="30">
        <f>SUM(HEALTH_REFUNDED)</f>
        <v>0</v>
      </c>
      <c r="T60" s="30"/>
      <c r="U60" s="30">
        <f>SUM(UNALLOC_CALLED)</f>
        <v>0</v>
      </c>
      <c r="V60" s="31">
        <f>SUM(UNALLOC_REFUNDED)</f>
        <v>0</v>
      </c>
    </row>
    <row r="61" spans="1:22" ht="5.0999999999999996" customHeight="1">
      <c r="B61" s="8"/>
      <c r="G61" s="11"/>
      <c r="L61" s="8"/>
      <c r="V61" s="11"/>
    </row>
    <row r="62" spans="1:22">
      <c r="B62" s="8"/>
      <c r="G62" s="11"/>
      <c r="L62" s="122" t="s">
        <v>80</v>
      </c>
      <c r="M62" s="123"/>
      <c r="N62" s="123"/>
      <c r="O62" s="123"/>
      <c r="P62" s="123"/>
      <c r="Q62" s="123"/>
      <c r="R62" s="123"/>
      <c r="S62" s="123"/>
      <c r="T62" s="123"/>
      <c r="U62" s="123"/>
      <c r="V62" s="124"/>
    </row>
    <row r="63" spans="1:22">
      <c r="B63" s="8"/>
      <c r="G63" s="11"/>
      <c r="L63" s="125"/>
      <c r="M63" s="123"/>
      <c r="N63" s="123"/>
      <c r="O63" s="123"/>
      <c r="P63" s="123"/>
      <c r="Q63" s="123"/>
      <c r="R63" s="123"/>
      <c r="S63" s="123"/>
      <c r="T63" s="123"/>
      <c r="U63" s="123"/>
      <c r="V63" s="124"/>
    </row>
    <row r="64" spans="1:22">
      <c r="B64" s="10"/>
      <c r="C64" s="7"/>
      <c r="D64" s="7"/>
      <c r="E64" s="7"/>
      <c r="F64" s="7"/>
      <c r="G64" s="13"/>
      <c r="L64" s="126"/>
      <c r="M64" s="127"/>
      <c r="N64" s="127"/>
      <c r="O64" s="127"/>
      <c r="P64" s="127"/>
      <c r="Q64" s="127"/>
      <c r="R64" s="127"/>
      <c r="S64" s="127"/>
      <c r="T64" s="127"/>
      <c r="U64" s="127"/>
      <c r="V64" s="128"/>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V64"/>
  <sheetViews>
    <sheetView zoomScale="75" workbookViewId="0">
      <selection sqref="A1:XFD1048576"/>
    </sheetView>
  </sheetViews>
  <sheetFormatPr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129" t="s">
        <v>115</v>
      </c>
      <c r="B1" s="123"/>
      <c r="C1" s="123"/>
      <c r="D1" s="123"/>
      <c r="E1" s="123"/>
      <c r="F1" s="123"/>
      <c r="G1" s="123"/>
    </row>
    <row r="3" spans="1:22">
      <c r="B3" s="130" t="s">
        <v>1</v>
      </c>
      <c r="C3" s="131"/>
      <c r="D3" s="131"/>
      <c r="E3" s="131"/>
      <c r="F3" s="131"/>
      <c r="G3" s="132"/>
      <c r="L3" s="133" t="s">
        <v>2</v>
      </c>
      <c r="M3" s="134"/>
      <c r="N3" s="134"/>
      <c r="O3" s="134"/>
      <c r="P3" s="134"/>
      <c r="Q3" s="134"/>
      <c r="R3" s="134"/>
      <c r="S3" s="134"/>
      <c r="T3" s="134"/>
      <c r="U3" s="134"/>
      <c r="V3" s="135"/>
    </row>
    <row r="4" spans="1:22">
      <c r="B4" s="8"/>
      <c r="G4" s="11"/>
      <c r="L4" s="136" t="s">
        <v>3</v>
      </c>
      <c r="M4" s="137"/>
      <c r="N4" s="4"/>
      <c r="O4" s="138" t="s">
        <v>4</v>
      </c>
      <c r="P4" s="137"/>
      <c r="Q4" s="4"/>
      <c r="R4" s="138" t="s">
        <v>5</v>
      </c>
      <c r="S4" s="137"/>
      <c r="T4" s="4"/>
      <c r="U4" s="138" t="s">
        <v>6</v>
      </c>
      <c r="V4" s="139"/>
    </row>
    <row r="5" spans="1:22" ht="60" customHeight="1">
      <c r="B5" s="9" t="s">
        <v>3</v>
      </c>
      <c r="C5" s="5" t="s">
        <v>4</v>
      </c>
      <c r="D5" s="5" t="s">
        <v>5</v>
      </c>
      <c r="E5" s="5" t="s">
        <v>6</v>
      </c>
      <c r="F5" s="5" t="s">
        <v>7</v>
      </c>
      <c r="G5" s="12" t="s">
        <v>8</v>
      </c>
      <c r="L5" s="15" t="s">
        <v>9</v>
      </c>
      <c r="M5" s="14" t="s">
        <v>10</v>
      </c>
      <c r="N5" s="14"/>
      <c r="O5" s="14" t="s">
        <v>9</v>
      </c>
      <c r="P5" s="14" t="s">
        <v>10</v>
      </c>
      <c r="Q5" s="14"/>
      <c r="R5" s="14" t="s">
        <v>9</v>
      </c>
      <c r="S5" s="14" t="s">
        <v>10</v>
      </c>
      <c r="T5" s="14"/>
      <c r="U5" s="14" t="s">
        <v>9</v>
      </c>
      <c r="V5" s="16" t="s">
        <v>10</v>
      </c>
    </row>
    <row r="6" spans="1:22">
      <c r="A6" s="1" t="s">
        <v>11</v>
      </c>
      <c r="B6" s="29">
        <v>472.66592606319318</v>
      </c>
      <c r="C6" s="30">
        <v>29.860300819050536</v>
      </c>
      <c r="D6" s="30">
        <v>0</v>
      </c>
      <c r="E6" s="30">
        <v>0</v>
      </c>
      <c r="F6" s="30">
        <v>0</v>
      </c>
      <c r="G6" s="31">
        <f>SUM(AL_FINANCIAL)</f>
        <v>502.52622688224369</v>
      </c>
      <c r="H6" s="30"/>
      <c r="I6" s="30"/>
      <c r="J6" s="30"/>
      <c r="K6" s="30"/>
      <c r="L6" s="29"/>
      <c r="M6" s="30"/>
      <c r="N6" s="30"/>
      <c r="O6" s="30"/>
      <c r="P6" s="30"/>
      <c r="Q6" s="30"/>
      <c r="R6" s="30"/>
      <c r="S6" s="30"/>
      <c r="T6" s="30"/>
      <c r="U6" s="30"/>
      <c r="V6" s="31"/>
    </row>
    <row r="7" spans="1:22">
      <c r="A7" s="1" t="s">
        <v>12</v>
      </c>
      <c r="B7" s="29">
        <v>56.965968690487045</v>
      </c>
      <c r="C7" s="30">
        <v>8.2835661522373556</v>
      </c>
      <c r="D7" s="30">
        <v>0</v>
      </c>
      <c r="E7" s="30">
        <v>0</v>
      </c>
      <c r="F7" s="30">
        <v>0</v>
      </c>
      <c r="G7" s="31">
        <f>SUM(AK_FINANCIAL)</f>
        <v>65.249534842724401</v>
      </c>
      <c r="H7" s="30"/>
      <c r="I7" s="32"/>
      <c r="J7" s="33"/>
      <c r="K7" s="30"/>
      <c r="L7" s="29">
        <v>337</v>
      </c>
      <c r="M7" s="30">
        <v>4800</v>
      </c>
      <c r="N7" s="30"/>
      <c r="O7" s="30">
        <v>40</v>
      </c>
      <c r="P7" s="30">
        <v>0</v>
      </c>
      <c r="Q7" s="30"/>
      <c r="R7" s="30">
        <v>10</v>
      </c>
      <c r="S7" s="30">
        <v>0</v>
      </c>
      <c r="T7" s="30"/>
      <c r="U7" s="30">
        <v>0</v>
      </c>
      <c r="V7" s="31">
        <v>0</v>
      </c>
    </row>
    <row r="8" spans="1:22">
      <c r="A8" s="1" t="s">
        <v>13</v>
      </c>
      <c r="B8" s="29">
        <v>1917.2627463264744</v>
      </c>
      <c r="C8" s="30">
        <v>128.55786830523584</v>
      </c>
      <c r="D8" s="30">
        <v>0</v>
      </c>
      <c r="E8" s="30">
        <v>0</v>
      </c>
      <c r="F8" s="30">
        <v>0</v>
      </c>
      <c r="G8" s="31">
        <f>SUM(AZ_FINANCIAL)</f>
        <v>2045.8206146317102</v>
      </c>
      <c r="H8" s="30"/>
      <c r="I8" s="34" t="s">
        <v>14</v>
      </c>
      <c r="J8" s="35"/>
      <c r="K8" s="30"/>
      <c r="L8" s="29"/>
      <c r="M8" s="30"/>
      <c r="N8" s="30"/>
      <c r="O8" s="30"/>
      <c r="P8" s="30"/>
      <c r="Q8" s="30"/>
      <c r="R8" s="30"/>
      <c r="S8" s="30"/>
      <c r="T8" s="30"/>
      <c r="U8" s="30"/>
      <c r="V8" s="31"/>
    </row>
    <row r="9" spans="1:22">
      <c r="A9" s="1" t="s">
        <v>15</v>
      </c>
      <c r="B9" s="29">
        <v>392.42935110358349</v>
      </c>
      <c r="C9" s="30">
        <v>9.1835993654157733</v>
      </c>
      <c r="D9" s="30">
        <v>0</v>
      </c>
      <c r="E9" s="30">
        <v>0</v>
      </c>
      <c r="F9" s="30">
        <v>0</v>
      </c>
      <c r="G9" s="31">
        <f>SUM(AR_FINANCIAL)</f>
        <v>401.61295046899926</v>
      </c>
      <c r="H9" s="30"/>
      <c r="I9" s="34"/>
      <c r="J9" s="35"/>
      <c r="K9" s="30"/>
      <c r="L9" s="29">
        <v>5587</v>
      </c>
      <c r="M9" s="30">
        <v>0</v>
      </c>
      <c r="N9" s="30"/>
      <c r="O9" s="30">
        <v>0</v>
      </c>
      <c r="P9" s="30">
        <v>0</v>
      </c>
      <c r="Q9" s="30"/>
      <c r="R9" s="30">
        <v>0</v>
      </c>
      <c r="S9" s="30">
        <v>0</v>
      </c>
      <c r="T9" s="30"/>
      <c r="U9" s="30">
        <v>0</v>
      </c>
      <c r="V9" s="31">
        <v>0</v>
      </c>
    </row>
    <row r="10" spans="1:22">
      <c r="A10" s="1" t="s">
        <v>16</v>
      </c>
      <c r="B10" s="29">
        <v>5795.1946298203184</v>
      </c>
      <c r="C10" s="30">
        <v>701.92352633718747</v>
      </c>
      <c r="D10" s="30">
        <v>0</v>
      </c>
      <c r="E10" s="30">
        <v>0</v>
      </c>
      <c r="F10" s="30">
        <v>0</v>
      </c>
      <c r="G10" s="31">
        <f>SUM(CA_FINANCIAL)</f>
        <v>6497.1181561575058</v>
      </c>
      <c r="H10" s="30"/>
      <c r="I10" s="34" t="s">
        <v>17</v>
      </c>
      <c r="J10" s="35">
        <v>0</v>
      </c>
      <c r="K10" s="30"/>
      <c r="L10" s="29"/>
      <c r="M10" s="30"/>
      <c r="N10" s="30"/>
      <c r="O10" s="30"/>
      <c r="P10" s="30"/>
      <c r="Q10" s="30"/>
      <c r="R10" s="30"/>
      <c r="S10" s="30"/>
      <c r="T10" s="30"/>
      <c r="U10" s="30"/>
      <c r="V10" s="31"/>
    </row>
    <row r="11" spans="1:22">
      <c r="A11" s="1" t="s">
        <v>18</v>
      </c>
      <c r="B11" s="29">
        <v>0</v>
      </c>
      <c r="C11" s="30">
        <v>0</v>
      </c>
      <c r="D11" s="30">
        <v>0</v>
      </c>
      <c r="E11" s="30">
        <v>0</v>
      </c>
      <c r="F11" s="30">
        <v>0</v>
      </c>
      <c r="G11" s="31">
        <f>SUM(CO_FINANCIAL)</f>
        <v>0</v>
      </c>
      <c r="H11" s="30"/>
      <c r="I11" s="34"/>
      <c r="J11" s="35"/>
      <c r="K11" s="30"/>
      <c r="L11" s="29"/>
      <c r="M11" s="30"/>
      <c r="N11" s="30"/>
      <c r="O11" s="30"/>
      <c r="P11" s="30"/>
      <c r="Q11" s="30"/>
      <c r="R11" s="30"/>
      <c r="S11" s="30"/>
      <c r="T11" s="30"/>
      <c r="U11" s="30"/>
      <c r="V11" s="31"/>
    </row>
    <row r="12" spans="1:22">
      <c r="A12" s="1" t="s">
        <v>19</v>
      </c>
      <c r="B12" s="29">
        <v>430.37725463655943</v>
      </c>
      <c r="C12" s="30">
        <v>87.453679230016633</v>
      </c>
      <c r="D12" s="30">
        <v>0</v>
      </c>
      <c r="E12" s="30">
        <v>0</v>
      </c>
      <c r="F12" s="30">
        <v>0</v>
      </c>
      <c r="G12" s="31">
        <f>SUM(CT_FINANCIAL)</f>
        <v>517.83093386657606</v>
      </c>
      <c r="H12" s="30"/>
      <c r="I12" s="34" t="s">
        <v>20</v>
      </c>
      <c r="J12" s="35"/>
      <c r="K12" s="30"/>
      <c r="L12" s="29">
        <v>106000</v>
      </c>
      <c r="M12" s="30">
        <v>0</v>
      </c>
      <c r="N12" s="30"/>
      <c r="O12" s="30">
        <v>210000</v>
      </c>
      <c r="P12" s="30">
        <v>0</v>
      </c>
      <c r="Q12" s="30"/>
      <c r="R12" s="30">
        <v>0</v>
      </c>
      <c r="S12" s="30">
        <v>0</v>
      </c>
      <c r="T12" s="30"/>
      <c r="U12" s="30">
        <v>0</v>
      </c>
      <c r="V12" s="31">
        <v>0</v>
      </c>
    </row>
    <row r="13" spans="1:22">
      <c r="A13" s="1" t="s">
        <v>21</v>
      </c>
      <c r="B13" s="29">
        <v>125.75662729314615</v>
      </c>
      <c r="C13" s="30">
        <v>29.181787346455138</v>
      </c>
      <c r="D13" s="30">
        <v>0</v>
      </c>
      <c r="E13" s="30">
        <v>0</v>
      </c>
      <c r="F13" s="30">
        <v>0</v>
      </c>
      <c r="G13" s="31">
        <f>SUM(DE_FINANCIAL)</f>
        <v>154.93841463960129</v>
      </c>
      <c r="H13" s="30"/>
      <c r="I13" s="34" t="s">
        <v>22</v>
      </c>
      <c r="J13" s="35">
        <v>0</v>
      </c>
      <c r="K13" s="30"/>
      <c r="L13" s="29"/>
      <c r="M13" s="30"/>
      <c r="N13" s="30"/>
      <c r="O13" s="30"/>
      <c r="P13" s="30"/>
      <c r="Q13" s="30"/>
      <c r="R13" s="30"/>
      <c r="S13" s="30"/>
      <c r="T13" s="30"/>
      <c r="U13" s="30"/>
      <c r="V13" s="31"/>
    </row>
    <row r="14" spans="1:22">
      <c r="A14" s="1" t="s">
        <v>23</v>
      </c>
      <c r="B14" s="29">
        <v>0</v>
      </c>
      <c r="C14" s="30">
        <v>0</v>
      </c>
      <c r="D14" s="30">
        <v>0</v>
      </c>
      <c r="E14" s="30">
        <v>0</v>
      </c>
      <c r="F14" s="30">
        <v>0</v>
      </c>
      <c r="G14" s="31">
        <f>SUM(DC_FINANCIAL)</f>
        <v>0</v>
      </c>
      <c r="H14" s="30"/>
      <c r="I14" s="34" t="s">
        <v>24</v>
      </c>
      <c r="J14" s="35">
        <v>0</v>
      </c>
      <c r="K14" s="30"/>
      <c r="L14" s="29"/>
      <c r="M14" s="30"/>
      <c r="N14" s="30"/>
      <c r="O14" s="30"/>
      <c r="P14" s="30"/>
      <c r="Q14" s="30"/>
      <c r="R14" s="30"/>
      <c r="S14" s="30"/>
      <c r="T14" s="30"/>
      <c r="U14" s="30"/>
      <c r="V14" s="31"/>
    </row>
    <row r="15" spans="1:22">
      <c r="A15" s="1" t="s">
        <v>25</v>
      </c>
      <c r="B15" s="29">
        <v>4955.7293882024242</v>
      </c>
      <c r="C15" s="30">
        <v>661.81648731888254</v>
      </c>
      <c r="D15" s="30">
        <v>0</v>
      </c>
      <c r="E15" s="30">
        <v>0</v>
      </c>
      <c r="F15" s="30">
        <v>0</v>
      </c>
      <c r="G15" s="31">
        <f>SUM(FL_FINANCIAL)</f>
        <v>5617.5458755213067</v>
      </c>
      <c r="H15" s="30"/>
      <c r="I15" s="34" t="s">
        <v>26</v>
      </c>
      <c r="J15" s="35">
        <v>380962.74000000011</v>
      </c>
      <c r="K15" s="30"/>
      <c r="L15" s="29"/>
      <c r="M15" s="30"/>
      <c r="N15" s="30"/>
      <c r="O15" s="30"/>
      <c r="P15" s="30"/>
      <c r="Q15" s="30"/>
      <c r="R15" s="30"/>
      <c r="S15" s="30"/>
      <c r="T15" s="30"/>
      <c r="U15" s="30"/>
      <c r="V15" s="31"/>
    </row>
    <row r="16" spans="1:22">
      <c r="A16" s="1" t="s">
        <v>27</v>
      </c>
      <c r="B16" s="29">
        <v>584.47946686664909</v>
      </c>
      <c r="C16" s="30">
        <v>38.335605502551346</v>
      </c>
      <c r="D16" s="30">
        <v>0</v>
      </c>
      <c r="E16" s="30">
        <v>0</v>
      </c>
      <c r="F16" s="30">
        <v>0</v>
      </c>
      <c r="G16" s="31">
        <f>SUM(GA_FINANCIAL)</f>
        <v>622.81507236920038</v>
      </c>
      <c r="H16" s="30"/>
      <c r="I16" s="34" t="s">
        <v>28</v>
      </c>
      <c r="J16" s="35">
        <v>0</v>
      </c>
      <c r="K16" s="30"/>
      <c r="L16" s="29"/>
      <c r="M16" s="30"/>
      <c r="N16" s="30"/>
      <c r="O16" s="30"/>
      <c r="P16" s="30"/>
      <c r="Q16" s="30"/>
      <c r="R16" s="30"/>
      <c r="S16" s="30"/>
      <c r="T16" s="30"/>
      <c r="U16" s="30"/>
      <c r="V16" s="31"/>
    </row>
    <row r="17" spans="1:22">
      <c r="A17" s="1" t="s">
        <v>29</v>
      </c>
      <c r="B17" s="29">
        <v>288.77183211837632</v>
      </c>
      <c r="C17" s="30">
        <v>55.775824940285361</v>
      </c>
      <c r="D17" s="30">
        <v>0</v>
      </c>
      <c r="E17" s="30">
        <v>0</v>
      </c>
      <c r="F17" s="30">
        <v>0</v>
      </c>
      <c r="G17" s="31">
        <f>SUM(HI_FINANCIAL)</f>
        <v>344.54765705866168</v>
      </c>
      <c r="H17" s="30"/>
      <c r="I17" s="34"/>
      <c r="J17" s="35"/>
      <c r="K17" s="30"/>
      <c r="L17" s="29">
        <v>0</v>
      </c>
      <c r="M17" s="30">
        <v>12871</v>
      </c>
      <c r="N17" s="30"/>
      <c r="O17" s="30">
        <v>0</v>
      </c>
      <c r="P17" s="30">
        <v>2463</v>
      </c>
      <c r="Q17" s="30"/>
      <c r="R17" s="30">
        <v>0</v>
      </c>
      <c r="S17" s="30">
        <v>0</v>
      </c>
      <c r="T17" s="30"/>
      <c r="U17" s="30">
        <v>0</v>
      </c>
      <c r="V17" s="31">
        <v>0</v>
      </c>
    </row>
    <row r="18" spans="1:22">
      <c r="A18" s="1" t="s">
        <v>30</v>
      </c>
      <c r="B18" s="29">
        <v>202.3853514738355</v>
      </c>
      <c r="C18" s="30">
        <v>8.6112703671656803</v>
      </c>
      <c r="D18" s="30">
        <v>0</v>
      </c>
      <c r="E18" s="30">
        <v>0</v>
      </c>
      <c r="F18" s="30">
        <v>0</v>
      </c>
      <c r="G18" s="31">
        <f>SUM(ID_FINANCIAL)</f>
        <v>210.99662184100117</v>
      </c>
      <c r="H18" s="30"/>
      <c r="I18" s="34" t="s">
        <v>31</v>
      </c>
      <c r="J18" s="35"/>
      <c r="K18" s="30"/>
      <c r="L18" s="29"/>
      <c r="M18" s="30"/>
      <c r="N18" s="30"/>
      <c r="O18" s="30"/>
      <c r="P18" s="30"/>
      <c r="Q18" s="30"/>
      <c r="R18" s="30"/>
      <c r="S18" s="30"/>
      <c r="T18" s="30"/>
      <c r="U18" s="30"/>
      <c r="V18" s="31"/>
    </row>
    <row r="19" spans="1:22">
      <c r="A19" s="1" t="s">
        <v>32</v>
      </c>
      <c r="B19" s="29">
        <v>1797.41345066961</v>
      </c>
      <c r="C19" s="30">
        <v>95.499456227894825</v>
      </c>
      <c r="D19" s="30">
        <v>0</v>
      </c>
      <c r="E19" s="30">
        <v>0</v>
      </c>
      <c r="F19" s="30">
        <v>0</v>
      </c>
      <c r="G19" s="31">
        <f>SUM(IL_FINANCIAL)</f>
        <v>1892.9129068975049</v>
      </c>
      <c r="H19" s="30"/>
      <c r="I19" s="34" t="s">
        <v>33</v>
      </c>
      <c r="J19" s="35">
        <v>0</v>
      </c>
      <c r="K19" s="30"/>
      <c r="L19" s="29"/>
      <c r="M19" s="30"/>
      <c r="N19" s="30"/>
      <c r="O19" s="30"/>
      <c r="P19" s="30"/>
      <c r="Q19" s="30"/>
      <c r="R19" s="30"/>
      <c r="S19" s="30"/>
      <c r="T19" s="30"/>
      <c r="U19" s="30"/>
      <c r="V19" s="31"/>
    </row>
    <row r="20" spans="1:22">
      <c r="A20" s="1" t="s">
        <v>34</v>
      </c>
      <c r="B20" s="29">
        <v>1125.2876183745157</v>
      </c>
      <c r="C20" s="30">
        <v>83.638629609381837</v>
      </c>
      <c r="D20" s="30">
        <v>0</v>
      </c>
      <c r="E20" s="30">
        <v>0</v>
      </c>
      <c r="F20" s="30">
        <v>0</v>
      </c>
      <c r="G20" s="31">
        <f>SUM(IN_FINANCIAL)</f>
        <v>1208.9262479838976</v>
      </c>
      <c r="H20" s="30"/>
      <c r="I20" s="34" t="s">
        <v>35</v>
      </c>
      <c r="J20" s="35">
        <v>0</v>
      </c>
      <c r="K20" s="30"/>
      <c r="L20" s="29"/>
      <c r="M20" s="30"/>
      <c r="N20" s="30"/>
      <c r="O20" s="30"/>
      <c r="P20" s="30"/>
      <c r="Q20" s="30"/>
      <c r="R20" s="30"/>
      <c r="S20" s="30"/>
      <c r="T20" s="30"/>
      <c r="U20" s="30"/>
      <c r="V20" s="31"/>
    </row>
    <row r="21" spans="1:22">
      <c r="A21" s="1" t="s">
        <v>36</v>
      </c>
      <c r="B21" s="29">
        <v>1431.4623919970763</v>
      </c>
      <c r="C21" s="30">
        <v>116.92411646858386</v>
      </c>
      <c r="D21" s="30">
        <v>0</v>
      </c>
      <c r="E21" s="30">
        <v>0</v>
      </c>
      <c r="F21" s="30">
        <v>0</v>
      </c>
      <c r="G21" s="31">
        <f>SUM(IA_FINANCIAL)</f>
        <v>1548.3865084656602</v>
      </c>
      <c r="H21" s="30"/>
      <c r="I21" s="34" t="s">
        <v>37</v>
      </c>
      <c r="J21" s="35"/>
      <c r="K21" s="30"/>
      <c r="L21" s="29"/>
      <c r="M21" s="30"/>
      <c r="N21" s="30"/>
      <c r="O21" s="30"/>
      <c r="P21" s="30"/>
      <c r="Q21" s="30"/>
      <c r="R21" s="30"/>
      <c r="S21" s="30"/>
      <c r="T21" s="30"/>
      <c r="U21" s="30"/>
      <c r="V21" s="31"/>
    </row>
    <row r="22" spans="1:22">
      <c r="A22" s="1" t="s">
        <v>38</v>
      </c>
      <c r="B22" s="29">
        <v>272.98502145484872</v>
      </c>
      <c r="C22" s="30">
        <v>28.740635367011322</v>
      </c>
      <c r="D22" s="30">
        <v>0</v>
      </c>
      <c r="E22" s="30">
        <v>0</v>
      </c>
      <c r="F22" s="30">
        <v>0</v>
      </c>
      <c r="G22" s="31">
        <f>SUM(KS_FINANCIAL)</f>
        <v>301.72565682186007</v>
      </c>
      <c r="H22" s="30"/>
      <c r="I22" s="34" t="s">
        <v>39</v>
      </c>
      <c r="J22" s="35">
        <v>0</v>
      </c>
      <c r="K22" s="30"/>
      <c r="L22" s="29"/>
      <c r="M22" s="30"/>
      <c r="N22" s="30"/>
      <c r="O22" s="30"/>
      <c r="P22" s="30"/>
      <c r="Q22" s="30"/>
      <c r="R22" s="30"/>
      <c r="S22" s="30"/>
      <c r="T22" s="30"/>
      <c r="U22" s="30"/>
      <c r="V22" s="31"/>
    </row>
    <row r="23" spans="1:22">
      <c r="A23" s="1" t="s">
        <v>40</v>
      </c>
      <c r="B23" s="29">
        <v>824.60096203023659</v>
      </c>
      <c r="C23" s="30">
        <v>70.375232515432515</v>
      </c>
      <c r="D23" s="30">
        <v>0</v>
      </c>
      <c r="E23" s="30">
        <v>0</v>
      </c>
      <c r="F23" s="30">
        <v>0</v>
      </c>
      <c r="G23" s="31">
        <f>SUM(KY_FINANCIAL)</f>
        <v>894.97619454566916</v>
      </c>
      <c r="H23" s="30"/>
      <c r="I23" s="34" t="s">
        <v>41</v>
      </c>
      <c r="J23" s="35"/>
      <c r="K23" s="30"/>
      <c r="L23" s="29"/>
      <c r="M23" s="30"/>
      <c r="N23" s="30"/>
      <c r="O23" s="30"/>
      <c r="P23" s="30"/>
      <c r="Q23" s="30"/>
      <c r="R23" s="30"/>
      <c r="S23" s="30"/>
      <c r="T23" s="30"/>
      <c r="U23" s="30"/>
      <c r="V23" s="31"/>
    </row>
    <row r="24" spans="1:22">
      <c r="A24" s="1" t="s">
        <v>42</v>
      </c>
      <c r="B24" s="29">
        <v>0</v>
      </c>
      <c r="C24" s="30">
        <v>0</v>
      </c>
      <c r="D24" s="30">
        <v>0</v>
      </c>
      <c r="E24" s="30">
        <v>0</v>
      </c>
      <c r="F24" s="30">
        <v>0</v>
      </c>
      <c r="G24" s="31">
        <f>SUM(LA_FINANCIAL)</f>
        <v>0</v>
      </c>
      <c r="H24" s="30"/>
      <c r="I24" s="34" t="s">
        <v>43</v>
      </c>
      <c r="J24" s="35">
        <v>333632.99999999994</v>
      </c>
      <c r="K24" s="30"/>
      <c r="L24" s="29"/>
      <c r="M24" s="30"/>
      <c r="N24" s="30"/>
      <c r="O24" s="30"/>
      <c r="P24" s="30"/>
      <c r="Q24" s="30"/>
      <c r="R24" s="30"/>
      <c r="S24" s="30"/>
      <c r="T24" s="30"/>
      <c r="U24" s="30"/>
      <c r="V24" s="31"/>
    </row>
    <row r="25" spans="1:22">
      <c r="A25" s="1" t="s">
        <v>44</v>
      </c>
      <c r="B25" s="29">
        <v>348.65768800618207</v>
      </c>
      <c r="C25" s="30">
        <v>47.856055537685677</v>
      </c>
      <c r="D25" s="30">
        <v>0</v>
      </c>
      <c r="E25" s="30">
        <v>0</v>
      </c>
      <c r="F25" s="30">
        <v>0</v>
      </c>
      <c r="G25" s="31">
        <f>SUM(ME_FINANCIAL)</f>
        <v>396.51374354386775</v>
      </c>
      <c r="H25" s="30"/>
      <c r="I25" s="34"/>
      <c r="J25" s="35"/>
      <c r="K25" s="30"/>
      <c r="L25" s="29"/>
      <c r="M25" s="30"/>
      <c r="N25" s="30"/>
      <c r="O25" s="30"/>
      <c r="P25" s="30"/>
      <c r="Q25" s="30"/>
      <c r="R25" s="30"/>
      <c r="S25" s="30"/>
      <c r="T25" s="30"/>
      <c r="U25" s="30"/>
      <c r="V25" s="31"/>
    </row>
    <row r="26" spans="1:22">
      <c r="A26" s="1" t="s">
        <v>45</v>
      </c>
      <c r="B26" s="29">
        <v>731.31304206343066</v>
      </c>
      <c r="C26" s="30">
        <v>65.801841601207173</v>
      </c>
      <c r="D26" s="30">
        <v>0</v>
      </c>
      <c r="E26" s="30">
        <v>0</v>
      </c>
      <c r="F26" s="30">
        <v>0</v>
      </c>
      <c r="G26" s="31">
        <f>SUM(MD_FINANCIAL)</f>
        <v>797.11488366463777</v>
      </c>
      <c r="H26" s="30"/>
      <c r="I26" s="34" t="s">
        <v>46</v>
      </c>
      <c r="J26" s="35">
        <f>SUM(ADD_FINANCIAL)-SUM(LESS_FINANCIAL)</f>
        <v>47329.740000000165</v>
      </c>
      <c r="K26" s="30"/>
      <c r="L26" s="29"/>
      <c r="M26" s="30"/>
      <c r="N26" s="30"/>
      <c r="O26" s="30"/>
      <c r="P26" s="30"/>
      <c r="Q26" s="30"/>
      <c r="R26" s="30"/>
      <c r="S26" s="30"/>
      <c r="T26" s="30"/>
      <c r="U26" s="30"/>
      <c r="V26" s="31"/>
    </row>
    <row r="27" spans="1:22">
      <c r="A27" s="1" t="s">
        <v>47</v>
      </c>
      <c r="B27" s="29">
        <v>1713.3808526730227</v>
      </c>
      <c r="C27" s="30">
        <v>159.13758859360451</v>
      </c>
      <c r="D27" s="30">
        <v>0</v>
      </c>
      <c r="E27" s="30">
        <v>0</v>
      </c>
      <c r="F27" s="30">
        <v>0</v>
      </c>
      <c r="G27" s="31">
        <f>SUM(MA_FINANCIAL)</f>
        <v>1872.5184412666272</v>
      </c>
      <c r="H27" s="30"/>
      <c r="I27" s="34" t="s">
        <v>48</v>
      </c>
      <c r="J27" s="35">
        <f>SUM(ALL_BLOCKS)</f>
        <v>47329.740000000027</v>
      </c>
      <c r="K27" s="30"/>
      <c r="L27" s="29"/>
      <c r="M27" s="30"/>
      <c r="N27" s="30"/>
      <c r="O27" s="30"/>
      <c r="P27" s="30"/>
      <c r="Q27" s="30"/>
      <c r="R27" s="30"/>
      <c r="S27" s="30"/>
      <c r="T27" s="30"/>
      <c r="U27" s="30"/>
      <c r="V27" s="31"/>
    </row>
    <row r="28" spans="1:22">
      <c r="A28" s="1" t="s">
        <v>49</v>
      </c>
      <c r="B28" s="29">
        <v>792.79295418059883</v>
      </c>
      <c r="C28" s="30">
        <v>56.316360804998169</v>
      </c>
      <c r="D28" s="30">
        <v>0</v>
      </c>
      <c r="E28" s="30">
        <v>0</v>
      </c>
      <c r="F28" s="30">
        <v>0</v>
      </c>
      <c r="G28" s="31">
        <f>SUM(MI_FINANCIAL)</f>
        <v>849.10931498559694</v>
      </c>
      <c r="H28" s="30"/>
      <c r="I28" s="36"/>
      <c r="J28" s="37"/>
      <c r="K28" s="30"/>
      <c r="L28" s="29"/>
      <c r="M28" s="30"/>
      <c r="N28" s="30"/>
      <c r="O28" s="30"/>
      <c r="P28" s="30"/>
      <c r="Q28" s="30"/>
      <c r="R28" s="30"/>
      <c r="S28" s="30"/>
      <c r="T28" s="30"/>
      <c r="U28" s="30"/>
      <c r="V28" s="31"/>
    </row>
    <row r="29" spans="1:22">
      <c r="A29" s="1" t="s">
        <v>50</v>
      </c>
      <c r="B29" s="29">
        <v>517.09699297705492</v>
      </c>
      <c r="C29" s="30">
        <v>61.896079155344523</v>
      </c>
      <c r="D29" s="30">
        <v>0</v>
      </c>
      <c r="E29" s="30">
        <v>0</v>
      </c>
      <c r="F29" s="30">
        <v>0</v>
      </c>
      <c r="G29" s="31">
        <f>SUM(MN_FINANCIAL)</f>
        <v>578.99307213239945</v>
      </c>
      <c r="H29" s="30"/>
      <c r="I29" s="30"/>
      <c r="J29" s="30"/>
      <c r="K29" s="30"/>
      <c r="L29" s="29"/>
      <c r="M29" s="30"/>
      <c r="N29" s="30"/>
      <c r="O29" s="30"/>
      <c r="P29" s="30"/>
      <c r="Q29" s="30"/>
      <c r="R29" s="30"/>
      <c r="S29" s="30"/>
      <c r="T29" s="30"/>
      <c r="U29" s="30"/>
      <c r="V29" s="31"/>
    </row>
    <row r="30" spans="1:22">
      <c r="A30" s="1" t="s">
        <v>51</v>
      </c>
      <c r="B30" s="29">
        <v>132.52032831226256</v>
      </c>
      <c r="C30" s="30">
        <v>0</v>
      </c>
      <c r="D30" s="30">
        <v>0</v>
      </c>
      <c r="E30" s="30">
        <v>0</v>
      </c>
      <c r="F30" s="30">
        <v>0</v>
      </c>
      <c r="G30" s="31">
        <f>SUM(MS_FINANCIAL)</f>
        <v>132.52032831226256</v>
      </c>
      <c r="H30" s="30"/>
      <c r="I30" s="30"/>
      <c r="J30" s="30"/>
      <c r="K30" s="30"/>
      <c r="L30" s="29"/>
      <c r="M30" s="30"/>
      <c r="N30" s="30"/>
      <c r="O30" s="30"/>
      <c r="P30" s="30"/>
      <c r="Q30" s="30"/>
      <c r="R30" s="30"/>
      <c r="S30" s="30"/>
      <c r="T30" s="30"/>
      <c r="U30" s="30"/>
      <c r="V30" s="31"/>
    </row>
    <row r="31" spans="1:22">
      <c r="A31" s="1" t="s">
        <v>52</v>
      </c>
      <c r="B31" s="29">
        <v>637.81107936456192</v>
      </c>
      <c r="C31" s="30">
        <v>197.0407700296214</v>
      </c>
      <c r="D31" s="30">
        <v>0</v>
      </c>
      <c r="E31" s="30">
        <v>0</v>
      </c>
      <c r="F31" s="30">
        <v>0</v>
      </c>
      <c r="G31" s="31">
        <f>SUM(MO_FINANCIAL)</f>
        <v>834.85184939418332</v>
      </c>
      <c r="H31" s="30"/>
      <c r="I31" s="30"/>
      <c r="J31" s="30"/>
      <c r="K31" s="30"/>
      <c r="L31" s="29"/>
      <c r="M31" s="30"/>
      <c r="N31" s="30"/>
      <c r="O31" s="30"/>
      <c r="P31" s="30"/>
      <c r="Q31" s="30"/>
      <c r="R31" s="30"/>
      <c r="S31" s="30"/>
      <c r="T31" s="30"/>
      <c r="U31" s="30"/>
      <c r="V31" s="31"/>
    </row>
    <row r="32" spans="1:22">
      <c r="A32" s="1" t="s">
        <v>53</v>
      </c>
      <c r="B32" s="29">
        <v>102.95579366687298</v>
      </c>
      <c r="C32" s="30">
        <v>0</v>
      </c>
      <c r="D32" s="30">
        <v>0</v>
      </c>
      <c r="E32" s="30">
        <v>0</v>
      </c>
      <c r="F32" s="30">
        <v>0</v>
      </c>
      <c r="G32" s="31">
        <f>SUM(MT_FINANCIAL)</f>
        <v>102.95579366687298</v>
      </c>
      <c r="H32" s="30"/>
      <c r="I32" s="30"/>
      <c r="J32" s="30"/>
      <c r="K32" s="30"/>
      <c r="L32" s="29">
        <v>300000</v>
      </c>
      <c r="M32" s="30">
        <v>0</v>
      </c>
      <c r="N32" s="30"/>
      <c r="O32" s="30">
        <v>0</v>
      </c>
      <c r="P32" s="30">
        <v>0</v>
      </c>
      <c r="Q32" s="30"/>
      <c r="R32" s="30">
        <v>0</v>
      </c>
      <c r="S32" s="30">
        <v>0</v>
      </c>
      <c r="T32" s="30"/>
      <c r="U32" s="30">
        <v>0</v>
      </c>
      <c r="V32" s="31">
        <v>0</v>
      </c>
    </row>
    <row r="33" spans="1:22">
      <c r="A33" s="1" t="s">
        <v>54</v>
      </c>
      <c r="B33" s="29">
        <v>451.77266715650831</v>
      </c>
      <c r="C33" s="30">
        <v>13.047300901587477</v>
      </c>
      <c r="D33" s="30">
        <v>0</v>
      </c>
      <c r="E33" s="30">
        <v>0</v>
      </c>
      <c r="F33" s="30">
        <v>0</v>
      </c>
      <c r="G33" s="31">
        <f>SUM(NE_FINANCIAL)</f>
        <v>464.81996805809581</v>
      </c>
      <c r="H33" s="30"/>
      <c r="I33" s="30"/>
      <c r="J33" s="30"/>
      <c r="K33" s="30"/>
      <c r="L33" s="29"/>
      <c r="M33" s="30"/>
      <c r="N33" s="30"/>
      <c r="O33" s="30"/>
      <c r="P33" s="30"/>
      <c r="Q33" s="30"/>
      <c r="R33" s="30"/>
      <c r="S33" s="30"/>
      <c r="T33" s="30"/>
      <c r="U33" s="30"/>
      <c r="V33" s="31"/>
    </row>
    <row r="34" spans="1:22">
      <c r="A34" s="1" t="s">
        <v>55</v>
      </c>
      <c r="B34" s="29">
        <v>554.96358780478613</v>
      </c>
      <c r="C34" s="30">
        <v>7.7035187164677623</v>
      </c>
      <c r="D34" s="30">
        <v>0</v>
      </c>
      <c r="E34" s="30">
        <v>0</v>
      </c>
      <c r="F34" s="30">
        <v>0</v>
      </c>
      <c r="G34" s="31">
        <f>SUM(NV_FINANCIAL)</f>
        <v>562.66710652125391</v>
      </c>
      <c r="H34" s="30"/>
      <c r="I34" s="30"/>
      <c r="J34" s="30"/>
      <c r="K34" s="30"/>
      <c r="L34" s="29"/>
      <c r="M34" s="30"/>
      <c r="N34" s="30"/>
      <c r="O34" s="30"/>
      <c r="P34" s="30"/>
      <c r="Q34" s="30"/>
      <c r="R34" s="30"/>
      <c r="S34" s="30"/>
      <c r="T34" s="30"/>
      <c r="U34" s="30"/>
      <c r="V34" s="31"/>
    </row>
    <row r="35" spans="1:22">
      <c r="A35" s="1" t="s">
        <v>56</v>
      </c>
      <c r="B35" s="29">
        <v>351.1477685851255</v>
      </c>
      <c r="C35" s="30">
        <v>19.888836890253913</v>
      </c>
      <c r="D35" s="30">
        <v>0</v>
      </c>
      <c r="E35" s="30">
        <v>0</v>
      </c>
      <c r="F35" s="30">
        <v>0</v>
      </c>
      <c r="G35" s="31">
        <f>SUM(NH_FINANCIAL)</f>
        <v>371.03660547537942</v>
      </c>
      <c r="H35" s="30"/>
      <c r="I35" s="30"/>
      <c r="J35" s="30"/>
      <c r="K35" s="30"/>
      <c r="L35" s="29"/>
      <c r="M35" s="30"/>
      <c r="N35" s="30"/>
      <c r="O35" s="30"/>
      <c r="P35" s="30"/>
      <c r="Q35" s="30"/>
      <c r="R35" s="30"/>
      <c r="S35" s="30"/>
      <c r="T35" s="30"/>
      <c r="U35" s="30"/>
      <c r="V35" s="31"/>
    </row>
    <row r="36" spans="1:22">
      <c r="A36" s="1" t="s">
        <v>57</v>
      </c>
      <c r="B36" s="29">
        <v>2616.000748205166</v>
      </c>
      <c r="C36" s="30">
        <v>145.3805082641245</v>
      </c>
      <c r="D36" s="30">
        <v>0</v>
      </c>
      <c r="E36" s="30">
        <v>0</v>
      </c>
      <c r="F36" s="30">
        <v>0</v>
      </c>
      <c r="G36" s="31">
        <f>SUM(NJ_FINANCIAL)</f>
        <v>2761.3812564692907</v>
      </c>
      <c r="H36" s="30"/>
      <c r="I36" s="30"/>
      <c r="J36" s="30"/>
      <c r="K36" s="30"/>
      <c r="L36" s="29"/>
      <c r="M36" s="30"/>
      <c r="N36" s="30"/>
      <c r="O36" s="30"/>
      <c r="P36" s="30"/>
      <c r="Q36" s="30"/>
      <c r="R36" s="30"/>
      <c r="S36" s="30"/>
      <c r="T36" s="30"/>
      <c r="U36" s="30"/>
      <c r="V36" s="31"/>
    </row>
    <row r="37" spans="1:22">
      <c r="A37" s="1" t="s">
        <v>58</v>
      </c>
      <c r="B37" s="29">
        <v>348.35955772001626</v>
      </c>
      <c r="C37" s="30">
        <v>35.936875416421543</v>
      </c>
      <c r="D37" s="30">
        <v>0</v>
      </c>
      <c r="E37" s="30">
        <v>0</v>
      </c>
      <c r="F37" s="30">
        <v>0</v>
      </c>
      <c r="G37" s="31">
        <f>SUM(NM_FINANCIAL)</f>
        <v>384.29643313643783</v>
      </c>
      <c r="H37" s="30"/>
      <c r="I37" s="30"/>
      <c r="J37" s="30"/>
      <c r="K37" s="30"/>
      <c r="L37" s="29">
        <v>200000</v>
      </c>
      <c r="M37" s="30">
        <v>0</v>
      </c>
      <c r="N37" s="30"/>
      <c r="O37" s="30">
        <v>502555</v>
      </c>
      <c r="P37" s="30">
        <v>0</v>
      </c>
      <c r="Q37" s="30"/>
      <c r="R37" s="30">
        <v>0</v>
      </c>
      <c r="S37" s="30">
        <v>0</v>
      </c>
      <c r="T37" s="30"/>
      <c r="U37" s="30">
        <v>0</v>
      </c>
      <c r="V37" s="31">
        <v>0</v>
      </c>
    </row>
    <row r="38" spans="1:22">
      <c r="A38" s="1" t="s">
        <v>59</v>
      </c>
      <c r="B38" s="29">
        <v>0</v>
      </c>
      <c r="C38" s="30">
        <v>0</v>
      </c>
      <c r="D38" s="30">
        <v>0</v>
      </c>
      <c r="E38" s="30">
        <v>0</v>
      </c>
      <c r="F38" s="30">
        <v>0</v>
      </c>
      <c r="G38" s="31">
        <f>SUM(NY_FINANCIAL)</f>
        <v>0</v>
      </c>
      <c r="H38" s="30"/>
      <c r="I38" s="30"/>
      <c r="J38" s="30"/>
      <c r="K38" s="30"/>
      <c r="L38" s="29"/>
      <c r="M38" s="30"/>
      <c r="N38" s="30"/>
      <c r="O38" s="30"/>
      <c r="P38" s="30"/>
      <c r="Q38" s="30"/>
      <c r="R38" s="30"/>
      <c r="S38" s="30"/>
      <c r="T38" s="30"/>
      <c r="U38" s="30"/>
      <c r="V38" s="31"/>
    </row>
    <row r="39" spans="1:22">
      <c r="A39" s="1" t="s">
        <v>60</v>
      </c>
      <c r="B39" s="29">
        <v>642.70559758578111</v>
      </c>
      <c r="C39" s="30">
        <v>71.840871833924382</v>
      </c>
      <c r="D39" s="30">
        <v>0</v>
      </c>
      <c r="E39" s="30">
        <v>0</v>
      </c>
      <c r="F39" s="30">
        <v>0</v>
      </c>
      <c r="G39" s="31">
        <f>SUM(NC_FINANCIAL)</f>
        <v>714.54646941970555</v>
      </c>
      <c r="H39" s="30"/>
      <c r="I39" s="30"/>
      <c r="J39" s="30"/>
      <c r="K39" s="30"/>
      <c r="L39" s="29"/>
      <c r="M39" s="30"/>
      <c r="N39" s="30"/>
      <c r="O39" s="30"/>
      <c r="P39" s="30"/>
      <c r="Q39" s="30"/>
      <c r="R39" s="30"/>
      <c r="S39" s="30"/>
      <c r="T39" s="30"/>
      <c r="U39" s="30"/>
      <c r="V39" s="31"/>
    </row>
    <row r="40" spans="1:22">
      <c r="A40" s="1" t="s">
        <v>61</v>
      </c>
      <c r="B40" s="29">
        <v>224.25408743241337</v>
      </c>
      <c r="C40" s="30">
        <v>0</v>
      </c>
      <c r="D40" s="30">
        <v>0</v>
      </c>
      <c r="E40" s="30">
        <v>0</v>
      </c>
      <c r="F40" s="30">
        <v>0</v>
      </c>
      <c r="G40" s="31">
        <f>SUM(ND_FINANCIAL)</f>
        <v>224.25408743241337</v>
      </c>
      <c r="H40" s="30"/>
      <c r="I40" s="30"/>
      <c r="J40" s="30"/>
      <c r="K40" s="30"/>
      <c r="L40" s="29"/>
      <c r="M40" s="30"/>
      <c r="N40" s="30"/>
      <c r="O40" s="30"/>
      <c r="P40" s="30"/>
      <c r="Q40" s="30"/>
      <c r="R40" s="30"/>
      <c r="S40" s="30"/>
      <c r="T40" s="30"/>
      <c r="U40" s="30"/>
      <c r="V40" s="31"/>
    </row>
    <row r="41" spans="1:22">
      <c r="A41" s="1" t="s">
        <v>62</v>
      </c>
      <c r="B41" s="29">
        <v>1394.9459735831188</v>
      </c>
      <c r="C41" s="30">
        <v>61.680792996283117</v>
      </c>
      <c r="D41" s="30">
        <v>0</v>
      </c>
      <c r="E41" s="30">
        <v>0</v>
      </c>
      <c r="F41" s="30">
        <v>0</v>
      </c>
      <c r="G41" s="31">
        <f>SUM(OH_FINANCIAL)</f>
        <v>1456.6267665794019</v>
      </c>
      <c r="H41" s="30"/>
      <c r="I41" s="30"/>
      <c r="J41" s="30"/>
      <c r="K41" s="30"/>
      <c r="L41" s="29"/>
      <c r="M41" s="30"/>
      <c r="N41" s="30"/>
      <c r="O41" s="30"/>
      <c r="P41" s="30"/>
      <c r="Q41" s="30"/>
      <c r="R41" s="30"/>
      <c r="S41" s="30"/>
      <c r="T41" s="30"/>
      <c r="U41" s="30"/>
      <c r="V41" s="31"/>
    </row>
    <row r="42" spans="1:22">
      <c r="A42" s="1" t="s">
        <v>63</v>
      </c>
      <c r="B42" s="29">
        <v>529.2734775733702</v>
      </c>
      <c r="C42" s="30">
        <v>15.048766779570201</v>
      </c>
      <c r="D42" s="30">
        <v>0</v>
      </c>
      <c r="E42" s="30">
        <v>0</v>
      </c>
      <c r="F42" s="30">
        <v>0</v>
      </c>
      <c r="G42" s="31">
        <f>SUM(OK_FINANCIAL)</f>
        <v>544.3222443529404</v>
      </c>
      <c r="H42" s="30"/>
      <c r="I42" s="30"/>
      <c r="J42" s="30"/>
      <c r="K42" s="30"/>
      <c r="L42" s="29"/>
      <c r="M42" s="30"/>
      <c r="N42" s="30"/>
      <c r="O42" s="30"/>
      <c r="P42" s="30"/>
      <c r="Q42" s="30"/>
      <c r="R42" s="30"/>
      <c r="S42" s="30"/>
      <c r="T42" s="30"/>
      <c r="U42" s="30"/>
      <c r="V42" s="31"/>
    </row>
    <row r="43" spans="1:22">
      <c r="A43" s="1" t="s">
        <v>64</v>
      </c>
      <c r="B43" s="29">
        <v>377.16090689290741</v>
      </c>
      <c r="C43" s="30">
        <v>67.264595534309649</v>
      </c>
      <c r="D43" s="30">
        <v>0</v>
      </c>
      <c r="E43" s="30">
        <v>0</v>
      </c>
      <c r="F43" s="30">
        <v>0</v>
      </c>
      <c r="G43" s="31">
        <f>SUM(OR_FINANCIAL)</f>
        <v>444.42550242721705</v>
      </c>
      <c r="H43" s="30"/>
      <c r="I43" s="30"/>
      <c r="J43" s="30"/>
      <c r="K43" s="30"/>
      <c r="L43" s="29"/>
      <c r="M43" s="30"/>
      <c r="N43" s="30"/>
      <c r="O43" s="30"/>
      <c r="P43" s="30"/>
      <c r="Q43" s="30"/>
      <c r="R43" s="30"/>
      <c r="S43" s="30"/>
      <c r="T43" s="30"/>
      <c r="U43" s="30"/>
      <c r="V43" s="31"/>
    </row>
    <row r="44" spans="1:22">
      <c r="A44" s="1" t="s">
        <v>65</v>
      </c>
      <c r="B44" s="29">
        <v>2230.5304831399262</v>
      </c>
      <c r="C44" s="30">
        <v>94.574081289843775</v>
      </c>
      <c r="D44" s="30">
        <v>0</v>
      </c>
      <c r="E44" s="30">
        <v>0</v>
      </c>
      <c r="F44" s="30">
        <v>0</v>
      </c>
      <c r="G44" s="31">
        <f>SUM(PA_FINANCIAL)</f>
        <v>2325.1045644297701</v>
      </c>
      <c r="H44" s="30"/>
      <c r="I44" s="30"/>
      <c r="J44" s="30"/>
      <c r="K44" s="30"/>
      <c r="L44" s="29"/>
      <c r="M44" s="30"/>
      <c r="N44" s="30"/>
      <c r="O44" s="30"/>
      <c r="P44" s="30"/>
      <c r="Q44" s="30"/>
      <c r="R44" s="30"/>
      <c r="S44" s="30"/>
      <c r="T44" s="30"/>
      <c r="U44" s="30"/>
      <c r="V44" s="31"/>
    </row>
    <row r="45" spans="1:22">
      <c r="A45" s="1" t="s">
        <v>66</v>
      </c>
      <c r="B45" s="29">
        <v>33.649569152645</v>
      </c>
      <c r="C45" s="30">
        <v>0</v>
      </c>
      <c r="D45" s="30">
        <v>0</v>
      </c>
      <c r="E45" s="30">
        <v>0</v>
      </c>
      <c r="F45" s="30">
        <v>0</v>
      </c>
      <c r="G45" s="31">
        <f>SUM(PR_FINANCIAL)</f>
        <v>33.649569152645</v>
      </c>
      <c r="H45" s="30"/>
      <c r="I45" s="30"/>
      <c r="J45" s="30"/>
      <c r="K45" s="30"/>
      <c r="L45" s="29"/>
      <c r="M45" s="30"/>
      <c r="N45" s="30"/>
      <c r="O45" s="30"/>
      <c r="P45" s="30"/>
      <c r="Q45" s="30"/>
      <c r="R45" s="30"/>
      <c r="S45" s="30"/>
      <c r="T45" s="30"/>
      <c r="U45" s="30"/>
      <c r="V45" s="31"/>
    </row>
    <row r="46" spans="1:22">
      <c r="A46" s="1" t="s">
        <v>67</v>
      </c>
      <c r="B46" s="29">
        <v>125.89190723030458</v>
      </c>
      <c r="C46" s="30">
        <v>16.807938375052657</v>
      </c>
      <c r="D46" s="30">
        <v>0</v>
      </c>
      <c r="E46" s="30">
        <v>0</v>
      </c>
      <c r="F46" s="30">
        <v>0</v>
      </c>
      <c r="G46" s="31">
        <f>SUM(RI_FINANCIAL)</f>
        <v>142.69984560535724</v>
      </c>
      <c r="H46" s="30"/>
      <c r="I46" s="30"/>
      <c r="J46" s="30"/>
      <c r="K46" s="30"/>
      <c r="L46" s="29"/>
      <c r="M46" s="30"/>
      <c r="N46" s="30"/>
      <c r="O46" s="30"/>
      <c r="P46" s="30"/>
      <c r="Q46" s="30"/>
      <c r="R46" s="30"/>
      <c r="S46" s="30"/>
      <c r="T46" s="30"/>
      <c r="U46" s="30"/>
      <c r="V46" s="31"/>
    </row>
    <row r="47" spans="1:22">
      <c r="A47" s="1" t="s">
        <v>68</v>
      </c>
      <c r="B47" s="29">
        <v>319.98549994863879</v>
      </c>
      <c r="C47" s="30">
        <v>21.484208811705088</v>
      </c>
      <c r="D47" s="30">
        <v>0</v>
      </c>
      <c r="E47" s="30">
        <v>0</v>
      </c>
      <c r="F47" s="30">
        <v>0</v>
      </c>
      <c r="G47" s="31">
        <f>SUM(SC_FINANCIAL)</f>
        <v>341.46970876034391</v>
      </c>
      <c r="H47" s="30"/>
      <c r="I47" s="30"/>
      <c r="J47" s="30"/>
      <c r="K47" s="30"/>
      <c r="L47" s="29"/>
      <c r="M47" s="30"/>
      <c r="N47" s="30"/>
      <c r="O47" s="30"/>
      <c r="P47" s="30"/>
      <c r="Q47" s="30"/>
      <c r="R47" s="30"/>
      <c r="S47" s="30"/>
      <c r="T47" s="30"/>
      <c r="U47" s="30"/>
      <c r="V47" s="31"/>
    </row>
    <row r="48" spans="1:22">
      <c r="A48" s="1" t="s">
        <v>69</v>
      </c>
      <c r="B48" s="29">
        <v>256.85638111554704</v>
      </c>
      <c r="C48" s="30">
        <v>2.0708961659710763</v>
      </c>
      <c r="D48" s="30">
        <v>0</v>
      </c>
      <c r="E48" s="30">
        <v>0</v>
      </c>
      <c r="F48" s="30">
        <v>0</v>
      </c>
      <c r="G48" s="31">
        <f>SUM(SD_FINANCIAL)</f>
        <v>258.92727728151812</v>
      </c>
      <c r="H48" s="30"/>
      <c r="I48" s="30"/>
      <c r="J48" s="30"/>
      <c r="K48" s="30"/>
      <c r="L48" s="29"/>
      <c r="M48" s="30"/>
      <c r="N48" s="30"/>
      <c r="O48" s="30"/>
      <c r="P48" s="30"/>
      <c r="Q48" s="30"/>
      <c r="R48" s="30"/>
      <c r="S48" s="30"/>
      <c r="T48" s="30"/>
      <c r="U48" s="30"/>
      <c r="V48" s="31"/>
    </row>
    <row r="49" spans="1:22">
      <c r="A49" s="1" t="s">
        <v>70</v>
      </c>
      <c r="B49" s="29">
        <v>548.00776691588044</v>
      </c>
      <c r="C49" s="30">
        <v>12.628632699975725</v>
      </c>
      <c r="D49" s="30">
        <v>0</v>
      </c>
      <c r="E49" s="30">
        <v>0</v>
      </c>
      <c r="F49" s="30">
        <v>0</v>
      </c>
      <c r="G49" s="31">
        <f>SUM(TN_FINANCIAL)</f>
        <v>560.63639961585613</v>
      </c>
      <c r="H49" s="30"/>
      <c r="I49" s="30"/>
      <c r="J49" s="30"/>
      <c r="K49" s="30"/>
      <c r="L49" s="29"/>
      <c r="M49" s="30"/>
      <c r="N49" s="30"/>
      <c r="O49" s="30"/>
      <c r="P49" s="30"/>
      <c r="Q49" s="30"/>
      <c r="R49" s="30"/>
      <c r="S49" s="30"/>
      <c r="T49" s="30"/>
      <c r="U49" s="30"/>
      <c r="V49" s="31"/>
    </row>
    <row r="50" spans="1:22">
      <c r="A50" s="1" t="s">
        <v>71</v>
      </c>
      <c r="B50" s="29">
        <v>2824.6187871270486</v>
      </c>
      <c r="C50" s="30">
        <v>243.58969515887702</v>
      </c>
      <c r="D50" s="30">
        <v>0</v>
      </c>
      <c r="E50" s="30">
        <v>0</v>
      </c>
      <c r="F50" s="30">
        <v>0</v>
      </c>
      <c r="G50" s="31">
        <f>SUM(TX_FINANCIAL)</f>
        <v>3068.2084822859256</v>
      </c>
      <c r="H50" s="30"/>
      <c r="I50" s="30"/>
      <c r="J50" s="30"/>
      <c r="K50" s="30"/>
      <c r="L50" s="29"/>
      <c r="M50" s="30"/>
      <c r="N50" s="30"/>
      <c r="O50" s="30"/>
      <c r="P50" s="30"/>
      <c r="Q50" s="30"/>
      <c r="R50" s="30"/>
      <c r="S50" s="30"/>
      <c r="T50" s="30"/>
      <c r="U50" s="30"/>
      <c r="V50" s="31"/>
    </row>
    <row r="51" spans="1:22">
      <c r="A51" s="1" t="s">
        <v>72</v>
      </c>
      <c r="B51" s="29">
        <v>802.54582200104142</v>
      </c>
      <c r="C51" s="30">
        <v>24.133596308984295</v>
      </c>
      <c r="D51" s="30">
        <v>0</v>
      </c>
      <c r="E51" s="30">
        <v>0</v>
      </c>
      <c r="F51" s="30">
        <v>0</v>
      </c>
      <c r="G51" s="31">
        <f>SUM(UT_FINANCIAL)</f>
        <v>826.67941831002577</v>
      </c>
      <c r="H51" s="30"/>
      <c r="I51" s="30"/>
      <c r="J51" s="30"/>
      <c r="K51" s="30"/>
      <c r="L51" s="29"/>
      <c r="M51" s="30"/>
      <c r="N51" s="30"/>
      <c r="O51" s="30"/>
      <c r="P51" s="30"/>
      <c r="Q51" s="30"/>
      <c r="R51" s="30"/>
      <c r="S51" s="30"/>
      <c r="T51" s="30"/>
      <c r="U51" s="30"/>
      <c r="V51" s="31"/>
    </row>
    <row r="52" spans="1:22">
      <c r="A52" s="1" t="s">
        <v>73</v>
      </c>
      <c r="B52" s="29">
        <v>82.431386056270185</v>
      </c>
      <c r="C52" s="30">
        <v>5.2385971834387632</v>
      </c>
      <c r="D52" s="30">
        <v>0</v>
      </c>
      <c r="E52" s="30">
        <v>0</v>
      </c>
      <c r="F52" s="30">
        <v>0</v>
      </c>
      <c r="G52" s="31">
        <f>SUM(VT_FINANCIAL)</f>
        <v>87.669983239708955</v>
      </c>
      <c r="H52" s="30"/>
      <c r="I52" s="30"/>
      <c r="J52" s="30"/>
      <c r="K52" s="30"/>
      <c r="L52" s="29"/>
      <c r="M52" s="30"/>
      <c r="N52" s="30"/>
      <c r="O52" s="30"/>
      <c r="P52" s="30"/>
      <c r="Q52" s="30"/>
      <c r="R52" s="30"/>
      <c r="S52" s="30"/>
      <c r="T52" s="30"/>
      <c r="U52" s="30"/>
      <c r="V52" s="31"/>
    </row>
    <row r="53" spans="1:22">
      <c r="A53" s="1" t="s">
        <v>74</v>
      </c>
      <c r="B53" s="29">
        <v>673.79666950989031</v>
      </c>
      <c r="C53" s="30">
        <v>60.130093122817527</v>
      </c>
      <c r="D53" s="30">
        <v>0</v>
      </c>
      <c r="E53" s="30">
        <v>0</v>
      </c>
      <c r="F53" s="30">
        <v>0</v>
      </c>
      <c r="G53" s="31">
        <f>SUM(VA_FINANCIAL)</f>
        <v>733.92676263270778</v>
      </c>
      <c r="H53" s="30"/>
      <c r="I53" s="30"/>
      <c r="J53" s="30"/>
      <c r="K53" s="30"/>
      <c r="L53" s="29"/>
      <c r="M53" s="30"/>
      <c r="N53" s="30"/>
      <c r="O53" s="30"/>
      <c r="P53" s="30"/>
      <c r="Q53" s="30"/>
      <c r="R53" s="30"/>
      <c r="S53" s="30"/>
      <c r="T53" s="30"/>
      <c r="U53" s="30"/>
      <c r="V53" s="31"/>
    </row>
    <row r="54" spans="1:22">
      <c r="A54" s="1" t="s">
        <v>75</v>
      </c>
      <c r="B54" s="29">
        <v>709.34844245063687</v>
      </c>
      <c r="C54" s="30">
        <v>260.03554560403791</v>
      </c>
      <c r="D54" s="30">
        <v>0</v>
      </c>
      <c r="E54" s="30">
        <v>0</v>
      </c>
      <c r="F54" s="30">
        <v>0</v>
      </c>
      <c r="G54" s="31">
        <f>SUM(WA_FINANCIAL)</f>
        <v>969.38398805467477</v>
      </c>
      <c r="H54" s="30"/>
      <c r="I54" s="30"/>
      <c r="J54" s="30"/>
      <c r="K54" s="30"/>
      <c r="L54" s="29"/>
      <c r="M54" s="30"/>
      <c r="N54" s="30"/>
      <c r="O54" s="30"/>
      <c r="P54" s="30"/>
      <c r="Q54" s="30"/>
      <c r="R54" s="30"/>
      <c r="S54" s="30"/>
      <c r="T54" s="30"/>
      <c r="U54" s="30"/>
      <c r="V54" s="31"/>
    </row>
    <row r="55" spans="1:22">
      <c r="A55" s="1" t="s">
        <v>76</v>
      </c>
      <c r="B55" s="29">
        <v>246.1831571597811</v>
      </c>
      <c r="C55" s="30">
        <v>13.746482191382938</v>
      </c>
      <c r="D55" s="30">
        <v>0</v>
      </c>
      <c r="E55" s="30">
        <v>0</v>
      </c>
      <c r="F55" s="30">
        <v>0</v>
      </c>
      <c r="G55" s="31">
        <f>SUM(WV_FINANCIAL)</f>
        <v>259.92963935116404</v>
      </c>
      <c r="H55" s="30"/>
      <c r="I55" s="30"/>
      <c r="J55" s="30"/>
      <c r="K55" s="30"/>
      <c r="L55" s="29"/>
      <c r="M55" s="30"/>
      <c r="N55" s="30"/>
      <c r="O55" s="30"/>
      <c r="P55" s="30"/>
      <c r="Q55" s="30"/>
      <c r="R55" s="30"/>
      <c r="S55" s="30"/>
      <c r="T55" s="30"/>
      <c r="U55" s="30"/>
      <c r="V55" s="31"/>
    </row>
    <row r="56" spans="1:22">
      <c r="A56" s="1" t="s">
        <v>77</v>
      </c>
      <c r="B56" s="29">
        <v>1195.4173690633961</v>
      </c>
      <c r="C56" s="30">
        <v>87.933206917029224</v>
      </c>
      <c r="D56" s="30">
        <v>0</v>
      </c>
      <c r="E56" s="30">
        <v>0</v>
      </c>
      <c r="F56" s="30">
        <v>0</v>
      </c>
      <c r="G56" s="31">
        <f>SUM(WI_FINANCIAL)</f>
        <v>1283.3505759804252</v>
      </c>
      <c r="H56" s="30"/>
      <c r="I56" s="30"/>
      <c r="J56" s="30"/>
      <c r="K56" s="30"/>
      <c r="L56" s="29"/>
      <c r="M56" s="30"/>
      <c r="N56" s="30"/>
      <c r="O56" s="30"/>
      <c r="P56" s="30"/>
      <c r="Q56" s="30"/>
      <c r="R56" s="30"/>
      <c r="S56" s="30"/>
      <c r="T56" s="30"/>
      <c r="U56" s="30"/>
      <c r="V56" s="31"/>
    </row>
    <row r="57" spans="1:22">
      <c r="A57" s="1" t="s">
        <v>78</v>
      </c>
      <c r="B57" s="29">
        <v>98.503147496435759</v>
      </c>
      <c r="C57" s="30">
        <v>18.717197970786913</v>
      </c>
      <c r="D57" s="30">
        <v>0</v>
      </c>
      <c r="E57" s="30">
        <v>0</v>
      </c>
      <c r="F57" s="30">
        <v>0</v>
      </c>
      <c r="G57" s="31">
        <f>SUM(WY_FINANCIAL)</f>
        <v>117.22034546722267</v>
      </c>
      <c r="H57" s="30"/>
      <c r="I57" s="30"/>
      <c r="J57" s="30"/>
      <c r="K57" s="30"/>
      <c r="L57" s="29"/>
      <c r="M57" s="30"/>
      <c r="N57" s="30"/>
      <c r="O57" s="30"/>
      <c r="P57" s="30"/>
      <c r="Q57" s="30"/>
      <c r="R57" s="30"/>
      <c r="S57" s="30"/>
      <c r="T57" s="30"/>
      <c r="U57" s="30"/>
      <c r="V57" s="31"/>
    </row>
    <row r="58" spans="1:22">
      <c r="A58" s="1" t="s">
        <v>79</v>
      </c>
      <c r="B58" s="29">
        <v>0</v>
      </c>
      <c r="C58" s="30">
        <v>0</v>
      </c>
      <c r="D58" s="30">
        <v>0</v>
      </c>
      <c r="E58" s="30">
        <v>0</v>
      </c>
      <c r="F58" s="30">
        <v>0</v>
      </c>
      <c r="G58" s="31">
        <f>SUM(OT_FINANCIAL)</f>
        <v>0</v>
      </c>
      <c r="H58" s="30"/>
      <c r="I58" s="30"/>
      <c r="J58" s="30"/>
      <c r="K58" s="30"/>
      <c r="L58" s="29"/>
      <c r="M58" s="30"/>
      <c r="N58" s="30"/>
      <c r="O58" s="30"/>
      <c r="P58" s="30"/>
      <c r="Q58" s="30"/>
      <c r="R58" s="30"/>
      <c r="S58" s="30"/>
      <c r="T58" s="30"/>
      <c r="U58" s="30"/>
      <c r="V58" s="31"/>
    </row>
    <row r="59" spans="1:22">
      <c r="B59" s="29"/>
      <c r="C59" s="30"/>
      <c r="D59" s="30"/>
      <c r="E59" s="30"/>
      <c r="F59" s="30"/>
      <c r="G59" s="31"/>
      <c r="H59" s="30"/>
      <c r="I59" s="30"/>
      <c r="J59" s="30"/>
      <c r="K59" s="30"/>
      <c r="L59" s="29"/>
      <c r="M59" s="30"/>
      <c r="N59" s="30"/>
      <c r="O59" s="30"/>
      <c r="P59" s="30"/>
      <c r="Q59" s="30"/>
      <c r="R59" s="30"/>
      <c r="S59" s="30"/>
      <c r="T59" s="30"/>
      <c r="U59" s="30"/>
      <c r="V59" s="31"/>
    </row>
    <row r="60" spans="1:22">
      <c r="A60" s="1" t="s">
        <v>8</v>
      </c>
      <c r="B60" s="29">
        <f>SUM(LIFE)</f>
        <v>43288.647479271953</v>
      </c>
      <c r="C60" s="30">
        <f>SUM(ALLOCATED)</f>
        <v>4041.0925207280943</v>
      </c>
      <c r="D60" s="30">
        <f>SUM(HEALTH)</f>
        <v>0</v>
      </c>
      <c r="E60" s="30">
        <f>SUM(UNALLOCATED)</f>
        <v>0</v>
      </c>
      <c r="F60" s="30">
        <f>SUM(LTC)</f>
        <v>0</v>
      </c>
      <c r="G60" s="31">
        <f>SUM(ALL_BLOCKS)</f>
        <v>47329.740000000027</v>
      </c>
      <c r="H60" s="30"/>
      <c r="I60" s="30"/>
      <c r="J60" s="30"/>
      <c r="K60" s="30"/>
      <c r="L60" s="29">
        <f>SUM(LIFE_CALLED)</f>
        <v>611924</v>
      </c>
      <c r="M60" s="30">
        <f>SUM(LIFE_REFUNDED)</f>
        <v>17671</v>
      </c>
      <c r="N60" s="30"/>
      <c r="O60" s="30">
        <f>SUM(ALLOC_CALLED)</f>
        <v>712595</v>
      </c>
      <c r="P60" s="30">
        <f>SUM(ALLOC_REFUNDED)</f>
        <v>2463</v>
      </c>
      <c r="Q60" s="30"/>
      <c r="R60" s="30">
        <f>SUM(HEALTH_CALLED)</f>
        <v>10</v>
      </c>
      <c r="S60" s="30">
        <f>SUM(HEALTH_REFUNDED)</f>
        <v>0</v>
      </c>
      <c r="T60" s="30"/>
      <c r="U60" s="30">
        <f>SUM(UNALLOC_CALLED)</f>
        <v>0</v>
      </c>
      <c r="V60" s="31">
        <f>SUM(UNALLOC_REFUNDED)</f>
        <v>0</v>
      </c>
    </row>
    <row r="61" spans="1:22" ht="5.0999999999999996" customHeight="1">
      <c r="B61" s="8"/>
      <c r="G61" s="11"/>
      <c r="L61" s="8"/>
      <c r="V61" s="11"/>
    </row>
    <row r="62" spans="1:22">
      <c r="B62" s="8"/>
      <c r="G62" s="11"/>
      <c r="L62" s="122" t="s">
        <v>80</v>
      </c>
      <c r="M62" s="123"/>
      <c r="N62" s="123"/>
      <c r="O62" s="123"/>
      <c r="P62" s="123"/>
      <c r="Q62" s="123"/>
      <c r="R62" s="123"/>
      <c r="S62" s="123"/>
      <c r="T62" s="123"/>
      <c r="U62" s="123"/>
      <c r="V62" s="124"/>
    </row>
    <row r="63" spans="1:22">
      <c r="B63" s="8"/>
      <c r="G63" s="11"/>
      <c r="L63" s="125"/>
      <c r="M63" s="123"/>
      <c r="N63" s="123"/>
      <c r="O63" s="123"/>
      <c r="P63" s="123"/>
      <c r="Q63" s="123"/>
      <c r="R63" s="123"/>
      <c r="S63" s="123"/>
      <c r="T63" s="123"/>
      <c r="U63" s="123"/>
      <c r="V63" s="124"/>
    </row>
    <row r="64" spans="1:22">
      <c r="B64" s="10"/>
      <c r="C64" s="7"/>
      <c r="D64" s="7"/>
      <c r="E64" s="7"/>
      <c r="F64" s="7"/>
      <c r="G64" s="13"/>
      <c r="L64" s="126"/>
      <c r="M64" s="127"/>
      <c r="N64" s="127"/>
      <c r="O64" s="127"/>
      <c r="P64" s="127"/>
      <c r="Q64" s="127"/>
      <c r="R64" s="127"/>
      <c r="S64" s="127"/>
      <c r="T64" s="127"/>
      <c r="U64" s="127"/>
      <c r="V64" s="128"/>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V64"/>
  <sheetViews>
    <sheetView zoomScale="75" workbookViewId="0">
      <selection sqref="A1:XFD1048576"/>
    </sheetView>
  </sheetViews>
  <sheetFormatPr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129" t="s">
        <v>116</v>
      </c>
      <c r="B1" s="123"/>
      <c r="C1" s="123"/>
      <c r="D1" s="123"/>
      <c r="E1" s="123"/>
      <c r="F1" s="123"/>
      <c r="G1" s="123"/>
    </row>
    <row r="3" spans="1:22">
      <c r="B3" s="130" t="s">
        <v>1</v>
      </c>
      <c r="C3" s="131"/>
      <c r="D3" s="131"/>
      <c r="E3" s="131"/>
      <c r="F3" s="131"/>
      <c r="G3" s="132"/>
      <c r="L3" s="133" t="s">
        <v>2</v>
      </c>
      <c r="M3" s="134"/>
      <c r="N3" s="134"/>
      <c r="O3" s="134"/>
      <c r="P3" s="134"/>
      <c r="Q3" s="134"/>
      <c r="R3" s="134"/>
      <c r="S3" s="134"/>
      <c r="T3" s="134"/>
      <c r="U3" s="134"/>
      <c r="V3" s="135"/>
    </row>
    <row r="4" spans="1:22">
      <c r="B4" s="8"/>
      <c r="G4" s="11"/>
      <c r="L4" s="136" t="s">
        <v>3</v>
      </c>
      <c r="M4" s="137"/>
      <c r="N4" s="4"/>
      <c r="O4" s="138" t="s">
        <v>4</v>
      </c>
      <c r="P4" s="137"/>
      <c r="Q4" s="4"/>
      <c r="R4" s="138" t="s">
        <v>5</v>
      </c>
      <c r="S4" s="137"/>
      <c r="T4" s="4"/>
      <c r="U4" s="138" t="s">
        <v>6</v>
      </c>
      <c r="V4" s="139"/>
    </row>
    <row r="5" spans="1:22" ht="60" customHeight="1">
      <c r="B5" s="9" t="s">
        <v>3</v>
      </c>
      <c r="C5" s="5" t="s">
        <v>4</v>
      </c>
      <c r="D5" s="5" t="s">
        <v>5</v>
      </c>
      <c r="E5" s="5" t="s">
        <v>6</v>
      </c>
      <c r="F5" s="5" t="s">
        <v>7</v>
      </c>
      <c r="G5" s="12" t="s">
        <v>8</v>
      </c>
      <c r="L5" s="15" t="s">
        <v>9</v>
      </c>
      <c r="M5" s="14" t="s">
        <v>10</v>
      </c>
      <c r="N5" s="14"/>
      <c r="O5" s="14" t="s">
        <v>9</v>
      </c>
      <c r="P5" s="14" t="s">
        <v>10</v>
      </c>
      <c r="Q5" s="14"/>
      <c r="R5" s="14" t="s">
        <v>9</v>
      </c>
      <c r="S5" s="14" t="s">
        <v>10</v>
      </c>
      <c r="T5" s="14"/>
      <c r="U5" s="14" t="s">
        <v>9</v>
      </c>
      <c r="V5" s="16" t="s">
        <v>10</v>
      </c>
    </row>
    <row r="6" spans="1:22">
      <c r="A6" s="1" t="s">
        <v>11</v>
      </c>
      <c r="B6" s="29">
        <v>0</v>
      </c>
      <c r="C6" s="30">
        <v>0</v>
      </c>
      <c r="D6" s="30">
        <v>37902.880071160849</v>
      </c>
      <c r="E6" s="30">
        <v>0</v>
      </c>
      <c r="F6" s="30">
        <v>0</v>
      </c>
      <c r="G6" s="31">
        <f>SUM(AL_FINANCIAL)</f>
        <v>37902.880071160849</v>
      </c>
      <c r="H6" s="30"/>
      <c r="I6" s="30"/>
      <c r="J6" s="30"/>
      <c r="K6" s="30"/>
      <c r="L6" s="29"/>
      <c r="M6" s="30"/>
      <c r="N6" s="30"/>
      <c r="O6" s="30"/>
      <c r="P6" s="30"/>
      <c r="Q6" s="30"/>
      <c r="R6" s="30"/>
      <c r="S6" s="30"/>
      <c r="T6" s="30"/>
      <c r="U6" s="30"/>
      <c r="V6" s="31"/>
    </row>
    <row r="7" spans="1:22">
      <c r="A7" s="1" t="s">
        <v>12</v>
      </c>
      <c r="B7" s="29">
        <v>0</v>
      </c>
      <c r="C7" s="30">
        <v>0</v>
      </c>
      <c r="D7" s="30">
        <v>0</v>
      </c>
      <c r="E7" s="30">
        <v>0</v>
      </c>
      <c r="F7" s="30">
        <v>0</v>
      </c>
      <c r="G7" s="31">
        <f>SUM(AK_FINANCIAL)</f>
        <v>0</v>
      </c>
      <c r="H7" s="30"/>
      <c r="I7" s="32"/>
      <c r="J7" s="33"/>
      <c r="K7" s="30"/>
      <c r="L7" s="29"/>
      <c r="M7" s="30"/>
      <c r="N7" s="30"/>
      <c r="O7" s="30"/>
      <c r="P7" s="30"/>
      <c r="Q7" s="30"/>
      <c r="R7" s="30"/>
      <c r="S7" s="30"/>
      <c r="T7" s="30"/>
      <c r="U7" s="30"/>
      <c r="V7" s="31"/>
    </row>
    <row r="8" spans="1:22">
      <c r="A8" s="1" t="s">
        <v>13</v>
      </c>
      <c r="B8" s="29">
        <v>0</v>
      </c>
      <c r="C8" s="30">
        <v>0</v>
      </c>
      <c r="D8" s="30">
        <v>7153.2168216631107</v>
      </c>
      <c r="E8" s="30">
        <v>0</v>
      </c>
      <c r="F8" s="30">
        <v>0</v>
      </c>
      <c r="G8" s="31">
        <f>SUM(AZ_FINANCIAL)</f>
        <v>7153.2168216631107</v>
      </c>
      <c r="H8" s="30"/>
      <c r="I8" s="34" t="s">
        <v>14</v>
      </c>
      <c r="J8" s="35"/>
      <c r="K8" s="30"/>
      <c r="L8" s="29">
        <v>0</v>
      </c>
      <c r="M8" s="30">
        <v>0</v>
      </c>
      <c r="N8" s="30"/>
      <c r="O8" s="30">
        <v>0</v>
      </c>
      <c r="P8" s="30">
        <v>0</v>
      </c>
      <c r="Q8" s="30"/>
      <c r="R8" s="30">
        <v>0</v>
      </c>
      <c r="S8" s="30">
        <v>0</v>
      </c>
      <c r="T8" s="30"/>
      <c r="U8" s="30">
        <v>0</v>
      </c>
      <c r="V8" s="31">
        <v>0</v>
      </c>
    </row>
    <row r="9" spans="1:22">
      <c r="A9" s="1" t="s">
        <v>15</v>
      </c>
      <c r="B9" s="29">
        <v>0</v>
      </c>
      <c r="C9" s="30">
        <v>0</v>
      </c>
      <c r="D9" s="30">
        <v>279.12099434712673</v>
      </c>
      <c r="E9" s="30">
        <v>0</v>
      </c>
      <c r="F9" s="30">
        <v>0</v>
      </c>
      <c r="G9" s="31">
        <f>SUM(AR_FINANCIAL)</f>
        <v>279.12099434712673</v>
      </c>
      <c r="H9" s="30"/>
      <c r="I9" s="34"/>
      <c r="J9" s="35"/>
      <c r="K9" s="30"/>
      <c r="L9" s="29">
        <v>8231</v>
      </c>
      <c r="M9" s="30">
        <v>0</v>
      </c>
      <c r="N9" s="30"/>
      <c r="O9" s="30">
        <v>0</v>
      </c>
      <c r="P9" s="30">
        <v>0</v>
      </c>
      <c r="Q9" s="30"/>
      <c r="R9" s="30">
        <v>3987</v>
      </c>
      <c r="S9" s="30">
        <v>0</v>
      </c>
      <c r="T9" s="30"/>
      <c r="U9" s="30">
        <v>0</v>
      </c>
      <c r="V9" s="31">
        <v>0</v>
      </c>
    </row>
    <row r="10" spans="1:22">
      <c r="A10" s="1" t="s">
        <v>16</v>
      </c>
      <c r="B10" s="29">
        <v>0</v>
      </c>
      <c r="C10" s="30">
        <v>0</v>
      </c>
      <c r="D10" s="30">
        <v>0</v>
      </c>
      <c r="E10" s="30">
        <v>0</v>
      </c>
      <c r="F10" s="30">
        <v>0</v>
      </c>
      <c r="G10" s="31">
        <f>SUM(CA_FINANCIAL)</f>
        <v>0</v>
      </c>
      <c r="H10" s="30"/>
      <c r="I10" s="34" t="s">
        <v>17</v>
      </c>
      <c r="J10" s="35">
        <v>1978001</v>
      </c>
      <c r="K10" s="30"/>
      <c r="L10" s="29">
        <v>0</v>
      </c>
      <c r="M10" s="30">
        <v>0</v>
      </c>
      <c r="N10" s="30"/>
      <c r="O10" s="30">
        <v>0</v>
      </c>
      <c r="P10" s="30">
        <v>1700000</v>
      </c>
      <c r="Q10" s="30"/>
      <c r="R10" s="30">
        <v>0</v>
      </c>
      <c r="S10" s="30">
        <v>0</v>
      </c>
      <c r="T10" s="30"/>
      <c r="U10" s="30">
        <v>0</v>
      </c>
      <c r="V10" s="31">
        <v>0</v>
      </c>
    </row>
    <row r="11" spans="1:22">
      <c r="A11" s="1" t="s">
        <v>18</v>
      </c>
      <c r="B11" s="29">
        <v>0</v>
      </c>
      <c r="C11" s="30">
        <v>0</v>
      </c>
      <c r="D11" s="30">
        <v>1401.925109423255</v>
      </c>
      <c r="E11" s="30">
        <v>0</v>
      </c>
      <c r="F11" s="30">
        <v>0</v>
      </c>
      <c r="G11" s="31">
        <f>SUM(CO_FINANCIAL)</f>
        <v>1401.925109423255</v>
      </c>
      <c r="H11" s="30"/>
      <c r="I11" s="34"/>
      <c r="J11" s="35"/>
      <c r="K11" s="30"/>
      <c r="L11" s="29">
        <v>0</v>
      </c>
      <c r="M11" s="30">
        <v>0</v>
      </c>
      <c r="N11" s="30"/>
      <c r="O11" s="30">
        <v>0</v>
      </c>
      <c r="P11" s="30">
        <v>0</v>
      </c>
      <c r="Q11" s="30"/>
      <c r="R11" s="30">
        <v>26200</v>
      </c>
      <c r="S11" s="30">
        <v>0</v>
      </c>
      <c r="T11" s="30"/>
      <c r="U11" s="30">
        <v>0</v>
      </c>
      <c r="V11" s="31">
        <v>0</v>
      </c>
    </row>
    <row r="12" spans="1:22">
      <c r="A12" s="1" t="s">
        <v>19</v>
      </c>
      <c r="B12" s="29">
        <v>0</v>
      </c>
      <c r="C12" s="30">
        <v>0</v>
      </c>
      <c r="D12" s="30">
        <v>0</v>
      </c>
      <c r="E12" s="30">
        <v>0</v>
      </c>
      <c r="F12" s="30">
        <v>0</v>
      </c>
      <c r="G12" s="31">
        <f>SUM(CT_FINANCIAL)</f>
        <v>0</v>
      </c>
      <c r="H12" s="30"/>
      <c r="I12" s="34" t="s">
        <v>20</v>
      </c>
      <c r="J12" s="35"/>
      <c r="K12" s="30"/>
      <c r="L12" s="29"/>
      <c r="M12" s="30"/>
      <c r="N12" s="30"/>
      <c r="O12" s="30"/>
      <c r="P12" s="30"/>
      <c r="Q12" s="30"/>
      <c r="R12" s="30"/>
      <c r="S12" s="30"/>
      <c r="T12" s="30"/>
      <c r="U12" s="30"/>
      <c r="V12" s="31"/>
    </row>
    <row r="13" spans="1:22">
      <c r="A13" s="1" t="s">
        <v>21</v>
      </c>
      <c r="B13" s="29">
        <v>0</v>
      </c>
      <c r="C13" s="30">
        <v>0</v>
      </c>
      <c r="D13" s="30">
        <v>796.87707428085378</v>
      </c>
      <c r="E13" s="30">
        <v>0</v>
      </c>
      <c r="F13" s="30">
        <v>0</v>
      </c>
      <c r="G13" s="31">
        <f>SUM(DE_FINANCIAL)</f>
        <v>796.87707428085378</v>
      </c>
      <c r="H13" s="30"/>
      <c r="I13" s="34" t="s">
        <v>22</v>
      </c>
      <c r="J13" s="35">
        <v>1978001</v>
      </c>
      <c r="K13" s="30"/>
      <c r="L13" s="29">
        <v>0</v>
      </c>
      <c r="M13" s="30">
        <v>0</v>
      </c>
      <c r="N13" s="30"/>
      <c r="O13" s="30">
        <v>0</v>
      </c>
      <c r="P13" s="30">
        <v>0</v>
      </c>
      <c r="Q13" s="30"/>
      <c r="R13" s="30">
        <v>10000</v>
      </c>
      <c r="S13" s="30">
        <v>0</v>
      </c>
      <c r="T13" s="30"/>
      <c r="U13" s="30">
        <v>0</v>
      </c>
      <c r="V13" s="31">
        <v>0</v>
      </c>
    </row>
    <row r="14" spans="1:22">
      <c r="A14" s="1" t="s">
        <v>23</v>
      </c>
      <c r="B14" s="29">
        <v>0</v>
      </c>
      <c r="C14" s="30">
        <v>0</v>
      </c>
      <c r="D14" s="30">
        <v>0</v>
      </c>
      <c r="E14" s="30">
        <v>0</v>
      </c>
      <c r="F14" s="30">
        <v>0</v>
      </c>
      <c r="G14" s="31">
        <f>SUM(DC_FINANCIAL)</f>
        <v>0</v>
      </c>
      <c r="H14" s="30"/>
      <c r="I14" s="34" t="s">
        <v>24</v>
      </c>
      <c r="J14" s="35">
        <v>305426</v>
      </c>
      <c r="K14" s="30"/>
      <c r="L14" s="29"/>
      <c r="M14" s="30"/>
      <c r="N14" s="30"/>
      <c r="O14" s="30"/>
      <c r="P14" s="30"/>
      <c r="Q14" s="30"/>
      <c r="R14" s="30"/>
      <c r="S14" s="30"/>
      <c r="T14" s="30"/>
      <c r="U14" s="30"/>
      <c r="V14" s="31"/>
    </row>
    <row r="15" spans="1:22">
      <c r="A15" s="1" t="s">
        <v>25</v>
      </c>
      <c r="B15" s="29">
        <v>0</v>
      </c>
      <c r="C15" s="30">
        <v>0</v>
      </c>
      <c r="D15" s="30">
        <v>111657.17614176311</v>
      </c>
      <c r="E15" s="30">
        <v>0</v>
      </c>
      <c r="F15" s="30">
        <v>0</v>
      </c>
      <c r="G15" s="31">
        <f>SUM(FL_FINANCIAL)</f>
        <v>111657.17614176311</v>
      </c>
      <c r="H15" s="30"/>
      <c r="I15" s="34" t="s">
        <v>26</v>
      </c>
      <c r="J15" s="35">
        <v>315878.5500000001</v>
      </c>
      <c r="K15" s="30"/>
      <c r="L15" s="29"/>
      <c r="M15" s="30"/>
      <c r="N15" s="30"/>
      <c r="O15" s="30"/>
      <c r="P15" s="30"/>
      <c r="Q15" s="30"/>
      <c r="R15" s="30"/>
      <c r="S15" s="30"/>
      <c r="T15" s="30"/>
      <c r="U15" s="30"/>
      <c r="V15" s="31"/>
    </row>
    <row r="16" spans="1:22">
      <c r="A16" s="1" t="s">
        <v>27</v>
      </c>
      <c r="B16" s="29">
        <v>0</v>
      </c>
      <c r="C16" s="30">
        <v>0</v>
      </c>
      <c r="D16" s="30">
        <v>20525.188875963708</v>
      </c>
      <c r="E16" s="30">
        <v>0</v>
      </c>
      <c r="F16" s="30">
        <v>0</v>
      </c>
      <c r="G16" s="31">
        <f>SUM(GA_FINANCIAL)</f>
        <v>20525.188875963708</v>
      </c>
      <c r="H16" s="30"/>
      <c r="I16" s="34" t="s">
        <v>28</v>
      </c>
      <c r="J16" s="35">
        <v>0</v>
      </c>
      <c r="K16" s="30"/>
      <c r="L16" s="29"/>
      <c r="M16" s="30"/>
      <c r="N16" s="30"/>
      <c r="O16" s="30"/>
      <c r="P16" s="30"/>
      <c r="Q16" s="30"/>
      <c r="R16" s="30"/>
      <c r="S16" s="30"/>
      <c r="T16" s="30"/>
      <c r="U16" s="30"/>
      <c r="V16" s="31"/>
    </row>
    <row r="17" spans="1:22">
      <c r="A17" s="1" t="s">
        <v>29</v>
      </c>
      <c r="B17" s="29">
        <v>0</v>
      </c>
      <c r="C17" s="30">
        <v>0</v>
      </c>
      <c r="D17" s="30">
        <v>0</v>
      </c>
      <c r="E17" s="30">
        <v>0</v>
      </c>
      <c r="F17" s="30">
        <v>0</v>
      </c>
      <c r="G17" s="31">
        <f>SUM(HI_FINANCIAL)</f>
        <v>0</v>
      </c>
      <c r="H17" s="30"/>
      <c r="I17" s="34"/>
      <c r="J17" s="35"/>
      <c r="K17" s="30"/>
      <c r="L17" s="29"/>
      <c r="M17" s="30"/>
      <c r="N17" s="30"/>
      <c r="O17" s="30"/>
      <c r="P17" s="30"/>
      <c r="Q17" s="30"/>
      <c r="R17" s="30"/>
      <c r="S17" s="30"/>
      <c r="T17" s="30"/>
      <c r="U17" s="30"/>
      <c r="V17" s="31"/>
    </row>
    <row r="18" spans="1:22">
      <c r="A18" s="1" t="s">
        <v>30</v>
      </c>
      <c r="B18" s="29">
        <v>0</v>
      </c>
      <c r="C18" s="30">
        <v>0</v>
      </c>
      <c r="D18" s="30">
        <v>3437.2202638536692</v>
      </c>
      <c r="E18" s="30">
        <v>0</v>
      </c>
      <c r="F18" s="30">
        <v>0</v>
      </c>
      <c r="G18" s="31">
        <f>SUM(ID_FINANCIAL)</f>
        <v>3437.2202638536692</v>
      </c>
      <c r="H18" s="30"/>
      <c r="I18" s="34" t="s">
        <v>31</v>
      </c>
      <c r="J18" s="35"/>
      <c r="K18" s="30"/>
      <c r="L18" s="29">
        <v>0</v>
      </c>
      <c r="M18" s="30">
        <v>0</v>
      </c>
      <c r="N18" s="30"/>
      <c r="O18" s="30">
        <v>0</v>
      </c>
      <c r="P18" s="30">
        <v>0</v>
      </c>
      <c r="Q18" s="30"/>
      <c r="R18" s="30">
        <v>0</v>
      </c>
      <c r="S18" s="30">
        <v>0</v>
      </c>
      <c r="T18" s="30"/>
      <c r="U18" s="30">
        <v>0</v>
      </c>
      <c r="V18" s="31">
        <v>0</v>
      </c>
    </row>
    <row r="19" spans="1:22">
      <c r="A19" s="1" t="s">
        <v>32</v>
      </c>
      <c r="B19" s="29">
        <v>0</v>
      </c>
      <c r="C19" s="30">
        <v>0</v>
      </c>
      <c r="D19" s="30">
        <v>0</v>
      </c>
      <c r="E19" s="30">
        <v>0</v>
      </c>
      <c r="F19" s="30">
        <v>0</v>
      </c>
      <c r="G19" s="31">
        <f>SUM(IL_FINANCIAL)</f>
        <v>0</v>
      </c>
      <c r="H19" s="30"/>
      <c r="I19" s="34" t="s">
        <v>33</v>
      </c>
      <c r="J19" s="35">
        <v>0</v>
      </c>
      <c r="K19" s="30"/>
      <c r="L19" s="29"/>
      <c r="M19" s="30"/>
      <c r="N19" s="30"/>
      <c r="O19" s="30"/>
      <c r="P19" s="30"/>
      <c r="Q19" s="30"/>
      <c r="R19" s="30"/>
      <c r="S19" s="30"/>
      <c r="T19" s="30"/>
      <c r="U19" s="30"/>
      <c r="V19" s="31"/>
    </row>
    <row r="20" spans="1:22">
      <c r="A20" s="1" t="s">
        <v>34</v>
      </c>
      <c r="B20" s="29">
        <v>0</v>
      </c>
      <c r="C20" s="30">
        <v>0</v>
      </c>
      <c r="D20" s="30">
        <v>8349.9926358705125</v>
      </c>
      <c r="E20" s="30">
        <v>0</v>
      </c>
      <c r="F20" s="30">
        <v>0</v>
      </c>
      <c r="G20" s="31">
        <f>SUM(IN_FINANCIAL)</f>
        <v>8349.9926358705125</v>
      </c>
      <c r="H20" s="30"/>
      <c r="I20" s="34" t="s">
        <v>35</v>
      </c>
      <c r="J20" s="35">
        <v>1978001</v>
      </c>
      <c r="K20" s="30"/>
      <c r="L20" s="29"/>
      <c r="M20" s="30"/>
      <c r="N20" s="30"/>
      <c r="O20" s="30"/>
      <c r="P20" s="30"/>
      <c r="Q20" s="30"/>
      <c r="R20" s="30"/>
      <c r="S20" s="30"/>
      <c r="T20" s="30"/>
      <c r="U20" s="30"/>
      <c r="V20" s="31"/>
    </row>
    <row r="21" spans="1:22">
      <c r="A21" s="1" t="s">
        <v>36</v>
      </c>
      <c r="B21" s="29">
        <v>0</v>
      </c>
      <c r="C21" s="30">
        <v>0</v>
      </c>
      <c r="D21" s="30">
        <v>0</v>
      </c>
      <c r="E21" s="30">
        <v>0</v>
      </c>
      <c r="F21" s="30">
        <v>0</v>
      </c>
      <c r="G21" s="31">
        <f>SUM(IA_FINANCIAL)</f>
        <v>0</v>
      </c>
      <c r="H21" s="30"/>
      <c r="I21" s="34" t="s">
        <v>37</v>
      </c>
      <c r="J21" s="35"/>
      <c r="K21" s="30"/>
      <c r="L21" s="29"/>
      <c r="M21" s="30"/>
      <c r="N21" s="30"/>
      <c r="O21" s="30"/>
      <c r="P21" s="30"/>
      <c r="Q21" s="30"/>
      <c r="R21" s="30"/>
      <c r="S21" s="30"/>
      <c r="T21" s="30"/>
      <c r="U21" s="30"/>
      <c r="V21" s="31"/>
    </row>
    <row r="22" spans="1:22">
      <c r="A22" s="1" t="s">
        <v>38</v>
      </c>
      <c r="B22" s="29">
        <v>0</v>
      </c>
      <c r="C22" s="30">
        <v>0</v>
      </c>
      <c r="D22" s="30">
        <v>0</v>
      </c>
      <c r="E22" s="30">
        <v>0</v>
      </c>
      <c r="F22" s="30">
        <v>0</v>
      </c>
      <c r="G22" s="31">
        <f>SUM(KS_FINANCIAL)</f>
        <v>0</v>
      </c>
      <c r="H22" s="30"/>
      <c r="I22" s="34" t="s">
        <v>39</v>
      </c>
      <c r="J22" s="35">
        <v>0</v>
      </c>
      <c r="K22" s="30"/>
      <c r="L22" s="29"/>
      <c r="M22" s="30"/>
      <c r="N22" s="30"/>
      <c r="O22" s="30"/>
      <c r="P22" s="30"/>
      <c r="Q22" s="30"/>
      <c r="R22" s="30"/>
      <c r="S22" s="30"/>
      <c r="T22" s="30"/>
      <c r="U22" s="30"/>
      <c r="V22" s="31"/>
    </row>
    <row r="23" spans="1:22">
      <c r="A23" s="1" t="s">
        <v>40</v>
      </c>
      <c r="B23" s="29">
        <v>0</v>
      </c>
      <c r="C23" s="30">
        <v>0</v>
      </c>
      <c r="D23" s="30">
        <v>1146.6957930369044</v>
      </c>
      <c r="E23" s="30">
        <v>0</v>
      </c>
      <c r="F23" s="30">
        <v>0</v>
      </c>
      <c r="G23" s="31">
        <f>SUM(KY_FINANCIAL)</f>
        <v>1146.6957930369044</v>
      </c>
      <c r="H23" s="30"/>
      <c r="I23" s="34" t="s">
        <v>41</v>
      </c>
      <c r="J23" s="35"/>
      <c r="K23" s="30"/>
      <c r="L23" s="29"/>
      <c r="M23" s="30"/>
      <c r="N23" s="30"/>
      <c r="O23" s="30"/>
      <c r="P23" s="30"/>
      <c r="Q23" s="30"/>
      <c r="R23" s="30"/>
      <c r="S23" s="30"/>
      <c r="T23" s="30"/>
      <c r="U23" s="30"/>
      <c r="V23" s="31"/>
    </row>
    <row r="24" spans="1:22">
      <c r="A24" s="1" t="s">
        <v>42</v>
      </c>
      <c r="B24" s="29">
        <v>0</v>
      </c>
      <c r="C24" s="30">
        <v>0</v>
      </c>
      <c r="D24" s="30">
        <v>14942.919433696952</v>
      </c>
      <c r="E24" s="30">
        <v>0</v>
      </c>
      <c r="F24" s="30">
        <v>0</v>
      </c>
      <c r="G24" s="31">
        <f>SUM(LA_FINANCIAL)</f>
        <v>14942.919433696952</v>
      </c>
      <c r="H24" s="30"/>
      <c r="I24" s="34" t="s">
        <v>43</v>
      </c>
      <c r="J24" s="35">
        <v>2373299</v>
      </c>
      <c r="K24" s="30"/>
      <c r="L24" s="29">
        <v>0</v>
      </c>
      <c r="M24" s="30">
        <v>0</v>
      </c>
      <c r="N24" s="30"/>
      <c r="O24" s="30">
        <v>0</v>
      </c>
      <c r="P24" s="30">
        <v>0</v>
      </c>
      <c r="Q24" s="30"/>
      <c r="R24" s="30">
        <v>85000</v>
      </c>
      <c r="S24" s="30">
        <v>0</v>
      </c>
      <c r="T24" s="30"/>
      <c r="U24" s="30">
        <v>0</v>
      </c>
      <c r="V24" s="31">
        <v>0</v>
      </c>
    </row>
    <row r="25" spans="1:22">
      <c r="A25" s="1" t="s">
        <v>44</v>
      </c>
      <c r="B25" s="29">
        <v>0</v>
      </c>
      <c r="C25" s="30">
        <v>0</v>
      </c>
      <c r="D25" s="30">
        <v>0</v>
      </c>
      <c r="E25" s="30">
        <v>0</v>
      </c>
      <c r="F25" s="30">
        <v>0</v>
      </c>
      <c r="G25" s="31">
        <f>SUM(ME_FINANCIAL)</f>
        <v>0</v>
      </c>
      <c r="H25" s="30"/>
      <c r="I25" s="34"/>
      <c r="J25" s="35"/>
      <c r="K25" s="30"/>
      <c r="L25" s="29"/>
      <c r="M25" s="30"/>
      <c r="N25" s="30"/>
      <c r="O25" s="30"/>
      <c r="P25" s="30"/>
      <c r="Q25" s="30"/>
      <c r="R25" s="30"/>
      <c r="S25" s="30"/>
      <c r="T25" s="30"/>
      <c r="U25" s="30"/>
      <c r="V25" s="31"/>
    </row>
    <row r="26" spans="1:22">
      <c r="A26" s="1" t="s">
        <v>45</v>
      </c>
      <c r="B26" s="29">
        <v>0</v>
      </c>
      <c r="C26" s="30">
        <v>0</v>
      </c>
      <c r="D26" s="30">
        <v>-1320.950697007881</v>
      </c>
      <c r="E26" s="30">
        <v>0</v>
      </c>
      <c r="F26" s="30">
        <v>0</v>
      </c>
      <c r="G26" s="31">
        <f>SUM(MD_FINANCIAL)</f>
        <v>-1320.950697007881</v>
      </c>
      <c r="H26" s="30"/>
      <c r="I26" s="34" t="s">
        <v>46</v>
      </c>
      <c r="J26" s="35">
        <f>SUM(ADD_FINANCIAL)-SUM(LESS_FINANCIAL)</f>
        <v>226006.54999999981</v>
      </c>
      <c r="K26" s="30"/>
      <c r="L26" s="29"/>
      <c r="M26" s="30"/>
      <c r="N26" s="30"/>
      <c r="O26" s="30"/>
      <c r="P26" s="30"/>
      <c r="Q26" s="30"/>
      <c r="R26" s="30"/>
      <c r="S26" s="30"/>
      <c r="T26" s="30"/>
      <c r="U26" s="30"/>
      <c r="V26" s="31"/>
    </row>
    <row r="27" spans="1:22">
      <c r="A27" s="1" t="s">
        <v>47</v>
      </c>
      <c r="B27" s="29">
        <v>0</v>
      </c>
      <c r="C27" s="30">
        <v>0</v>
      </c>
      <c r="D27" s="30">
        <v>0</v>
      </c>
      <c r="E27" s="30">
        <v>0</v>
      </c>
      <c r="F27" s="30">
        <v>0</v>
      </c>
      <c r="G27" s="31">
        <f>SUM(MA_FINANCIAL)</f>
        <v>0</v>
      </c>
      <c r="H27" s="30"/>
      <c r="I27" s="34" t="s">
        <v>48</v>
      </c>
      <c r="J27" s="35">
        <f>SUM(ALL_BLOCKS)</f>
        <v>226006.55000000005</v>
      </c>
      <c r="K27" s="30"/>
      <c r="L27" s="29"/>
      <c r="M27" s="30"/>
      <c r="N27" s="30"/>
      <c r="O27" s="30"/>
      <c r="P27" s="30"/>
      <c r="Q27" s="30"/>
      <c r="R27" s="30"/>
      <c r="S27" s="30"/>
      <c r="T27" s="30"/>
      <c r="U27" s="30"/>
      <c r="V27" s="31"/>
    </row>
    <row r="28" spans="1:22">
      <c r="A28" s="1" t="s">
        <v>49</v>
      </c>
      <c r="B28" s="29">
        <v>0</v>
      </c>
      <c r="C28" s="30">
        <v>0</v>
      </c>
      <c r="D28" s="30">
        <v>0</v>
      </c>
      <c r="E28" s="30">
        <v>0</v>
      </c>
      <c r="F28" s="30">
        <v>0</v>
      </c>
      <c r="G28" s="31">
        <f>SUM(MI_FINANCIAL)</f>
        <v>0</v>
      </c>
      <c r="H28" s="30"/>
      <c r="I28" s="36"/>
      <c r="J28" s="37"/>
      <c r="K28" s="30"/>
      <c r="L28" s="29"/>
      <c r="M28" s="30"/>
      <c r="N28" s="30"/>
      <c r="O28" s="30"/>
      <c r="P28" s="30"/>
      <c r="Q28" s="30"/>
      <c r="R28" s="30"/>
      <c r="S28" s="30"/>
      <c r="T28" s="30"/>
      <c r="U28" s="30"/>
      <c r="V28" s="31"/>
    </row>
    <row r="29" spans="1:22">
      <c r="A29" s="1" t="s">
        <v>50</v>
      </c>
      <c r="B29" s="29">
        <v>0</v>
      </c>
      <c r="C29" s="30">
        <v>0</v>
      </c>
      <c r="D29" s="30">
        <v>0</v>
      </c>
      <c r="E29" s="30">
        <v>0</v>
      </c>
      <c r="F29" s="30">
        <v>0</v>
      </c>
      <c r="G29" s="31">
        <f>SUM(MN_FINANCIAL)</f>
        <v>0</v>
      </c>
      <c r="H29" s="30"/>
      <c r="I29" s="30"/>
      <c r="J29" s="30"/>
      <c r="K29" s="30"/>
      <c r="L29" s="29"/>
      <c r="M29" s="30"/>
      <c r="N29" s="30"/>
      <c r="O29" s="30"/>
      <c r="P29" s="30"/>
      <c r="Q29" s="30"/>
      <c r="R29" s="30"/>
      <c r="S29" s="30"/>
      <c r="T29" s="30"/>
      <c r="U29" s="30"/>
      <c r="V29" s="31"/>
    </row>
    <row r="30" spans="1:22">
      <c r="A30" s="1" t="s">
        <v>51</v>
      </c>
      <c r="B30" s="29">
        <v>0</v>
      </c>
      <c r="C30" s="30">
        <v>0</v>
      </c>
      <c r="D30" s="30">
        <v>2569.1752441590725</v>
      </c>
      <c r="E30" s="30">
        <v>0</v>
      </c>
      <c r="F30" s="30">
        <v>0</v>
      </c>
      <c r="G30" s="31">
        <f>SUM(MS_FINANCIAL)</f>
        <v>2569.1752441590725</v>
      </c>
      <c r="H30" s="30"/>
      <c r="I30" s="30"/>
      <c r="J30" s="30"/>
      <c r="K30" s="30"/>
      <c r="L30" s="29"/>
      <c r="M30" s="30"/>
      <c r="N30" s="30"/>
      <c r="O30" s="30"/>
      <c r="P30" s="30"/>
      <c r="Q30" s="30"/>
      <c r="R30" s="30"/>
      <c r="S30" s="30"/>
      <c r="T30" s="30"/>
      <c r="U30" s="30"/>
      <c r="V30" s="31"/>
    </row>
    <row r="31" spans="1:22">
      <c r="A31" s="1" t="s">
        <v>52</v>
      </c>
      <c r="B31" s="29">
        <v>0</v>
      </c>
      <c r="C31" s="30">
        <v>0</v>
      </c>
      <c r="D31" s="30">
        <v>0</v>
      </c>
      <c r="E31" s="30">
        <v>0</v>
      </c>
      <c r="F31" s="30">
        <v>0</v>
      </c>
      <c r="G31" s="31">
        <f>SUM(MO_FINANCIAL)</f>
        <v>0</v>
      </c>
      <c r="H31" s="30"/>
      <c r="I31" s="30"/>
      <c r="J31" s="30"/>
      <c r="K31" s="30"/>
      <c r="L31" s="29"/>
      <c r="M31" s="30"/>
      <c r="N31" s="30"/>
      <c r="O31" s="30"/>
      <c r="P31" s="30"/>
      <c r="Q31" s="30"/>
      <c r="R31" s="30"/>
      <c r="S31" s="30"/>
      <c r="T31" s="30"/>
      <c r="U31" s="30"/>
      <c r="V31" s="31"/>
    </row>
    <row r="32" spans="1:22">
      <c r="A32" s="1" t="s">
        <v>53</v>
      </c>
      <c r="B32" s="29">
        <v>0</v>
      </c>
      <c r="C32" s="30">
        <v>0</v>
      </c>
      <c r="D32" s="30">
        <v>895.72657041017465</v>
      </c>
      <c r="E32" s="30">
        <v>0</v>
      </c>
      <c r="F32" s="30">
        <v>0</v>
      </c>
      <c r="G32" s="31">
        <f>SUM(MT_FINANCIAL)</f>
        <v>895.72657041017465</v>
      </c>
      <c r="H32" s="30"/>
      <c r="I32" s="30"/>
      <c r="J32" s="30"/>
      <c r="K32" s="30"/>
      <c r="L32" s="29"/>
      <c r="M32" s="30"/>
      <c r="N32" s="30"/>
      <c r="O32" s="30"/>
      <c r="P32" s="30"/>
      <c r="Q32" s="30"/>
      <c r="R32" s="30"/>
      <c r="S32" s="30"/>
      <c r="T32" s="30"/>
      <c r="U32" s="30"/>
      <c r="V32" s="31"/>
    </row>
    <row r="33" spans="1:22">
      <c r="A33" s="1" t="s">
        <v>54</v>
      </c>
      <c r="B33" s="29">
        <v>0</v>
      </c>
      <c r="C33" s="30">
        <v>0</v>
      </c>
      <c r="D33" s="30">
        <v>170</v>
      </c>
      <c r="E33" s="30">
        <v>0</v>
      </c>
      <c r="F33" s="30">
        <v>0</v>
      </c>
      <c r="G33" s="31">
        <f>SUM(NE_FINANCIAL)</f>
        <v>170</v>
      </c>
      <c r="H33" s="30"/>
      <c r="I33" s="30"/>
      <c r="J33" s="30"/>
      <c r="K33" s="30"/>
      <c r="L33" s="29"/>
      <c r="M33" s="30"/>
      <c r="N33" s="30"/>
      <c r="O33" s="30"/>
      <c r="P33" s="30"/>
      <c r="Q33" s="30"/>
      <c r="R33" s="30"/>
      <c r="S33" s="30"/>
      <c r="T33" s="30"/>
      <c r="U33" s="30"/>
      <c r="V33" s="31"/>
    </row>
    <row r="34" spans="1:22">
      <c r="A34" s="1" t="s">
        <v>55</v>
      </c>
      <c r="B34" s="29">
        <v>0</v>
      </c>
      <c r="C34" s="30">
        <v>0</v>
      </c>
      <c r="D34" s="30">
        <v>459.57347164517341</v>
      </c>
      <c r="E34" s="30">
        <v>0</v>
      </c>
      <c r="F34" s="30">
        <v>0</v>
      </c>
      <c r="G34" s="31">
        <f>SUM(NV_FINANCIAL)</f>
        <v>459.57347164517341</v>
      </c>
      <c r="H34" s="30"/>
      <c r="I34" s="30"/>
      <c r="J34" s="30"/>
      <c r="K34" s="30"/>
      <c r="L34" s="29"/>
      <c r="M34" s="30"/>
      <c r="N34" s="30"/>
      <c r="O34" s="30"/>
      <c r="P34" s="30"/>
      <c r="Q34" s="30"/>
      <c r="R34" s="30"/>
      <c r="S34" s="30"/>
      <c r="T34" s="30"/>
      <c r="U34" s="30"/>
      <c r="V34" s="31"/>
    </row>
    <row r="35" spans="1:22">
      <c r="A35" s="1" t="s">
        <v>56</v>
      </c>
      <c r="B35" s="29">
        <v>0</v>
      </c>
      <c r="C35" s="30">
        <v>0</v>
      </c>
      <c r="D35" s="30">
        <v>0</v>
      </c>
      <c r="E35" s="30">
        <v>0</v>
      </c>
      <c r="F35" s="30">
        <v>0</v>
      </c>
      <c r="G35" s="31">
        <f>SUM(NH_FINANCIAL)</f>
        <v>0</v>
      </c>
      <c r="H35" s="30"/>
      <c r="I35" s="30"/>
      <c r="J35" s="30"/>
      <c r="K35" s="30"/>
      <c r="L35" s="29"/>
      <c r="M35" s="30"/>
      <c r="N35" s="30"/>
      <c r="O35" s="30"/>
      <c r="P35" s="30"/>
      <c r="Q35" s="30"/>
      <c r="R35" s="30"/>
      <c r="S35" s="30"/>
      <c r="T35" s="30"/>
      <c r="U35" s="30"/>
      <c r="V35" s="31"/>
    </row>
    <row r="36" spans="1:22">
      <c r="A36" s="1" t="s">
        <v>57</v>
      </c>
      <c r="B36" s="29">
        <v>0</v>
      </c>
      <c r="C36" s="30">
        <v>0</v>
      </c>
      <c r="D36" s="30">
        <v>0</v>
      </c>
      <c r="E36" s="30">
        <v>0</v>
      </c>
      <c r="F36" s="30">
        <v>0</v>
      </c>
      <c r="G36" s="31">
        <f>SUM(NJ_FINANCIAL)</f>
        <v>0</v>
      </c>
      <c r="H36" s="30"/>
      <c r="I36" s="30"/>
      <c r="J36" s="30"/>
      <c r="K36" s="30"/>
      <c r="L36" s="29"/>
      <c r="M36" s="30"/>
      <c r="N36" s="30"/>
      <c r="O36" s="30"/>
      <c r="P36" s="30"/>
      <c r="Q36" s="30"/>
      <c r="R36" s="30"/>
      <c r="S36" s="30"/>
      <c r="T36" s="30"/>
      <c r="U36" s="30"/>
      <c r="V36" s="31"/>
    </row>
    <row r="37" spans="1:22">
      <c r="A37" s="1" t="s">
        <v>58</v>
      </c>
      <c r="B37" s="29">
        <v>0</v>
      </c>
      <c r="C37" s="30">
        <v>0</v>
      </c>
      <c r="D37" s="30">
        <v>2953.4748656609372</v>
      </c>
      <c r="E37" s="30">
        <v>0</v>
      </c>
      <c r="F37" s="30">
        <v>0</v>
      </c>
      <c r="G37" s="31">
        <f>SUM(NM_FINANCIAL)</f>
        <v>2953.4748656609372</v>
      </c>
      <c r="H37" s="30"/>
      <c r="I37" s="30"/>
      <c r="J37" s="30"/>
      <c r="K37" s="30"/>
      <c r="L37" s="29"/>
      <c r="M37" s="30"/>
      <c r="N37" s="30"/>
      <c r="O37" s="30"/>
      <c r="P37" s="30"/>
      <c r="Q37" s="30"/>
      <c r="R37" s="30"/>
      <c r="S37" s="30"/>
      <c r="T37" s="30"/>
      <c r="U37" s="30"/>
      <c r="V37" s="31"/>
    </row>
    <row r="38" spans="1:22">
      <c r="A38" s="1" t="s">
        <v>59</v>
      </c>
      <c r="B38" s="29">
        <v>0</v>
      </c>
      <c r="C38" s="30">
        <v>0</v>
      </c>
      <c r="D38" s="30">
        <v>0</v>
      </c>
      <c r="E38" s="30">
        <v>0</v>
      </c>
      <c r="F38" s="30">
        <v>0</v>
      </c>
      <c r="G38" s="31">
        <f>SUM(NY_FINANCIAL)</f>
        <v>0</v>
      </c>
      <c r="H38" s="30"/>
      <c r="I38" s="30"/>
      <c r="J38" s="30"/>
      <c r="K38" s="30"/>
      <c r="L38" s="29"/>
      <c r="M38" s="30"/>
      <c r="N38" s="30"/>
      <c r="O38" s="30"/>
      <c r="P38" s="30"/>
      <c r="Q38" s="30"/>
      <c r="R38" s="30"/>
      <c r="S38" s="30"/>
      <c r="T38" s="30"/>
      <c r="U38" s="30"/>
      <c r="V38" s="31"/>
    </row>
    <row r="39" spans="1:22">
      <c r="A39" s="1" t="s">
        <v>60</v>
      </c>
      <c r="B39" s="29">
        <v>0</v>
      </c>
      <c r="C39" s="30">
        <v>0</v>
      </c>
      <c r="D39" s="30">
        <v>0</v>
      </c>
      <c r="E39" s="30">
        <v>0</v>
      </c>
      <c r="F39" s="30">
        <v>0</v>
      </c>
      <c r="G39" s="31">
        <f>SUM(NC_FINANCIAL)</f>
        <v>0</v>
      </c>
      <c r="H39" s="30"/>
      <c r="I39" s="30"/>
      <c r="J39" s="30"/>
      <c r="K39" s="30"/>
      <c r="L39" s="29"/>
      <c r="M39" s="30"/>
      <c r="N39" s="30"/>
      <c r="O39" s="30"/>
      <c r="P39" s="30"/>
      <c r="Q39" s="30"/>
      <c r="R39" s="30"/>
      <c r="S39" s="30"/>
      <c r="T39" s="30"/>
      <c r="U39" s="30"/>
      <c r="V39" s="31"/>
    </row>
    <row r="40" spans="1:22">
      <c r="A40" s="1" t="s">
        <v>61</v>
      </c>
      <c r="B40" s="29">
        <v>0</v>
      </c>
      <c r="C40" s="30">
        <v>0</v>
      </c>
      <c r="D40" s="30">
        <v>322.06909646068561</v>
      </c>
      <c r="E40" s="30">
        <v>0</v>
      </c>
      <c r="F40" s="30">
        <v>0</v>
      </c>
      <c r="G40" s="31">
        <f>SUM(ND_FINANCIAL)</f>
        <v>322.06909646068561</v>
      </c>
      <c r="H40" s="30"/>
      <c r="I40" s="30"/>
      <c r="J40" s="30"/>
      <c r="K40" s="30"/>
      <c r="L40" s="29"/>
      <c r="M40" s="30"/>
      <c r="N40" s="30"/>
      <c r="O40" s="30"/>
      <c r="P40" s="30"/>
      <c r="Q40" s="30"/>
      <c r="R40" s="30"/>
      <c r="S40" s="30"/>
      <c r="T40" s="30"/>
      <c r="U40" s="30"/>
      <c r="V40" s="31"/>
    </row>
    <row r="41" spans="1:22">
      <c r="A41" s="1" t="s">
        <v>62</v>
      </c>
      <c r="B41" s="29">
        <v>0</v>
      </c>
      <c r="C41" s="30">
        <v>0</v>
      </c>
      <c r="D41" s="30">
        <v>1152.923480214944</v>
      </c>
      <c r="E41" s="30">
        <v>0</v>
      </c>
      <c r="F41" s="30">
        <v>0</v>
      </c>
      <c r="G41" s="31">
        <f>SUM(OH_FINANCIAL)</f>
        <v>1152.923480214944</v>
      </c>
      <c r="H41" s="30"/>
      <c r="I41" s="30"/>
      <c r="J41" s="30"/>
      <c r="K41" s="30"/>
      <c r="L41" s="29"/>
      <c r="M41" s="30"/>
      <c r="N41" s="30"/>
      <c r="O41" s="30"/>
      <c r="P41" s="30"/>
      <c r="Q41" s="30"/>
      <c r="R41" s="30"/>
      <c r="S41" s="30"/>
      <c r="T41" s="30"/>
      <c r="U41" s="30"/>
      <c r="V41" s="31"/>
    </row>
    <row r="42" spans="1:22">
      <c r="A42" s="1" t="s">
        <v>63</v>
      </c>
      <c r="B42" s="29">
        <v>0</v>
      </c>
      <c r="C42" s="30">
        <v>0</v>
      </c>
      <c r="D42" s="30">
        <v>995.64938710281422</v>
      </c>
      <c r="E42" s="30">
        <v>0</v>
      </c>
      <c r="F42" s="30">
        <v>0</v>
      </c>
      <c r="G42" s="31">
        <f>SUM(OK_FINANCIAL)</f>
        <v>995.64938710281422</v>
      </c>
      <c r="H42" s="30"/>
      <c r="I42" s="30"/>
      <c r="J42" s="30"/>
      <c r="K42" s="30"/>
      <c r="L42" s="29">
        <v>0</v>
      </c>
      <c r="M42" s="30">
        <v>0</v>
      </c>
      <c r="N42" s="30"/>
      <c r="O42" s="30">
        <v>0</v>
      </c>
      <c r="P42" s="30">
        <v>0</v>
      </c>
      <c r="Q42" s="30"/>
      <c r="R42" s="30">
        <v>0</v>
      </c>
      <c r="S42" s="30">
        <v>0</v>
      </c>
      <c r="T42" s="30"/>
      <c r="U42" s="30">
        <v>0</v>
      </c>
      <c r="V42" s="31">
        <v>0</v>
      </c>
    </row>
    <row r="43" spans="1:22">
      <c r="A43" s="1" t="s">
        <v>64</v>
      </c>
      <c r="B43" s="29">
        <v>0</v>
      </c>
      <c r="C43" s="30">
        <v>0</v>
      </c>
      <c r="D43" s="30">
        <v>1397.3195333602052</v>
      </c>
      <c r="E43" s="30">
        <v>0</v>
      </c>
      <c r="F43" s="30">
        <v>0</v>
      </c>
      <c r="G43" s="31">
        <f>SUM(OR_FINANCIAL)</f>
        <v>1397.3195333602052</v>
      </c>
      <c r="H43" s="30"/>
      <c r="I43" s="30"/>
      <c r="J43" s="30"/>
      <c r="K43" s="30"/>
      <c r="L43" s="29"/>
      <c r="M43" s="30"/>
      <c r="N43" s="30"/>
      <c r="O43" s="30"/>
      <c r="P43" s="30"/>
      <c r="Q43" s="30"/>
      <c r="R43" s="30"/>
      <c r="S43" s="30"/>
      <c r="T43" s="30"/>
      <c r="U43" s="30"/>
      <c r="V43" s="31"/>
    </row>
    <row r="44" spans="1:22">
      <c r="A44" s="1" t="s">
        <v>65</v>
      </c>
      <c r="B44" s="29">
        <v>0</v>
      </c>
      <c r="C44" s="30">
        <v>0</v>
      </c>
      <c r="D44" s="30">
        <v>0</v>
      </c>
      <c r="E44" s="30">
        <v>0</v>
      </c>
      <c r="F44" s="30">
        <v>0</v>
      </c>
      <c r="G44" s="31">
        <f>SUM(PA_FINANCIAL)</f>
        <v>0</v>
      </c>
      <c r="H44" s="30"/>
      <c r="I44" s="30"/>
      <c r="J44" s="30"/>
      <c r="K44" s="30"/>
      <c r="L44" s="29"/>
      <c r="M44" s="30"/>
      <c r="N44" s="30"/>
      <c r="O44" s="30"/>
      <c r="P44" s="30"/>
      <c r="Q44" s="30"/>
      <c r="R44" s="30"/>
      <c r="S44" s="30"/>
      <c r="T44" s="30"/>
      <c r="U44" s="30"/>
      <c r="V44" s="31"/>
    </row>
    <row r="45" spans="1:22">
      <c r="A45" s="1" t="s">
        <v>66</v>
      </c>
      <c r="B45" s="29">
        <v>0</v>
      </c>
      <c r="C45" s="30">
        <v>0</v>
      </c>
      <c r="D45" s="30">
        <v>0</v>
      </c>
      <c r="E45" s="30">
        <v>0</v>
      </c>
      <c r="F45" s="30">
        <v>0</v>
      </c>
      <c r="G45" s="31">
        <f>SUM(PR_FINANCIAL)</f>
        <v>0</v>
      </c>
      <c r="H45" s="30"/>
      <c r="I45" s="30"/>
      <c r="J45" s="30"/>
      <c r="K45" s="30"/>
      <c r="L45" s="29"/>
      <c r="M45" s="30"/>
      <c r="N45" s="30"/>
      <c r="O45" s="30"/>
      <c r="P45" s="30"/>
      <c r="Q45" s="30"/>
      <c r="R45" s="30"/>
      <c r="S45" s="30"/>
      <c r="T45" s="30"/>
      <c r="U45" s="30"/>
      <c r="V45" s="31"/>
    </row>
    <row r="46" spans="1:22">
      <c r="A46" s="1" t="s">
        <v>67</v>
      </c>
      <c r="B46" s="29">
        <v>0</v>
      </c>
      <c r="C46" s="30">
        <v>0</v>
      </c>
      <c r="D46" s="30">
        <v>0</v>
      </c>
      <c r="E46" s="30">
        <v>0</v>
      </c>
      <c r="F46" s="30">
        <v>0</v>
      </c>
      <c r="G46" s="31">
        <f>SUM(RI_FINANCIAL)</f>
        <v>0</v>
      </c>
      <c r="H46" s="30"/>
      <c r="I46" s="30"/>
      <c r="J46" s="30"/>
      <c r="K46" s="30"/>
      <c r="L46" s="29"/>
      <c r="M46" s="30"/>
      <c r="N46" s="30"/>
      <c r="O46" s="30"/>
      <c r="P46" s="30"/>
      <c r="Q46" s="30"/>
      <c r="R46" s="30"/>
      <c r="S46" s="30"/>
      <c r="T46" s="30"/>
      <c r="U46" s="30"/>
      <c r="V46" s="31"/>
    </row>
    <row r="47" spans="1:22">
      <c r="A47" s="1" t="s">
        <v>68</v>
      </c>
      <c r="B47" s="29">
        <v>0</v>
      </c>
      <c r="C47" s="30">
        <v>0</v>
      </c>
      <c r="D47" s="30">
        <v>841.84593554898856</v>
      </c>
      <c r="E47" s="30">
        <v>0</v>
      </c>
      <c r="F47" s="30">
        <v>0</v>
      </c>
      <c r="G47" s="31">
        <f>SUM(SC_FINANCIAL)</f>
        <v>841.84593554898856</v>
      </c>
      <c r="H47" s="30"/>
      <c r="I47" s="30"/>
      <c r="J47" s="30"/>
      <c r="K47" s="30"/>
      <c r="L47" s="29"/>
      <c r="M47" s="30"/>
      <c r="N47" s="30"/>
      <c r="O47" s="30"/>
      <c r="P47" s="30"/>
      <c r="Q47" s="30"/>
      <c r="R47" s="30"/>
      <c r="S47" s="30"/>
      <c r="T47" s="30"/>
      <c r="U47" s="30"/>
      <c r="V47" s="31"/>
    </row>
    <row r="48" spans="1:22">
      <c r="A48" s="1" t="s">
        <v>69</v>
      </c>
      <c r="B48" s="29">
        <v>0</v>
      </c>
      <c r="C48" s="30">
        <v>0</v>
      </c>
      <c r="D48" s="30">
        <v>0</v>
      </c>
      <c r="E48" s="30">
        <v>0</v>
      </c>
      <c r="F48" s="30">
        <v>0</v>
      </c>
      <c r="G48" s="31">
        <f>SUM(SD_FINANCIAL)</f>
        <v>0</v>
      </c>
      <c r="H48" s="30"/>
      <c r="I48" s="30"/>
      <c r="J48" s="30"/>
      <c r="K48" s="30"/>
      <c r="L48" s="29"/>
      <c r="M48" s="30"/>
      <c r="N48" s="30"/>
      <c r="O48" s="30"/>
      <c r="P48" s="30"/>
      <c r="Q48" s="30"/>
      <c r="R48" s="30"/>
      <c r="S48" s="30"/>
      <c r="T48" s="30"/>
      <c r="U48" s="30"/>
      <c r="V48" s="31"/>
    </row>
    <row r="49" spans="1:22">
      <c r="A49" s="1" t="s">
        <v>70</v>
      </c>
      <c r="B49" s="29">
        <v>0</v>
      </c>
      <c r="C49" s="30">
        <v>0</v>
      </c>
      <c r="D49" s="30">
        <v>1216.8904101110602</v>
      </c>
      <c r="E49" s="30">
        <v>0</v>
      </c>
      <c r="F49" s="30">
        <v>0</v>
      </c>
      <c r="G49" s="31">
        <f>SUM(TN_FINANCIAL)</f>
        <v>1216.8904101110602</v>
      </c>
      <c r="H49" s="30"/>
      <c r="I49" s="30"/>
      <c r="J49" s="30"/>
      <c r="K49" s="30"/>
      <c r="L49" s="29"/>
      <c r="M49" s="30"/>
      <c r="N49" s="30"/>
      <c r="O49" s="30"/>
      <c r="P49" s="30"/>
      <c r="Q49" s="30"/>
      <c r="R49" s="30"/>
      <c r="S49" s="30"/>
      <c r="T49" s="30"/>
      <c r="U49" s="30"/>
      <c r="V49" s="31"/>
    </row>
    <row r="50" spans="1:22">
      <c r="A50" s="1" t="s">
        <v>71</v>
      </c>
      <c r="B50" s="29">
        <v>0</v>
      </c>
      <c r="C50" s="30">
        <v>0</v>
      </c>
      <c r="D50" s="30">
        <v>6143.9502110702451</v>
      </c>
      <c r="E50" s="30">
        <v>0</v>
      </c>
      <c r="F50" s="30">
        <v>0</v>
      </c>
      <c r="G50" s="31">
        <f>SUM(TX_FINANCIAL)</f>
        <v>6143.9502110702451</v>
      </c>
      <c r="H50" s="30"/>
      <c r="I50" s="30"/>
      <c r="J50" s="30"/>
      <c r="K50" s="30"/>
      <c r="L50" s="29">
        <v>0</v>
      </c>
      <c r="M50" s="30">
        <v>500000</v>
      </c>
      <c r="N50" s="30"/>
      <c r="O50" s="30">
        <v>0</v>
      </c>
      <c r="P50" s="30">
        <v>0</v>
      </c>
      <c r="Q50" s="30"/>
      <c r="R50" s="30">
        <v>67009</v>
      </c>
      <c r="S50" s="30">
        <v>116294</v>
      </c>
      <c r="T50" s="30"/>
      <c r="U50" s="30">
        <v>0</v>
      </c>
      <c r="V50" s="31">
        <v>0</v>
      </c>
    </row>
    <row r="51" spans="1:22">
      <c r="A51" s="1" t="s">
        <v>72</v>
      </c>
      <c r="B51" s="29">
        <v>0</v>
      </c>
      <c r="C51" s="30">
        <v>0</v>
      </c>
      <c r="D51" s="30">
        <v>0</v>
      </c>
      <c r="E51" s="30">
        <v>0</v>
      </c>
      <c r="F51" s="30">
        <v>0</v>
      </c>
      <c r="G51" s="31">
        <f>SUM(UT_FINANCIAL)</f>
        <v>0</v>
      </c>
      <c r="H51" s="30"/>
      <c r="I51" s="30"/>
      <c r="J51" s="30"/>
      <c r="K51" s="30"/>
      <c r="L51" s="29"/>
      <c r="M51" s="30"/>
      <c r="N51" s="30"/>
      <c r="O51" s="30"/>
      <c r="P51" s="30"/>
      <c r="Q51" s="30"/>
      <c r="R51" s="30"/>
      <c r="S51" s="30"/>
      <c r="T51" s="30"/>
      <c r="U51" s="30"/>
      <c r="V51" s="31"/>
    </row>
    <row r="52" spans="1:22">
      <c r="A52" s="1" t="s">
        <v>73</v>
      </c>
      <c r="B52" s="29">
        <v>0</v>
      </c>
      <c r="C52" s="30">
        <v>0</v>
      </c>
      <c r="D52" s="30">
        <v>0</v>
      </c>
      <c r="E52" s="30">
        <v>0</v>
      </c>
      <c r="F52" s="30">
        <v>0</v>
      </c>
      <c r="G52" s="31">
        <f>SUM(VT_FINANCIAL)</f>
        <v>0</v>
      </c>
      <c r="H52" s="30"/>
      <c r="I52" s="30"/>
      <c r="J52" s="30"/>
      <c r="K52" s="30"/>
      <c r="L52" s="29"/>
      <c r="M52" s="30"/>
      <c r="N52" s="30"/>
      <c r="O52" s="30"/>
      <c r="P52" s="30"/>
      <c r="Q52" s="30"/>
      <c r="R52" s="30"/>
      <c r="S52" s="30"/>
      <c r="T52" s="30"/>
      <c r="U52" s="30"/>
      <c r="V52" s="31"/>
    </row>
    <row r="53" spans="1:22">
      <c r="A53" s="1" t="s">
        <v>74</v>
      </c>
      <c r="B53" s="29">
        <v>0</v>
      </c>
      <c r="C53" s="30">
        <v>0</v>
      </c>
      <c r="D53" s="30">
        <v>0</v>
      </c>
      <c r="E53" s="30">
        <v>0</v>
      </c>
      <c r="F53" s="30">
        <v>0</v>
      </c>
      <c r="G53" s="31">
        <f>SUM(VA_FINANCIAL)</f>
        <v>0</v>
      </c>
      <c r="H53" s="30"/>
      <c r="I53" s="30"/>
      <c r="J53" s="30"/>
      <c r="K53" s="30"/>
      <c r="L53" s="29">
        <v>0</v>
      </c>
      <c r="M53" s="30">
        <v>0</v>
      </c>
      <c r="N53" s="30"/>
      <c r="O53" s="30">
        <v>0</v>
      </c>
      <c r="P53" s="30">
        <v>0</v>
      </c>
      <c r="Q53" s="30"/>
      <c r="R53" s="30">
        <v>0</v>
      </c>
      <c r="S53" s="30">
        <v>0</v>
      </c>
      <c r="T53" s="30"/>
      <c r="U53" s="30">
        <v>0</v>
      </c>
      <c r="V53" s="31">
        <v>0</v>
      </c>
    </row>
    <row r="54" spans="1:22">
      <c r="A54" s="1" t="s">
        <v>75</v>
      </c>
      <c r="B54" s="29">
        <v>0</v>
      </c>
      <c r="C54" s="30">
        <v>0</v>
      </c>
      <c r="D54" s="30">
        <v>0</v>
      </c>
      <c r="E54" s="30">
        <v>0</v>
      </c>
      <c r="F54" s="30">
        <v>0</v>
      </c>
      <c r="G54" s="31">
        <f>SUM(WA_FINANCIAL)</f>
        <v>0</v>
      </c>
      <c r="H54" s="30"/>
      <c r="I54" s="30"/>
      <c r="J54" s="30"/>
      <c r="K54" s="30"/>
      <c r="L54" s="29"/>
      <c r="M54" s="30"/>
      <c r="N54" s="30"/>
      <c r="O54" s="30"/>
      <c r="P54" s="30"/>
      <c r="Q54" s="30"/>
      <c r="R54" s="30"/>
      <c r="S54" s="30"/>
      <c r="T54" s="30"/>
      <c r="U54" s="30"/>
      <c r="V54" s="31"/>
    </row>
    <row r="55" spans="1:22">
      <c r="A55" s="1" t="s">
        <v>76</v>
      </c>
      <c r="B55" s="29">
        <v>0</v>
      </c>
      <c r="C55" s="30">
        <v>0</v>
      </c>
      <c r="D55" s="30">
        <v>0</v>
      </c>
      <c r="E55" s="30">
        <v>0</v>
      </c>
      <c r="F55" s="30">
        <v>0</v>
      </c>
      <c r="G55" s="31">
        <f>SUM(WV_FINANCIAL)</f>
        <v>0</v>
      </c>
      <c r="H55" s="30"/>
      <c r="I55" s="30"/>
      <c r="J55" s="30"/>
      <c r="K55" s="30"/>
      <c r="L55" s="29"/>
      <c r="M55" s="30"/>
      <c r="N55" s="30"/>
      <c r="O55" s="30"/>
      <c r="P55" s="30"/>
      <c r="Q55" s="30"/>
      <c r="R55" s="30"/>
      <c r="S55" s="30"/>
      <c r="T55" s="30"/>
      <c r="U55" s="30"/>
      <c r="V55" s="31"/>
    </row>
    <row r="56" spans="1:22">
      <c r="A56" s="1" t="s">
        <v>77</v>
      </c>
      <c r="B56" s="29">
        <v>0</v>
      </c>
      <c r="C56" s="30">
        <v>0</v>
      </c>
      <c r="D56" s="30">
        <v>0</v>
      </c>
      <c r="E56" s="30">
        <v>0</v>
      </c>
      <c r="F56" s="30">
        <v>0</v>
      </c>
      <c r="G56" s="31">
        <f>SUM(WI_FINANCIAL)</f>
        <v>0</v>
      </c>
      <c r="H56" s="30"/>
      <c r="I56" s="30"/>
      <c r="J56" s="30"/>
      <c r="K56" s="30"/>
      <c r="L56" s="29"/>
      <c r="M56" s="30"/>
      <c r="N56" s="30"/>
      <c r="O56" s="30"/>
      <c r="P56" s="30"/>
      <c r="Q56" s="30"/>
      <c r="R56" s="30"/>
      <c r="S56" s="30"/>
      <c r="T56" s="30"/>
      <c r="U56" s="30"/>
      <c r="V56" s="31"/>
    </row>
    <row r="57" spans="1:22">
      <c r="A57" s="1" t="s">
        <v>78</v>
      </c>
      <c r="B57" s="29">
        <v>0</v>
      </c>
      <c r="C57" s="30">
        <v>0</v>
      </c>
      <c r="D57" s="30">
        <v>615.68927620365594</v>
      </c>
      <c r="E57" s="30">
        <v>0</v>
      </c>
      <c r="F57" s="30">
        <v>0</v>
      </c>
      <c r="G57" s="31">
        <f>SUM(WY_FINANCIAL)</f>
        <v>615.68927620365594</v>
      </c>
      <c r="H57" s="30"/>
      <c r="I57" s="30"/>
      <c r="J57" s="30"/>
      <c r="K57" s="30"/>
      <c r="L57" s="29"/>
      <c r="M57" s="30"/>
      <c r="N57" s="30"/>
      <c r="O57" s="30"/>
      <c r="P57" s="30"/>
      <c r="Q57" s="30"/>
      <c r="R57" s="30"/>
      <c r="S57" s="30"/>
      <c r="T57" s="30"/>
      <c r="U57" s="30"/>
      <c r="V57" s="31"/>
    </row>
    <row r="58" spans="1:22">
      <c r="A58" s="1" t="s">
        <v>79</v>
      </c>
      <c r="B58" s="29">
        <v>0</v>
      </c>
      <c r="C58" s="30">
        <v>0</v>
      </c>
      <c r="D58" s="30">
        <v>0</v>
      </c>
      <c r="E58" s="30">
        <v>0</v>
      </c>
      <c r="F58" s="30">
        <v>0</v>
      </c>
      <c r="G58" s="31">
        <f>SUM(OT_FINANCIAL)</f>
        <v>0</v>
      </c>
      <c r="H58" s="30"/>
      <c r="I58" s="30"/>
      <c r="J58" s="30"/>
      <c r="K58" s="30"/>
      <c r="L58" s="29"/>
      <c r="M58" s="30"/>
      <c r="N58" s="30"/>
      <c r="O58" s="30"/>
      <c r="P58" s="30"/>
      <c r="Q58" s="30"/>
      <c r="R58" s="30"/>
      <c r="S58" s="30"/>
      <c r="T58" s="30"/>
      <c r="U58" s="30"/>
      <c r="V58" s="31"/>
    </row>
    <row r="59" spans="1:22">
      <c r="B59" s="29"/>
      <c r="C59" s="30"/>
      <c r="D59" s="30"/>
      <c r="E59" s="30"/>
      <c r="F59" s="30"/>
      <c r="G59" s="31"/>
      <c r="H59" s="30"/>
      <c r="I59" s="30"/>
      <c r="J59" s="30"/>
      <c r="K59" s="30"/>
      <c r="L59" s="29"/>
      <c r="M59" s="30"/>
      <c r="N59" s="30"/>
      <c r="O59" s="30"/>
      <c r="P59" s="30"/>
      <c r="Q59" s="30"/>
      <c r="R59" s="30"/>
      <c r="S59" s="30"/>
      <c r="T59" s="30"/>
      <c r="U59" s="30"/>
      <c r="V59" s="31"/>
    </row>
    <row r="60" spans="1:22">
      <c r="A60" s="1" t="s">
        <v>8</v>
      </c>
      <c r="B60" s="29">
        <f>SUM(LIFE)</f>
        <v>0</v>
      </c>
      <c r="C60" s="30">
        <f>SUM(ALLOCATED)</f>
        <v>0</v>
      </c>
      <c r="D60" s="30">
        <f>SUM(HEALTH)</f>
        <v>226006.55000000005</v>
      </c>
      <c r="E60" s="30">
        <f>SUM(UNALLOCATED)</f>
        <v>0</v>
      </c>
      <c r="F60" s="30">
        <f>SUM(LTC)</f>
        <v>0</v>
      </c>
      <c r="G60" s="31">
        <f>SUM(ALL_BLOCKS)</f>
        <v>226006.55000000005</v>
      </c>
      <c r="H60" s="30"/>
      <c r="I60" s="30"/>
      <c r="J60" s="30"/>
      <c r="K60" s="30"/>
      <c r="L60" s="29">
        <f>SUM(LIFE_CALLED)</f>
        <v>8231</v>
      </c>
      <c r="M60" s="30">
        <f>SUM(LIFE_REFUNDED)</f>
        <v>500000</v>
      </c>
      <c r="N60" s="30"/>
      <c r="O60" s="30">
        <f>SUM(ALLOC_CALLED)</f>
        <v>0</v>
      </c>
      <c r="P60" s="30">
        <f>SUM(ALLOC_REFUNDED)</f>
        <v>1700000</v>
      </c>
      <c r="Q60" s="30"/>
      <c r="R60" s="30">
        <f>SUM(HEALTH_CALLED)</f>
        <v>192196</v>
      </c>
      <c r="S60" s="30">
        <f>SUM(HEALTH_REFUNDED)</f>
        <v>116294</v>
      </c>
      <c r="T60" s="30"/>
      <c r="U60" s="30">
        <f>SUM(UNALLOC_CALLED)</f>
        <v>0</v>
      </c>
      <c r="V60" s="31">
        <f>SUM(UNALLOC_REFUNDED)</f>
        <v>0</v>
      </c>
    </row>
    <row r="61" spans="1:22" ht="5.0999999999999996" customHeight="1">
      <c r="B61" s="8"/>
      <c r="G61" s="11"/>
      <c r="L61" s="8"/>
      <c r="V61" s="11"/>
    </row>
    <row r="62" spans="1:22">
      <c r="B62" s="8"/>
      <c r="G62" s="11"/>
      <c r="L62" s="122" t="s">
        <v>80</v>
      </c>
      <c r="M62" s="123"/>
      <c r="N62" s="123"/>
      <c r="O62" s="123"/>
      <c r="P62" s="123"/>
      <c r="Q62" s="123"/>
      <c r="R62" s="123"/>
      <c r="S62" s="123"/>
      <c r="T62" s="123"/>
      <c r="U62" s="123"/>
      <c r="V62" s="124"/>
    </row>
    <row r="63" spans="1:22">
      <c r="B63" s="8"/>
      <c r="G63" s="11"/>
      <c r="L63" s="125"/>
      <c r="M63" s="123"/>
      <c r="N63" s="123"/>
      <c r="O63" s="123"/>
      <c r="P63" s="123"/>
      <c r="Q63" s="123"/>
      <c r="R63" s="123"/>
      <c r="S63" s="123"/>
      <c r="T63" s="123"/>
      <c r="U63" s="123"/>
      <c r="V63" s="124"/>
    </row>
    <row r="64" spans="1:22">
      <c r="B64" s="10"/>
      <c r="C64" s="7"/>
      <c r="D64" s="7"/>
      <c r="E64" s="7"/>
      <c r="F64" s="7"/>
      <c r="G64" s="13"/>
      <c r="L64" s="126"/>
      <c r="M64" s="127"/>
      <c r="N64" s="127"/>
      <c r="O64" s="127"/>
      <c r="P64" s="127"/>
      <c r="Q64" s="127"/>
      <c r="R64" s="127"/>
      <c r="S64" s="127"/>
      <c r="T64" s="127"/>
      <c r="U64" s="127"/>
      <c r="V64" s="128"/>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A1:V64"/>
  <sheetViews>
    <sheetView zoomScale="75" workbookViewId="0">
      <selection sqref="A1:XFD1048576"/>
    </sheetView>
  </sheetViews>
  <sheetFormatPr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129" t="s">
        <v>117</v>
      </c>
      <c r="B1" s="123"/>
      <c r="C1" s="123"/>
      <c r="D1" s="123"/>
      <c r="E1" s="123"/>
      <c r="F1" s="123"/>
      <c r="G1" s="123"/>
    </row>
    <row r="3" spans="1:22">
      <c r="B3" s="130" t="s">
        <v>1</v>
      </c>
      <c r="C3" s="131"/>
      <c r="D3" s="131"/>
      <c r="E3" s="131"/>
      <c r="F3" s="131"/>
      <c r="G3" s="132"/>
      <c r="L3" s="133" t="s">
        <v>2</v>
      </c>
      <c r="M3" s="134"/>
      <c r="N3" s="134"/>
      <c r="O3" s="134"/>
      <c r="P3" s="134"/>
      <c r="Q3" s="134"/>
      <c r="R3" s="134"/>
      <c r="S3" s="134"/>
      <c r="T3" s="134"/>
      <c r="U3" s="134"/>
      <c r="V3" s="135"/>
    </row>
    <row r="4" spans="1:22">
      <c r="B4" s="8"/>
      <c r="G4" s="11"/>
      <c r="L4" s="136" t="s">
        <v>3</v>
      </c>
      <c r="M4" s="137"/>
      <c r="N4" s="4"/>
      <c r="O4" s="138" t="s">
        <v>4</v>
      </c>
      <c r="P4" s="137"/>
      <c r="Q4" s="4"/>
      <c r="R4" s="138" t="s">
        <v>5</v>
      </c>
      <c r="S4" s="137"/>
      <c r="T4" s="4"/>
      <c r="U4" s="138" t="s">
        <v>6</v>
      </c>
      <c r="V4" s="139"/>
    </row>
    <row r="5" spans="1:22" ht="60" customHeight="1">
      <c r="B5" s="9" t="s">
        <v>3</v>
      </c>
      <c r="C5" s="5" t="s">
        <v>4</v>
      </c>
      <c r="D5" s="5" t="s">
        <v>5</v>
      </c>
      <c r="E5" s="5" t="s">
        <v>6</v>
      </c>
      <c r="F5" s="5" t="s">
        <v>7</v>
      </c>
      <c r="G5" s="12" t="s">
        <v>8</v>
      </c>
      <c r="L5" s="15" t="s">
        <v>9</v>
      </c>
      <c r="M5" s="14" t="s">
        <v>10</v>
      </c>
      <c r="N5" s="14"/>
      <c r="O5" s="14" t="s">
        <v>9</v>
      </c>
      <c r="P5" s="14" t="s">
        <v>10</v>
      </c>
      <c r="Q5" s="14"/>
      <c r="R5" s="14" t="s">
        <v>9</v>
      </c>
      <c r="S5" s="14" t="s">
        <v>10</v>
      </c>
      <c r="T5" s="14"/>
      <c r="U5" s="14" t="s">
        <v>9</v>
      </c>
      <c r="V5" s="16" t="s">
        <v>10</v>
      </c>
    </row>
    <row r="6" spans="1:22">
      <c r="A6" s="1" t="s">
        <v>11</v>
      </c>
      <c r="B6" s="29">
        <v>15122.43019416777</v>
      </c>
      <c r="C6" s="30">
        <v>131225.53247564612</v>
      </c>
      <c r="D6" s="30">
        <v>0</v>
      </c>
      <c r="E6" s="30">
        <v>0</v>
      </c>
      <c r="F6" s="30">
        <v>0</v>
      </c>
      <c r="G6" s="31">
        <f>SUM(AL_FINANCIAL)</f>
        <v>146347.96266981389</v>
      </c>
      <c r="H6" s="30"/>
      <c r="I6" s="30"/>
      <c r="J6" s="30"/>
      <c r="K6" s="30"/>
      <c r="L6" s="29"/>
      <c r="M6" s="30"/>
      <c r="N6" s="30"/>
      <c r="O6" s="30"/>
      <c r="P6" s="30"/>
      <c r="Q6" s="30"/>
      <c r="R6" s="30"/>
      <c r="S6" s="30"/>
      <c r="T6" s="30"/>
      <c r="U6" s="30"/>
      <c r="V6" s="31"/>
    </row>
    <row r="7" spans="1:22">
      <c r="A7" s="1" t="s">
        <v>12</v>
      </c>
      <c r="B7" s="29">
        <v>0</v>
      </c>
      <c r="C7" s="30">
        <v>0</v>
      </c>
      <c r="D7" s="30">
        <v>0</v>
      </c>
      <c r="E7" s="30">
        <v>0</v>
      </c>
      <c r="F7" s="30">
        <v>0</v>
      </c>
      <c r="G7" s="31">
        <f>SUM(AK_FINANCIAL)</f>
        <v>0</v>
      </c>
      <c r="H7" s="30"/>
      <c r="I7" s="32"/>
      <c r="J7" s="33"/>
      <c r="K7" s="30"/>
      <c r="L7" s="29"/>
      <c r="M7" s="30"/>
      <c r="N7" s="30"/>
      <c r="O7" s="30"/>
      <c r="P7" s="30"/>
      <c r="Q7" s="30"/>
      <c r="R7" s="30"/>
      <c r="S7" s="30"/>
      <c r="T7" s="30"/>
      <c r="U7" s="30"/>
      <c r="V7" s="31"/>
    </row>
    <row r="8" spans="1:22">
      <c r="A8" s="1" t="s">
        <v>13</v>
      </c>
      <c r="B8" s="29">
        <v>9632.9764689473668</v>
      </c>
      <c r="C8" s="30">
        <v>91330.334476094926</v>
      </c>
      <c r="D8" s="30">
        <v>0</v>
      </c>
      <c r="E8" s="30">
        <v>0</v>
      </c>
      <c r="F8" s="30">
        <v>0</v>
      </c>
      <c r="G8" s="31">
        <f>SUM(AZ_FINANCIAL)</f>
        <v>100963.31094504229</v>
      </c>
      <c r="H8" s="30"/>
      <c r="I8" s="34" t="s">
        <v>14</v>
      </c>
      <c r="J8" s="35"/>
      <c r="K8" s="30"/>
      <c r="L8" s="29"/>
      <c r="M8" s="30"/>
      <c r="N8" s="30"/>
      <c r="O8" s="30"/>
      <c r="P8" s="30"/>
      <c r="Q8" s="30"/>
      <c r="R8" s="30"/>
      <c r="S8" s="30"/>
      <c r="T8" s="30"/>
      <c r="U8" s="30"/>
      <c r="V8" s="31"/>
    </row>
    <row r="9" spans="1:22">
      <c r="A9" s="1" t="s">
        <v>15</v>
      </c>
      <c r="B9" s="29">
        <v>2748.6536316094425</v>
      </c>
      <c r="C9" s="30">
        <v>23560.152739755693</v>
      </c>
      <c r="D9" s="30">
        <v>0</v>
      </c>
      <c r="E9" s="30">
        <v>0</v>
      </c>
      <c r="F9" s="30">
        <v>0</v>
      </c>
      <c r="G9" s="31">
        <f>SUM(AR_FINANCIAL)</f>
        <v>26308.806371365135</v>
      </c>
      <c r="H9" s="30"/>
      <c r="I9" s="34"/>
      <c r="J9" s="35"/>
      <c r="K9" s="30"/>
      <c r="L9" s="29">
        <v>1037480</v>
      </c>
      <c r="M9" s="30">
        <v>0</v>
      </c>
      <c r="N9" s="30"/>
      <c r="O9" s="30">
        <v>0</v>
      </c>
      <c r="P9" s="30">
        <v>0</v>
      </c>
      <c r="Q9" s="30"/>
      <c r="R9" s="30">
        <v>0</v>
      </c>
      <c r="S9" s="30">
        <v>0</v>
      </c>
      <c r="T9" s="30"/>
      <c r="U9" s="30">
        <v>0</v>
      </c>
      <c r="V9" s="31">
        <v>0</v>
      </c>
    </row>
    <row r="10" spans="1:22">
      <c r="A10" s="1" t="s">
        <v>16</v>
      </c>
      <c r="B10" s="29">
        <v>33148.033605579112</v>
      </c>
      <c r="C10" s="30">
        <v>415302.83850922436</v>
      </c>
      <c r="D10" s="30">
        <v>0</v>
      </c>
      <c r="E10" s="30">
        <v>0</v>
      </c>
      <c r="F10" s="30">
        <v>0</v>
      </c>
      <c r="G10" s="31">
        <f>SUM(CA_FINANCIAL)</f>
        <v>448450.87211480347</v>
      </c>
      <c r="H10" s="30"/>
      <c r="I10" s="34" t="s">
        <v>17</v>
      </c>
      <c r="J10" s="35">
        <v>83300829</v>
      </c>
      <c r="K10" s="30"/>
      <c r="L10" s="29">
        <v>712800</v>
      </c>
      <c r="M10" s="30">
        <v>0</v>
      </c>
      <c r="N10" s="30"/>
      <c r="O10" s="30">
        <v>5287200</v>
      </c>
      <c r="P10" s="30">
        <v>0</v>
      </c>
      <c r="Q10" s="30"/>
      <c r="R10" s="30">
        <v>0</v>
      </c>
      <c r="S10" s="30">
        <v>0</v>
      </c>
      <c r="T10" s="30"/>
      <c r="U10" s="30">
        <v>0</v>
      </c>
      <c r="V10" s="31">
        <v>0</v>
      </c>
    </row>
    <row r="11" spans="1:22">
      <c r="A11" s="1" t="s">
        <v>18</v>
      </c>
      <c r="B11" s="29">
        <v>4296.2528817224811</v>
      </c>
      <c r="C11" s="30">
        <v>52492.303077477263</v>
      </c>
      <c r="D11" s="30">
        <v>0</v>
      </c>
      <c r="E11" s="30">
        <v>0</v>
      </c>
      <c r="F11" s="30">
        <v>0</v>
      </c>
      <c r="G11" s="31">
        <f>SUM(CO_FINANCIAL)</f>
        <v>56788.555959199744</v>
      </c>
      <c r="H11" s="30"/>
      <c r="I11" s="34"/>
      <c r="J11" s="35"/>
      <c r="K11" s="30"/>
      <c r="L11" s="29">
        <v>623455</v>
      </c>
      <c r="M11" s="30">
        <v>0</v>
      </c>
      <c r="N11" s="30"/>
      <c r="O11" s="30">
        <v>935184</v>
      </c>
      <c r="P11" s="30">
        <v>0</v>
      </c>
      <c r="Q11" s="30"/>
      <c r="R11" s="30">
        <v>0</v>
      </c>
      <c r="S11" s="30">
        <v>400000</v>
      </c>
      <c r="T11" s="30"/>
      <c r="U11" s="30">
        <v>0</v>
      </c>
      <c r="V11" s="31">
        <v>0</v>
      </c>
    </row>
    <row r="12" spans="1:22">
      <c r="A12" s="1" t="s">
        <v>19</v>
      </c>
      <c r="B12" s="29">
        <v>0</v>
      </c>
      <c r="C12" s="30">
        <v>0</v>
      </c>
      <c r="D12" s="30">
        <v>0</v>
      </c>
      <c r="E12" s="30">
        <v>0</v>
      </c>
      <c r="F12" s="30">
        <v>0</v>
      </c>
      <c r="G12" s="31">
        <f>SUM(CT_FINANCIAL)</f>
        <v>0</v>
      </c>
      <c r="H12" s="30"/>
      <c r="I12" s="34" t="s">
        <v>20</v>
      </c>
      <c r="J12" s="35"/>
      <c r="K12" s="30"/>
      <c r="L12" s="29"/>
      <c r="M12" s="30"/>
      <c r="N12" s="30"/>
      <c r="O12" s="30"/>
      <c r="P12" s="30"/>
      <c r="Q12" s="30"/>
      <c r="R12" s="30"/>
      <c r="S12" s="30"/>
      <c r="T12" s="30"/>
      <c r="U12" s="30"/>
      <c r="V12" s="31"/>
    </row>
    <row r="13" spans="1:22">
      <c r="A13" s="1" t="s">
        <v>21</v>
      </c>
      <c r="B13" s="29">
        <v>1794.7190031290229</v>
      </c>
      <c r="C13" s="30">
        <v>4250.4237063836626</v>
      </c>
      <c r="D13" s="30">
        <v>0</v>
      </c>
      <c r="E13" s="30">
        <v>0</v>
      </c>
      <c r="F13" s="30">
        <v>0</v>
      </c>
      <c r="G13" s="31">
        <f>SUM(DE_FINANCIAL)</f>
        <v>6045.1427095126855</v>
      </c>
      <c r="H13" s="30"/>
      <c r="I13" s="34" t="s">
        <v>22</v>
      </c>
      <c r="J13" s="35">
        <v>140795</v>
      </c>
      <c r="K13" s="30"/>
      <c r="L13" s="29">
        <v>45000</v>
      </c>
      <c r="M13" s="30">
        <v>0</v>
      </c>
      <c r="N13" s="30"/>
      <c r="O13" s="30">
        <v>55000</v>
      </c>
      <c r="P13" s="30">
        <v>0</v>
      </c>
      <c r="Q13" s="30"/>
      <c r="R13" s="30">
        <v>0</v>
      </c>
      <c r="S13" s="30">
        <v>0</v>
      </c>
      <c r="T13" s="30"/>
      <c r="U13" s="30">
        <v>0</v>
      </c>
      <c r="V13" s="31">
        <v>0</v>
      </c>
    </row>
    <row r="14" spans="1:22">
      <c r="A14" s="1" t="s">
        <v>23</v>
      </c>
      <c r="B14" s="29">
        <v>5462.1630946412261</v>
      </c>
      <c r="C14" s="30">
        <v>45705.773293073755</v>
      </c>
      <c r="D14" s="30">
        <v>0</v>
      </c>
      <c r="E14" s="30">
        <v>0</v>
      </c>
      <c r="F14" s="30">
        <v>0</v>
      </c>
      <c r="G14" s="31">
        <f>SUM(DC_FINANCIAL)</f>
        <v>51167.936387714981</v>
      </c>
      <c r="H14" s="30"/>
      <c r="I14" s="34" t="s">
        <v>24</v>
      </c>
      <c r="J14" s="35">
        <v>4391618</v>
      </c>
      <c r="K14" s="30"/>
      <c r="L14" s="29">
        <v>121500</v>
      </c>
      <c r="M14" s="30">
        <v>74219</v>
      </c>
      <c r="N14" s="30"/>
      <c r="O14" s="30">
        <v>536500</v>
      </c>
      <c r="P14" s="30">
        <v>397781</v>
      </c>
      <c r="Q14" s="30"/>
      <c r="R14" s="30">
        <v>0</v>
      </c>
      <c r="S14" s="30">
        <v>0</v>
      </c>
      <c r="T14" s="30"/>
      <c r="U14" s="30">
        <v>0</v>
      </c>
      <c r="V14" s="31">
        <v>0</v>
      </c>
    </row>
    <row r="15" spans="1:22">
      <c r="A15" s="1" t="s">
        <v>25</v>
      </c>
      <c r="B15" s="29">
        <v>35961.720566290198</v>
      </c>
      <c r="C15" s="30">
        <v>375262.1525270408</v>
      </c>
      <c r="D15" s="30">
        <v>0</v>
      </c>
      <c r="E15" s="30">
        <v>0</v>
      </c>
      <c r="F15" s="30">
        <v>0</v>
      </c>
      <c r="G15" s="31">
        <f>SUM(FL_FINANCIAL)</f>
        <v>411223.873093331</v>
      </c>
      <c r="H15" s="30"/>
      <c r="I15" s="34" t="s">
        <v>26</v>
      </c>
      <c r="J15" s="35">
        <v>2313512.730296365</v>
      </c>
      <c r="K15" s="30"/>
      <c r="L15" s="29"/>
      <c r="M15" s="30"/>
      <c r="N15" s="30"/>
      <c r="O15" s="30"/>
      <c r="P15" s="30"/>
      <c r="Q15" s="30"/>
      <c r="R15" s="30"/>
      <c r="S15" s="30"/>
      <c r="T15" s="30"/>
      <c r="U15" s="30"/>
      <c r="V15" s="31"/>
    </row>
    <row r="16" spans="1:22">
      <c r="A16" s="1" t="s">
        <v>27</v>
      </c>
      <c r="B16" s="29">
        <v>36487.861232223455</v>
      </c>
      <c r="C16" s="30">
        <v>294228.3362161098</v>
      </c>
      <c r="D16" s="30">
        <v>0</v>
      </c>
      <c r="E16" s="30">
        <v>0</v>
      </c>
      <c r="F16" s="30">
        <v>0</v>
      </c>
      <c r="G16" s="31">
        <f>SUM(GA_FINANCIAL)</f>
        <v>330716.19744833326</v>
      </c>
      <c r="H16" s="30"/>
      <c r="I16" s="34" t="s">
        <v>28</v>
      </c>
      <c r="J16" s="35">
        <v>0</v>
      </c>
      <c r="K16" s="30"/>
      <c r="L16" s="29"/>
      <c r="M16" s="30"/>
      <c r="N16" s="30"/>
      <c r="O16" s="30"/>
      <c r="P16" s="30"/>
      <c r="Q16" s="30"/>
      <c r="R16" s="30"/>
      <c r="S16" s="30"/>
      <c r="T16" s="30"/>
      <c r="U16" s="30"/>
      <c r="V16" s="31"/>
    </row>
    <row r="17" spans="1:22">
      <c r="A17" s="1" t="s">
        <v>29</v>
      </c>
      <c r="B17" s="29">
        <v>5389.0295755017578</v>
      </c>
      <c r="C17" s="30">
        <v>53924.998065498308</v>
      </c>
      <c r="D17" s="30">
        <v>0</v>
      </c>
      <c r="E17" s="30">
        <v>0</v>
      </c>
      <c r="F17" s="30">
        <v>0</v>
      </c>
      <c r="G17" s="31">
        <f>SUM(HI_FINANCIAL)</f>
        <v>59314.027641000066</v>
      </c>
      <c r="H17" s="30"/>
      <c r="I17" s="34"/>
      <c r="J17" s="35"/>
      <c r="K17" s="30"/>
      <c r="L17" s="29"/>
      <c r="M17" s="30"/>
      <c r="N17" s="30"/>
      <c r="O17" s="30"/>
      <c r="P17" s="30"/>
      <c r="Q17" s="30"/>
      <c r="R17" s="30"/>
      <c r="S17" s="30"/>
      <c r="T17" s="30"/>
      <c r="U17" s="30"/>
      <c r="V17" s="31"/>
    </row>
    <row r="18" spans="1:22">
      <c r="A18" s="1" t="s">
        <v>30</v>
      </c>
      <c r="B18" s="29">
        <v>0</v>
      </c>
      <c r="C18" s="30">
        <v>0</v>
      </c>
      <c r="D18" s="30">
        <v>0</v>
      </c>
      <c r="E18" s="30">
        <v>0</v>
      </c>
      <c r="F18" s="30">
        <v>0</v>
      </c>
      <c r="G18" s="31">
        <f>SUM(ID_FINANCIAL)</f>
        <v>0</v>
      </c>
      <c r="H18" s="30"/>
      <c r="I18" s="34" t="s">
        <v>31</v>
      </c>
      <c r="J18" s="35"/>
      <c r="K18" s="30"/>
      <c r="L18" s="29"/>
      <c r="M18" s="30"/>
      <c r="N18" s="30"/>
      <c r="O18" s="30"/>
      <c r="P18" s="30"/>
      <c r="Q18" s="30"/>
      <c r="R18" s="30"/>
      <c r="S18" s="30"/>
      <c r="T18" s="30"/>
      <c r="U18" s="30"/>
      <c r="V18" s="31"/>
    </row>
    <row r="19" spans="1:22">
      <c r="A19" s="1" t="s">
        <v>32</v>
      </c>
      <c r="B19" s="29">
        <v>17820.804736599675</v>
      </c>
      <c r="C19" s="30">
        <v>166071.67920621857</v>
      </c>
      <c r="D19" s="30">
        <v>0</v>
      </c>
      <c r="E19" s="30">
        <v>0</v>
      </c>
      <c r="F19" s="30">
        <v>0</v>
      </c>
      <c r="G19" s="31">
        <f>SUM(IL_FINANCIAL)</f>
        <v>183892.48394281825</v>
      </c>
      <c r="H19" s="30"/>
      <c r="I19" s="34" t="s">
        <v>33</v>
      </c>
      <c r="J19" s="35">
        <v>0</v>
      </c>
      <c r="K19" s="30"/>
      <c r="L19" s="29">
        <v>500000</v>
      </c>
      <c r="M19" s="30">
        <v>150000</v>
      </c>
      <c r="N19" s="30"/>
      <c r="O19" s="30">
        <v>2300000</v>
      </c>
      <c r="P19" s="30">
        <v>1300000</v>
      </c>
      <c r="Q19" s="30"/>
      <c r="R19" s="30">
        <v>0</v>
      </c>
      <c r="S19" s="30">
        <v>0</v>
      </c>
      <c r="T19" s="30"/>
      <c r="U19" s="30">
        <v>0</v>
      </c>
      <c r="V19" s="31">
        <v>0</v>
      </c>
    </row>
    <row r="20" spans="1:22">
      <c r="A20" s="1" t="s">
        <v>34</v>
      </c>
      <c r="B20" s="29">
        <v>0</v>
      </c>
      <c r="C20" s="30">
        <v>0</v>
      </c>
      <c r="D20" s="30">
        <v>0</v>
      </c>
      <c r="E20" s="30">
        <v>0</v>
      </c>
      <c r="F20" s="30">
        <v>0</v>
      </c>
      <c r="G20" s="31">
        <f>SUM(IN_FINANCIAL)</f>
        <v>0</v>
      </c>
      <c r="H20" s="30"/>
      <c r="I20" s="34" t="s">
        <v>35</v>
      </c>
      <c r="J20" s="35">
        <v>-5957549.9999999991</v>
      </c>
      <c r="K20" s="30"/>
      <c r="L20" s="29"/>
      <c r="M20" s="30"/>
      <c r="N20" s="30"/>
      <c r="O20" s="30"/>
      <c r="P20" s="30"/>
      <c r="Q20" s="30"/>
      <c r="R20" s="30"/>
      <c r="S20" s="30"/>
      <c r="T20" s="30"/>
      <c r="U20" s="30"/>
      <c r="V20" s="31"/>
    </row>
    <row r="21" spans="1:22">
      <c r="A21" s="1" t="s">
        <v>36</v>
      </c>
      <c r="B21" s="29">
        <v>0</v>
      </c>
      <c r="C21" s="30">
        <v>0</v>
      </c>
      <c r="D21" s="30">
        <v>0</v>
      </c>
      <c r="E21" s="30">
        <v>0</v>
      </c>
      <c r="F21" s="30">
        <v>0</v>
      </c>
      <c r="G21" s="31">
        <f>SUM(IA_FINANCIAL)</f>
        <v>0</v>
      </c>
      <c r="H21" s="30"/>
      <c r="I21" s="34" t="s">
        <v>37</v>
      </c>
      <c r="J21" s="35"/>
      <c r="K21" s="30"/>
      <c r="L21" s="29"/>
      <c r="M21" s="30"/>
      <c r="N21" s="30"/>
      <c r="O21" s="30"/>
      <c r="P21" s="30"/>
      <c r="Q21" s="30"/>
      <c r="R21" s="30"/>
      <c r="S21" s="30"/>
      <c r="T21" s="30"/>
      <c r="U21" s="30"/>
      <c r="V21" s="31"/>
    </row>
    <row r="22" spans="1:22">
      <c r="A22" s="1" t="s">
        <v>38</v>
      </c>
      <c r="B22" s="29">
        <v>6472.7435066686012</v>
      </c>
      <c r="C22" s="30">
        <v>72666.709955920931</v>
      </c>
      <c r="D22" s="30">
        <v>0</v>
      </c>
      <c r="E22" s="30">
        <v>0</v>
      </c>
      <c r="F22" s="30">
        <v>0</v>
      </c>
      <c r="G22" s="31">
        <f>SUM(KS_FINANCIAL)</f>
        <v>79139.453462589532</v>
      </c>
      <c r="H22" s="30"/>
      <c r="I22" s="34" t="s">
        <v>39</v>
      </c>
      <c r="J22" s="35">
        <v>20181741</v>
      </c>
      <c r="K22" s="30"/>
      <c r="L22" s="29"/>
      <c r="M22" s="30"/>
      <c r="N22" s="30"/>
      <c r="O22" s="30"/>
      <c r="P22" s="30"/>
      <c r="Q22" s="30"/>
      <c r="R22" s="30"/>
      <c r="S22" s="30"/>
      <c r="T22" s="30"/>
      <c r="U22" s="30"/>
      <c r="V22" s="31"/>
    </row>
    <row r="23" spans="1:22">
      <c r="A23" s="1" t="s">
        <v>40</v>
      </c>
      <c r="B23" s="29">
        <v>5861.6913727293722</v>
      </c>
      <c r="C23" s="30">
        <v>32895.31327969546</v>
      </c>
      <c r="D23" s="30">
        <v>0</v>
      </c>
      <c r="E23" s="30">
        <v>0</v>
      </c>
      <c r="F23" s="30">
        <v>0</v>
      </c>
      <c r="G23" s="31">
        <f>SUM(KY_FINANCIAL)</f>
        <v>38757.004652424832</v>
      </c>
      <c r="H23" s="30"/>
      <c r="I23" s="34" t="s">
        <v>41</v>
      </c>
      <c r="J23" s="35"/>
      <c r="K23" s="30"/>
      <c r="L23" s="29">
        <v>525000</v>
      </c>
      <c r="M23" s="30">
        <v>0</v>
      </c>
      <c r="N23" s="30"/>
      <c r="O23" s="30">
        <v>15000</v>
      </c>
      <c r="P23" s="30">
        <v>0</v>
      </c>
      <c r="Q23" s="30"/>
      <c r="R23" s="30">
        <v>0</v>
      </c>
      <c r="S23" s="30">
        <v>0</v>
      </c>
      <c r="T23" s="30"/>
      <c r="U23" s="30">
        <v>0</v>
      </c>
      <c r="V23" s="31">
        <v>0</v>
      </c>
    </row>
    <row r="24" spans="1:22">
      <c r="A24" s="1" t="s">
        <v>42</v>
      </c>
      <c r="B24" s="29">
        <v>12699.319541319972</v>
      </c>
      <c r="C24" s="30">
        <v>81248.703534869244</v>
      </c>
      <c r="D24" s="30">
        <v>0</v>
      </c>
      <c r="E24" s="30">
        <v>0</v>
      </c>
      <c r="F24" s="30">
        <v>0</v>
      </c>
      <c r="G24" s="31">
        <f>SUM(LA_FINANCIAL)</f>
        <v>93948.023076189216</v>
      </c>
      <c r="H24" s="30"/>
      <c r="I24" s="34" t="s">
        <v>43</v>
      </c>
      <c r="J24" s="35">
        <v>71252590.209999993</v>
      </c>
      <c r="K24" s="30"/>
      <c r="L24" s="29">
        <v>743240</v>
      </c>
      <c r="M24" s="30">
        <v>0</v>
      </c>
      <c r="N24" s="30"/>
      <c r="O24" s="30">
        <v>2760</v>
      </c>
      <c r="P24" s="30">
        <v>0</v>
      </c>
      <c r="Q24" s="30"/>
      <c r="R24" s="30">
        <v>0</v>
      </c>
      <c r="S24" s="30">
        <v>0</v>
      </c>
      <c r="T24" s="30"/>
      <c r="U24" s="30">
        <v>0</v>
      </c>
      <c r="V24" s="31">
        <v>0</v>
      </c>
    </row>
    <row r="25" spans="1:22">
      <c r="A25" s="1" t="s">
        <v>44</v>
      </c>
      <c r="B25" s="29">
        <v>0</v>
      </c>
      <c r="C25" s="30">
        <v>0</v>
      </c>
      <c r="D25" s="30">
        <v>0</v>
      </c>
      <c r="E25" s="30">
        <v>0</v>
      </c>
      <c r="F25" s="30">
        <v>0</v>
      </c>
      <c r="G25" s="31">
        <f>SUM(ME_FINANCIAL)</f>
        <v>0</v>
      </c>
      <c r="H25" s="30"/>
      <c r="I25" s="34"/>
      <c r="J25" s="35"/>
      <c r="K25" s="30"/>
      <c r="L25" s="29"/>
      <c r="M25" s="30"/>
      <c r="N25" s="30"/>
      <c r="O25" s="30"/>
      <c r="P25" s="30"/>
      <c r="Q25" s="30"/>
      <c r="R25" s="30"/>
      <c r="S25" s="30"/>
      <c r="T25" s="30"/>
      <c r="U25" s="30"/>
      <c r="V25" s="31"/>
    </row>
    <row r="26" spans="1:22">
      <c r="A26" s="1" t="s">
        <v>45</v>
      </c>
      <c r="B26" s="29">
        <v>22766.076258009591</v>
      </c>
      <c r="C26" s="30">
        <v>138037.92715629446</v>
      </c>
      <c r="D26" s="30">
        <v>0</v>
      </c>
      <c r="E26" s="30">
        <v>0</v>
      </c>
      <c r="F26" s="30">
        <v>0</v>
      </c>
      <c r="G26" s="31">
        <f>SUM(MD_FINANCIAL)</f>
        <v>160804.00341430405</v>
      </c>
      <c r="H26" s="30"/>
      <c r="I26" s="34" t="s">
        <v>46</v>
      </c>
      <c r="J26" s="35">
        <f>SUM(ADD_FINANCIAL)-SUM(LESS_FINANCIAL)</f>
        <v>4669973.520296365</v>
      </c>
      <c r="K26" s="30"/>
      <c r="L26" s="29">
        <v>1666605</v>
      </c>
      <c r="M26" s="30">
        <v>0</v>
      </c>
      <c r="N26" s="30"/>
      <c r="O26" s="30">
        <v>365840</v>
      </c>
      <c r="P26" s="30">
        <v>0</v>
      </c>
      <c r="Q26" s="30"/>
      <c r="R26" s="30">
        <v>0</v>
      </c>
      <c r="S26" s="30">
        <v>0</v>
      </c>
      <c r="T26" s="30"/>
      <c r="U26" s="30">
        <v>0</v>
      </c>
      <c r="V26" s="31">
        <v>0</v>
      </c>
    </row>
    <row r="27" spans="1:22">
      <c r="A27" s="1" t="s">
        <v>47</v>
      </c>
      <c r="B27" s="29">
        <v>0</v>
      </c>
      <c r="C27" s="30">
        <v>0</v>
      </c>
      <c r="D27" s="30">
        <v>0</v>
      </c>
      <c r="E27" s="30">
        <v>0</v>
      </c>
      <c r="F27" s="30">
        <v>0</v>
      </c>
      <c r="G27" s="31">
        <f>SUM(MA_FINANCIAL)</f>
        <v>0</v>
      </c>
      <c r="H27" s="30"/>
      <c r="I27" s="34" t="s">
        <v>48</v>
      </c>
      <c r="J27" s="35">
        <f>SUM(ALL_BLOCKS)</f>
        <v>4669973.5202963641</v>
      </c>
      <c r="K27" s="30"/>
      <c r="L27" s="29"/>
      <c r="M27" s="30"/>
      <c r="N27" s="30"/>
      <c r="O27" s="30"/>
      <c r="P27" s="30"/>
      <c r="Q27" s="30"/>
      <c r="R27" s="30"/>
      <c r="S27" s="30"/>
      <c r="T27" s="30"/>
      <c r="U27" s="30"/>
      <c r="V27" s="31"/>
    </row>
    <row r="28" spans="1:22">
      <c r="A28" s="1" t="s">
        <v>49</v>
      </c>
      <c r="B28" s="29">
        <v>14419.464044781518</v>
      </c>
      <c r="C28" s="30">
        <v>110489.2554233761</v>
      </c>
      <c r="D28" s="30">
        <v>0</v>
      </c>
      <c r="E28" s="30">
        <v>0</v>
      </c>
      <c r="F28" s="30">
        <v>0</v>
      </c>
      <c r="G28" s="31">
        <f>SUM(MI_FINANCIAL)</f>
        <v>124908.71946815762</v>
      </c>
      <c r="H28" s="30"/>
      <c r="I28" s="36"/>
      <c r="J28" s="37"/>
      <c r="K28" s="30"/>
      <c r="L28" s="29"/>
      <c r="M28" s="30"/>
      <c r="N28" s="30"/>
      <c r="O28" s="30"/>
      <c r="P28" s="30"/>
      <c r="Q28" s="30"/>
      <c r="R28" s="30"/>
      <c r="S28" s="30"/>
      <c r="T28" s="30"/>
      <c r="U28" s="30"/>
      <c r="V28" s="31"/>
    </row>
    <row r="29" spans="1:22">
      <c r="A29" s="1" t="s">
        <v>50</v>
      </c>
      <c r="B29" s="29">
        <v>0</v>
      </c>
      <c r="C29" s="30">
        <v>0</v>
      </c>
      <c r="D29" s="30">
        <v>0</v>
      </c>
      <c r="E29" s="30">
        <v>0</v>
      </c>
      <c r="F29" s="30">
        <v>0</v>
      </c>
      <c r="G29" s="31">
        <f>SUM(MN_FINANCIAL)</f>
        <v>0</v>
      </c>
      <c r="H29" s="30"/>
      <c r="I29" s="30"/>
      <c r="J29" s="30"/>
      <c r="K29" s="30"/>
      <c r="L29" s="29"/>
      <c r="M29" s="30"/>
      <c r="N29" s="30"/>
      <c r="O29" s="30"/>
      <c r="P29" s="30"/>
      <c r="Q29" s="30"/>
      <c r="R29" s="30"/>
      <c r="S29" s="30"/>
      <c r="T29" s="30"/>
      <c r="U29" s="30"/>
      <c r="V29" s="31"/>
    </row>
    <row r="30" spans="1:22">
      <c r="A30" s="1" t="s">
        <v>51</v>
      </c>
      <c r="B30" s="29">
        <v>66069.315828727093</v>
      </c>
      <c r="C30" s="30">
        <v>425425.0672523398</v>
      </c>
      <c r="D30" s="30">
        <v>0</v>
      </c>
      <c r="E30" s="30">
        <v>0</v>
      </c>
      <c r="F30" s="30">
        <v>0</v>
      </c>
      <c r="G30" s="31">
        <f>SUM(MS_FINANCIAL)</f>
        <v>491494.38308106689</v>
      </c>
      <c r="H30" s="30"/>
      <c r="I30" s="30"/>
      <c r="J30" s="30"/>
      <c r="K30" s="30"/>
      <c r="L30" s="29"/>
      <c r="M30" s="30"/>
      <c r="N30" s="30"/>
      <c r="O30" s="30"/>
      <c r="P30" s="30"/>
      <c r="Q30" s="30"/>
      <c r="R30" s="30"/>
      <c r="S30" s="30"/>
      <c r="T30" s="30"/>
      <c r="U30" s="30"/>
      <c r="V30" s="31"/>
    </row>
    <row r="31" spans="1:22">
      <c r="A31" s="1" t="s">
        <v>52</v>
      </c>
      <c r="B31" s="29">
        <v>16486.324541422538</v>
      </c>
      <c r="C31" s="30">
        <v>223667.26426619152</v>
      </c>
      <c r="D31" s="30">
        <v>0</v>
      </c>
      <c r="E31" s="30">
        <v>0</v>
      </c>
      <c r="F31" s="30">
        <v>0</v>
      </c>
      <c r="G31" s="31">
        <f>SUM(MO_FINANCIAL)</f>
        <v>240153.58880761405</v>
      </c>
      <c r="H31" s="30"/>
      <c r="I31" s="30"/>
      <c r="J31" s="30"/>
      <c r="K31" s="30"/>
      <c r="L31" s="29"/>
      <c r="M31" s="30"/>
      <c r="N31" s="30"/>
      <c r="O31" s="30"/>
      <c r="P31" s="30"/>
      <c r="Q31" s="30"/>
      <c r="R31" s="30"/>
      <c r="S31" s="30"/>
      <c r="T31" s="30"/>
      <c r="U31" s="30"/>
      <c r="V31" s="31"/>
    </row>
    <row r="32" spans="1:22">
      <c r="A32" s="1" t="s">
        <v>53</v>
      </c>
      <c r="B32" s="29">
        <v>0</v>
      </c>
      <c r="C32" s="30">
        <v>0</v>
      </c>
      <c r="D32" s="30">
        <v>0</v>
      </c>
      <c r="E32" s="30">
        <v>0</v>
      </c>
      <c r="F32" s="30">
        <v>0</v>
      </c>
      <c r="G32" s="31">
        <f>SUM(MT_FINANCIAL)</f>
        <v>0</v>
      </c>
      <c r="H32" s="30"/>
      <c r="I32" s="30"/>
      <c r="J32" s="30"/>
      <c r="K32" s="30"/>
      <c r="L32" s="29"/>
      <c r="M32" s="30"/>
      <c r="N32" s="30"/>
      <c r="O32" s="30"/>
      <c r="P32" s="30"/>
      <c r="Q32" s="30"/>
      <c r="R32" s="30"/>
      <c r="S32" s="30"/>
      <c r="T32" s="30"/>
      <c r="U32" s="30"/>
      <c r="V32" s="31"/>
    </row>
    <row r="33" spans="1:22">
      <c r="A33" s="1" t="s">
        <v>54</v>
      </c>
      <c r="B33" s="29">
        <v>2529.5323684520408</v>
      </c>
      <c r="C33" s="30">
        <v>15808.875060608581</v>
      </c>
      <c r="D33" s="30">
        <v>0</v>
      </c>
      <c r="E33" s="30">
        <v>0</v>
      </c>
      <c r="F33" s="30">
        <v>0</v>
      </c>
      <c r="G33" s="31">
        <f>SUM(NE_FINANCIAL)</f>
        <v>18338.407429060622</v>
      </c>
      <c r="H33" s="30"/>
      <c r="I33" s="30"/>
      <c r="J33" s="30"/>
      <c r="K33" s="30"/>
      <c r="L33" s="29"/>
      <c r="M33" s="30"/>
      <c r="N33" s="30"/>
      <c r="O33" s="30"/>
      <c r="P33" s="30"/>
      <c r="Q33" s="30"/>
      <c r="R33" s="30"/>
      <c r="S33" s="30"/>
      <c r="T33" s="30"/>
      <c r="U33" s="30"/>
      <c r="V33" s="31"/>
    </row>
    <row r="34" spans="1:22">
      <c r="A34" s="1" t="s">
        <v>55</v>
      </c>
      <c r="B34" s="29">
        <v>1386.6700254525422</v>
      </c>
      <c r="C34" s="30">
        <v>18544.349128430302</v>
      </c>
      <c r="D34" s="30">
        <v>0</v>
      </c>
      <c r="E34" s="30">
        <v>0</v>
      </c>
      <c r="F34" s="30">
        <v>0</v>
      </c>
      <c r="G34" s="31">
        <f>SUM(NV_FINANCIAL)</f>
        <v>19931.019153882844</v>
      </c>
      <c r="H34" s="30"/>
      <c r="I34" s="30"/>
      <c r="J34" s="30"/>
      <c r="K34" s="30"/>
      <c r="L34" s="29">
        <v>235000</v>
      </c>
      <c r="M34" s="30">
        <v>0</v>
      </c>
      <c r="N34" s="30"/>
      <c r="O34" s="30">
        <v>111000</v>
      </c>
      <c r="P34" s="30">
        <v>0</v>
      </c>
      <c r="Q34" s="30"/>
      <c r="R34" s="30">
        <v>0</v>
      </c>
      <c r="S34" s="30">
        <v>0</v>
      </c>
      <c r="T34" s="30"/>
      <c r="U34" s="30">
        <v>0</v>
      </c>
      <c r="V34" s="31">
        <v>0</v>
      </c>
    </row>
    <row r="35" spans="1:22">
      <c r="A35" s="1" t="s">
        <v>56</v>
      </c>
      <c r="B35" s="29">
        <v>0</v>
      </c>
      <c r="C35" s="30">
        <v>0</v>
      </c>
      <c r="D35" s="30">
        <v>0</v>
      </c>
      <c r="E35" s="30">
        <v>0</v>
      </c>
      <c r="F35" s="30">
        <v>0</v>
      </c>
      <c r="G35" s="31">
        <f>SUM(NH_FINANCIAL)</f>
        <v>0</v>
      </c>
      <c r="H35" s="30"/>
      <c r="I35" s="30"/>
      <c r="J35" s="30"/>
      <c r="K35" s="30"/>
      <c r="L35" s="29"/>
      <c r="M35" s="30"/>
      <c r="N35" s="30"/>
      <c r="O35" s="30"/>
      <c r="P35" s="30"/>
      <c r="Q35" s="30"/>
      <c r="R35" s="30"/>
      <c r="S35" s="30"/>
      <c r="T35" s="30"/>
      <c r="U35" s="30"/>
      <c r="V35" s="31"/>
    </row>
    <row r="36" spans="1:22">
      <c r="A36" s="1" t="s">
        <v>57</v>
      </c>
      <c r="B36" s="29">
        <v>0</v>
      </c>
      <c r="C36" s="30">
        <v>0</v>
      </c>
      <c r="D36" s="30">
        <v>0</v>
      </c>
      <c r="E36" s="30">
        <v>0</v>
      </c>
      <c r="F36" s="30">
        <v>0</v>
      </c>
      <c r="G36" s="31">
        <f>SUM(NJ_FINANCIAL)</f>
        <v>0</v>
      </c>
      <c r="H36" s="30"/>
      <c r="I36" s="30"/>
      <c r="J36" s="30"/>
      <c r="K36" s="30"/>
      <c r="L36" s="29"/>
      <c r="M36" s="30"/>
      <c r="N36" s="30"/>
      <c r="O36" s="30"/>
      <c r="P36" s="30"/>
      <c r="Q36" s="30"/>
      <c r="R36" s="30"/>
      <c r="S36" s="30"/>
      <c r="T36" s="30"/>
      <c r="U36" s="30"/>
      <c r="V36" s="31"/>
    </row>
    <row r="37" spans="1:22">
      <c r="A37" s="1" t="s">
        <v>58</v>
      </c>
      <c r="B37" s="29">
        <v>2847.7866860277572</v>
      </c>
      <c r="C37" s="30">
        <v>18899.982779724</v>
      </c>
      <c r="D37" s="30">
        <v>0</v>
      </c>
      <c r="E37" s="30">
        <v>0</v>
      </c>
      <c r="F37" s="30">
        <v>0</v>
      </c>
      <c r="G37" s="31">
        <f>SUM(NM_FINANCIAL)</f>
        <v>21747.769465751757</v>
      </c>
      <c r="H37" s="30"/>
      <c r="I37" s="30"/>
      <c r="J37" s="30"/>
      <c r="K37" s="30"/>
      <c r="L37" s="29">
        <v>64817</v>
      </c>
      <c r="M37" s="30">
        <v>0</v>
      </c>
      <c r="N37" s="30"/>
      <c r="O37" s="30">
        <v>239890</v>
      </c>
      <c r="P37" s="30">
        <v>0</v>
      </c>
      <c r="Q37" s="30"/>
      <c r="R37" s="30">
        <v>0</v>
      </c>
      <c r="S37" s="30">
        <v>0</v>
      </c>
      <c r="T37" s="30"/>
      <c r="U37" s="30">
        <v>0</v>
      </c>
      <c r="V37" s="31">
        <v>0</v>
      </c>
    </row>
    <row r="38" spans="1:22">
      <c r="A38" s="1" t="s">
        <v>59</v>
      </c>
      <c r="B38" s="29">
        <v>0</v>
      </c>
      <c r="C38" s="30">
        <v>0</v>
      </c>
      <c r="D38" s="30">
        <v>0</v>
      </c>
      <c r="E38" s="30">
        <v>0</v>
      </c>
      <c r="F38" s="30">
        <v>0</v>
      </c>
      <c r="G38" s="31">
        <f>SUM(NY_FINANCIAL)</f>
        <v>0</v>
      </c>
      <c r="H38" s="30"/>
      <c r="I38" s="30"/>
      <c r="J38" s="30"/>
      <c r="K38" s="30"/>
      <c r="L38" s="29"/>
      <c r="M38" s="30"/>
      <c r="N38" s="30"/>
      <c r="O38" s="30"/>
      <c r="P38" s="30"/>
      <c r="Q38" s="30"/>
      <c r="R38" s="30"/>
      <c r="S38" s="30"/>
      <c r="T38" s="30"/>
      <c r="U38" s="30"/>
      <c r="V38" s="31"/>
    </row>
    <row r="39" spans="1:22">
      <c r="A39" s="1" t="s">
        <v>60</v>
      </c>
      <c r="B39" s="29">
        <v>28893.525853674859</v>
      </c>
      <c r="C39" s="30">
        <v>304491.29542949982</v>
      </c>
      <c r="D39" s="30">
        <v>0</v>
      </c>
      <c r="E39" s="30">
        <v>0</v>
      </c>
      <c r="F39" s="30">
        <v>0</v>
      </c>
      <c r="G39" s="31">
        <f>SUM(NC_FINANCIAL)</f>
        <v>333384.82128317468</v>
      </c>
      <c r="H39" s="30"/>
      <c r="I39" s="30"/>
      <c r="J39" s="30"/>
      <c r="K39" s="30"/>
      <c r="L39" s="29">
        <v>1029000</v>
      </c>
      <c r="M39" s="30">
        <v>855000</v>
      </c>
      <c r="N39" s="30"/>
      <c r="O39" s="30">
        <v>3871000</v>
      </c>
      <c r="P39" s="30">
        <v>3215000</v>
      </c>
      <c r="Q39" s="30"/>
      <c r="R39" s="30">
        <v>0</v>
      </c>
      <c r="S39" s="30">
        <v>0</v>
      </c>
      <c r="T39" s="30"/>
      <c r="U39" s="30">
        <v>0</v>
      </c>
      <c r="V39" s="31">
        <v>0</v>
      </c>
    </row>
    <row r="40" spans="1:22">
      <c r="A40" s="1" t="s">
        <v>61</v>
      </c>
      <c r="B40" s="29">
        <v>0</v>
      </c>
      <c r="C40" s="30">
        <v>0</v>
      </c>
      <c r="D40" s="30">
        <v>0</v>
      </c>
      <c r="E40" s="30">
        <v>0</v>
      </c>
      <c r="F40" s="30">
        <v>0</v>
      </c>
      <c r="G40" s="31">
        <f>SUM(ND_FINANCIAL)</f>
        <v>0</v>
      </c>
      <c r="H40" s="30"/>
      <c r="I40" s="30"/>
      <c r="J40" s="30"/>
      <c r="K40" s="30"/>
      <c r="L40" s="29"/>
      <c r="M40" s="30"/>
      <c r="N40" s="30"/>
      <c r="O40" s="30"/>
      <c r="P40" s="30"/>
      <c r="Q40" s="30"/>
      <c r="R40" s="30"/>
      <c r="S40" s="30"/>
      <c r="T40" s="30"/>
      <c r="U40" s="30"/>
      <c r="V40" s="31"/>
    </row>
    <row r="41" spans="1:22">
      <c r="A41" s="1" t="s">
        <v>62</v>
      </c>
      <c r="B41" s="29">
        <v>9539.1038642450003</v>
      </c>
      <c r="C41" s="30">
        <v>37964.964353029965</v>
      </c>
      <c r="D41" s="30">
        <v>0</v>
      </c>
      <c r="E41" s="30">
        <v>0</v>
      </c>
      <c r="F41" s="30">
        <v>0</v>
      </c>
      <c r="G41" s="31">
        <f>SUM(OH_FINANCIAL)</f>
        <v>47504.068217274966</v>
      </c>
      <c r="H41" s="30"/>
      <c r="I41" s="30"/>
      <c r="J41" s="30"/>
      <c r="K41" s="30"/>
      <c r="L41" s="29"/>
      <c r="M41" s="30"/>
      <c r="N41" s="30"/>
      <c r="O41" s="30"/>
      <c r="P41" s="30"/>
      <c r="Q41" s="30"/>
      <c r="R41" s="30"/>
      <c r="S41" s="30"/>
      <c r="T41" s="30"/>
      <c r="U41" s="30"/>
      <c r="V41" s="31"/>
    </row>
    <row r="42" spans="1:22">
      <c r="A42" s="1" t="s">
        <v>63</v>
      </c>
      <c r="B42" s="29">
        <v>6464.0653201862297</v>
      </c>
      <c r="C42" s="30">
        <v>50485.257106897887</v>
      </c>
      <c r="D42" s="30">
        <v>0</v>
      </c>
      <c r="E42" s="30">
        <v>0</v>
      </c>
      <c r="F42" s="30">
        <v>0</v>
      </c>
      <c r="G42" s="31">
        <f>SUM(OK_FINANCIAL)</f>
        <v>56949.322427084116</v>
      </c>
      <c r="H42" s="30"/>
      <c r="I42" s="30"/>
      <c r="J42" s="30"/>
      <c r="K42" s="30"/>
      <c r="L42" s="29">
        <v>1980000</v>
      </c>
      <c r="M42" s="30">
        <v>1445000</v>
      </c>
      <c r="N42" s="30"/>
      <c r="O42" s="30">
        <v>20000</v>
      </c>
      <c r="P42" s="30">
        <v>107500</v>
      </c>
      <c r="Q42" s="30"/>
      <c r="R42" s="30">
        <v>0</v>
      </c>
      <c r="S42" s="30">
        <v>0</v>
      </c>
      <c r="T42" s="30"/>
      <c r="U42" s="30">
        <v>0</v>
      </c>
      <c r="V42" s="31">
        <v>0</v>
      </c>
    </row>
    <row r="43" spans="1:22">
      <c r="A43" s="1" t="s">
        <v>64</v>
      </c>
      <c r="B43" s="29">
        <v>2884.7261059137454</v>
      </c>
      <c r="C43" s="30">
        <v>21431.482126224262</v>
      </c>
      <c r="D43" s="30">
        <v>0</v>
      </c>
      <c r="E43" s="30">
        <v>0</v>
      </c>
      <c r="F43" s="30">
        <v>0</v>
      </c>
      <c r="G43" s="31">
        <f>SUM(OR_FINANCIAL)</f>
        <v>24316.208232138008</v>
      </c>
      <c r="H43" s="30"/>
      <c r="I43" s="30"/>
      <c r="J43" s="30"/>
      <c r="K43" s="30"/>
      <c r="L43" s="29"/>
      <c r="M43" s="30"/>
      <c r="N43" s="30"/>
      <c r="O43" s="30"/>
      <c r="P43" s="30"/>
      <c r="Q43" s="30"/>
      <c r="R43" s="30"/>
      <c r="S43" s="30"/>
      <c r="T43" s="30"/>
      <c r="U43" s="30"/>
      <c r="V43" s="31"/>
    </row>
    <row r="44" spans="1:22">
      <c r="A44" s="1" t="s">
        <v>65</v>
      </c>
      <c r="B44" s="29">
        <v>0</v>
      </c>
      <c r="C44" s="30">
        <v>0</v>
      </c>
      <c r="D44" s="30">
        <v>0</v>
      </c>
      <c r="E44" s="30">
        <v>0</v>
      </c>
      <c r="F44" s="30">
        <v>0</v>
      </c>
      <c r="G44" s="31">
        <f>SUM(PA_FINANCIAL)</f>
        <v>0</v>
      </c>
      <c r="H44" s="30"/>
      <c r="I44" s="30"/>
      <c r="J44" s="30"/>
      <c r="K44" s="30"/>
      <c r="L44" s="29"/>
      <c r="M44" s="30"/>
      <c r="N44" s="30"/>
      <c r="O44" s="30"/>
      <c r="P44" s="30"/>
      <c r="Q44" s="30"/>
      <c r="R44" s="30"/>
      <c r="S44" s="30"/>
      <c r="T44" s="30"/>
      <c r="U44" s="30"/>
      <c r="V44" s="31"/>
    </row>
    <row r="45" spans="1:22">
      <c r="A45" s="1" t="s">
        <v>66</v>
      </c>
      <c r="B45" s="29">
        <v>0</v>
      </c>
      <c r="C45" s="30">
        <v>0</v>
      </c>
      <c r="D45" s="30">
        <v>0</v>
      </c>
      <c r="E45" s="30">
        <v>0</v>
      </c>
      <c r="F45" s="30">
        <v>0</v>
      </c>
      <c r="G45" s="31">
        <f>SUM(PR_FINANCIAL)</f>
        <v>0</v>
      </c>
      <c r="H45" s="30"/>
      <c r="I45" s="30"/>
      <c r="J45" s="30"/>
      <c r="K45" s="30"/>
      <c r="L45" s="29"/>
      <c r="M45" s="30"/>
      <c r="N45" s="30"/>
      <c r="O45" s="30"/>
      <c r="P45" s="30"/>
      <c r="Q45" s="30"/>
      <c r="R45" s="30"/>
      <c r="S45" s="30"/>
      <c r="T45" s="30"/>
      <c r="U45" s="30"/>
      <c r="V45" s="31"/>
    </row>
    <row r="46" spans="1:22">
      <c r="A46" s="1" t="s">
        <v>67</v>
      </c>
      <c r="B46" s="29">
        <v>0</v>
      </c>
      <c r="C46" s="30">
        <v>0</v>
      </c>
      <c r="D46" s="30">
        <v>0</v>
      </c>
      <c r="E46" s="30">
        <v>0</v>
      </c>
      <c r="F46" s="30">
        <v>0</v>
      </c>
      <c r="G46" s="31">
        <f>SUM(RI_FINANCIAL)</f>
        <v>0</v>
      </c>
      <c r="H46" s="30"/>
      <c r="I46" s="30"/>
      <c r="J46" s="30"/>
      <c r="K46" s="30"/>
      <c r="L46" s="29"/>
      <c r="M46" s="30"/>
      <c r="N46" s="30"/>
      <c r="O46" s="30"/>
      <c r="P46" s="30"/>
      <c r="Q46" s="30"/>
      <c r="R46" s="30"/>
      <c r="S46" s="30"/>
      <c r="T46" s="30"/>
      <c r="U46" s="30"/>
      <c r="V46" s="31"/>
    </row>
    <row r="47" spans="1:22">
      <c r="A47" s="1" t="s">
        <v>68</v>
      </c>
      <c r="B47" s="29">
        <v>13901.298634756007</v>
      </c>
      <c r="C47" s="30">
        <v>110517.90995484241</v>
      </c>
      <c r="D47" s="30">
        <v>0</v>
      </c>
      <c r="E47" s="30">
        <v>0</v>
      </c>
      <c r="F47" s="30">
        <v>0</v>
      </c>
      <c r="G47" s="31">
        <f>SUM(SC_FINANCIAL)</f>
        <v>124419.20858959842</v>
      </c>
      <c r="H47" s="30"/>
      <c r="I47" s="30"/>
      <c r="J47" s="30"/>
      <c r="K47" s="30"/>
      <c r="L47" s="29">
        <v>275000</v>
      </c>
      <c r="M47" s="30">
        <v>0</v>
      </c>
      <c r="N47" s="30"/>
      <c r="O47" s="30">
        <v>1925000</v>
      </c>
      <c r="P47" s="30">
        <v>0</v>
      </c>
      <c r="Q47" s="30"/>
      <c r="R47" s="30">
        <v>0</v>
      </c>
      <c r="S47" s="30">
        <v>0</v>
      </c>
      <c r="T47" s="30"/>
      <c r="U47" s="30">
        <v>0</v>
      </c>
      <c r="V47" s="31">
        <v>0</v>
      </c>
    </row>
    <row r="48" spans="1:22">
      <c r="A48" s="1" t="s">
        <v>69</v>
      </c>
      <c r="B48" s="29">
        <v>0</v>
      </c>
      <c r="C48" s="30">
        <v>0</v>
      </c>
      <c r="D48" s="30">
        <v>0</v>
      </c>
      <c r="E48" s="30">
        <v>0</v>
      </c>
      <c r="F48" s="30">
        <v>0</v>
      </c>
      <c r="G48" s="31">
        <f>SUM(SD_FINANCIAL)</f>
        <v>0</v>
      </c>
      <c r="H48" s="30"/>
      <c r="I48" s="30"/>
      <c r="J48" s="30"/>
      <c r="K48" s="30"/>
      <c r="L48" s="29"/>
      <c r="M48" s="30"/>
      <c r="N48" s="30"/>
      <c r="O48" s="30"/>
      <c r="P48" s="30"/>
      <c r="Q48" s="30"/>
      <c r="R48" s="30"/>
      <c r="S48" s="30"/>
      <c r="T48" s="30"/>
      <c r="U48" s="30"/>
      <c r="V48" s="31"/>
    </row>
    <row r="49" spans="1:22">
      <c r="A49" s="1" t="s">
        <v>70</v>
      </c>
      <c r="B49" s="29">
        <v>9644.2242899825214</v>
      </c>
      <c r="C49" s="30">
        <v>108943.15534053161</v>
      </c>
      <c r="D49" s="30">
        <v>0</v>
      </c>
      <c r="E49" s="30">
        <v>0</v>
      </c>
      <c r="F49" s="30">
        <v>0</v>
      </c>
      <c r="G49" s="31">
        <f>SUM(TN_FINANCIAL)</f>
        <v>118587.37963051413</v>
      </c>
      <c r="H49" s="30"/>
      <c r="I49" s="30"/>
      <c r="J49" s="30"/>
      <c r="K49" s="30"/>
      <c r="L49" s="29"/>
      <c r="M49" s="30"/>
      <c r="N49" s="30"/>
      <c r="O49" s="30"/>
      <c r="P49" s="30"/>
      <c r="Q49" s="30"/>
      <c r="R49" s="30"/>
      <c r="S49" s="30"/>
      <c r="T49" s="30"/>
      <c r="U49" s="30"/>
      <c r="V49" s="31"/>
    </row>
    <row r="50" spans="1:22">
      <c r="A50" s="1" t="s">
        <v>71</v>
      </c>
      <c r="B50" s="29">
        <v>46067.648182783276</v>
      </c>
      <c r="C50" s="30">
        <v>512934.24669865333</v>
      </c>
      <c r="D50" s="30">
        <v>0</v>
      </c>
      <c r="E50" s="30">
        <v>0</v>
      </c>
      <c r="F50" s="30">
        <v>0</v>
      </c>
      <c r="G50" s="31">
        <f>SUM(TX_FINANCIAL)</f>
        <v>559001.8948814366</v>
      </c>
      <c r="H50" s="30"/>
      <c r="I50" s="30"/>
      <c r="J50" s="30"/>
      <c r="K50" s="30"/>
      <c r="L50" s="29">
        <v>7101306</v>
      </c>
      <c r="M50" s="30">
        <v>4000000</v>
      </c>
      <c r="N50" s="30"/>
      <c r="O50" s="30">
        <v>0</v>
      </c>
      <c r="P50" s="30">
        <v>0</v>
      </c>
      <c r="Q50" s="30"/>
      <c r="R50" s="30">
        <v>0</v>
      </c>
      <c r="S50" s="30">
        <v>0</v>
      </c>
      <c r="T50" s="30"/>
      <c r="U50" s="30">
        <v>0</v>
      </c>
      <c r="V50" s="31">
        <v>0</v>
      </c>
    </row>
    <row r="51" spans="1:22">
      <c r="A51" s="1" t="s">
        <v>72</v>
      </c>
      <c r="B51" s="29">
        <v>1846.5229149733314</v>
      </c>
      <c r="C51" s="30">
        <v>9544.3816007187124</v>
      </c>
      <c r="D51" s="30">
        <v>0</v>
      </c>
      <c r="E51" s="30">
        <v>0</v>
      </c>
      <c r="F51" s="30">
        <v>0</v>
      </c>
      <c r="G51" s="31">
        <f>SUM(UT_FINANCIAL)</f>
        <v>11390.904515692044</v>
      </c>
      <c r="H51" s="30"/>
      <c r="I51" s="30"/>
      <c r="J51" s="30"/>
      <c r="K51" s="30"/>
      <c r="L51" s="29">
        <v>78950</v>
      </c>
      <c r="M51" s="30">
        <v>0</v>
      </c>
      <c r="N51" s="30"/>
      <c r="O51" s="30">
        <v>136050</v>
      </c>
      <c r="P51" s="30">
        <v>0</v>
      </c>
      <c r="Q51" s="30"/>
      <c r="R51" s="30">
        <v>0</v>
      </c>
      <c r="S51" s="30">
        <v>0</v>
      </c>
      <c r="T51" s="30"/>
      <c r="U51" s="30">
        <v>0</v>
      </c>
      <c r="V51" s="31">
        <v>0</v>
      </c>
    </row>
    <row r="52" spans="1:22">
      <c r="A52" s="1" t="s">
        <v>73</v>
      </c>
      <c r="B52" s="29">
        <v>0</v>
      </c>
      <c r="C52" s="30">
        <v>0</v>
      </c>
      <c r="D52" s="30">
        <v>0</v>
      </c>
      <c r="E52" s="30">
        <v>0</v>
      </c>
      <c r="F52" s="30">
        <v>0</v>
      </c>
      <c r="G52" s="31">
        <f>SUM(VT_FINANCIAL)</f>
        <v>0</v>
      </c>
      <c r="H52" s="30"/>
      <c r="I52" s="30"/>
      <c r="J52" s="30"/>
      <c r="K52" s="30"/>
      <c r="L52" s="29"/>
      <c r="M52" s="30"/>
      <c r="N52" s="30"/>
      <c r="O52" s="30"/>
      <c r="P52" s="30"/>
      <c r="Q52" s="30"/>
      <c r="R52" s="30"/>
      <c r="S52" s="30"/>
      <c r="T52" s="30"/>
      <c r="U52" s="30"/>
      <c r="V52" s="31"/>
    </row>
    <row r="53" spans="1:22">
      <c r="A53" s="1" t="s">
        <v>74</v>
      </c>
      <c r="B53" s="29">
        <v>28083.547269983741</v>
      </c>
      <c r="C53" s="30">
        <v>212277.61859031348</v>
      </c>
      <c r="D53" s="30">
        <v>0</v>
      </c>
      <c r="E53" s="30">
        <v>0</v>
      </c>
      <c r="F53" s="30">
        <v>0</v>
      </c>
      <c r="G53" s="31">
        <f>SUM(VA_FINANCIAL)</f>
        <v>240361.16586029722</v>
      </c>
      <c r="H53" s="30"/>
      <c r="I53" s="30"/>
      <c r="J53" s="30"/>
      <c r="K53" s="30"/>
      <c r="L53" s="29">
        <v>595000</v>
      </c>
      <c r="M53" s="30">
        <v>0</v>
      </c>
      <c r="N53" s="30"/>
      <c r="O53" s="30">
        <v>3125000</v>
      </c>
      <c r="P53" s="30">
        <v>0</v>
      </c>
      <c r="Q53" s="30"/>
      <c r="R53" s="30">
        <v>0</v>
      </c>
      <c r="S53" s="30">
        <v>0</v>
      </c>
      <c r="T53" s="30"/>
      <c r="U53" s="30">
        <v>0</v>
      </c>
      <c r="V53" s="31">
        <v>0</v>
      </c>
    </row>
    <row r="54" spans="1:22">
      <c r="A54" s="1" t="s">
        <v>75</v>
      </c>
      <c r="B54" s="29">
        <v>4397.6050432067132</v>
      </c>
      <c r="C54" s="30">
        <v>39219.400321971625</v>
      </c>
      <c r="D54" s="30">
        <v>0</v>
      </c>
      <c r="E54" s="30">
        <v>0</v>
      </c>
      <c r="F54" s="30">
        <v>0</v>
      </c>
      <c r="G54" s="31">
        <f>SUM(WA_FINANCIAL)</f>
        <v>43617.005365178338</v>
      </c>
      <c r="H54" s="30"/>
      <c r="I54" s="30"/>
      <c r="J54" s="30"/>
      <c r="K54" s="30"/>
      <c r="L54" s="29">
        <v>936000</v>
      </c>
      <c r="M54" s="30">
        <v>0</v>
      </c>
      <c r="N54" s="30"/>
      <c r="O54" s="30">
        <v>0</v>
      </c>
      <c r="P54" s="30">
        <v>0</v>
      </c>
      <c r="Q54" s="30"/>
      <c r="R54" s="30">
        <v>0</v>
      </c>
      <c r="S54" s="30">
        <v>0</v>
      </c>
      <c r="T54" s="30"/>
      <c r="U54" s="30">
        <v>0</v>
      </c>
      <c r="V54" s="31">
        <v>0</v>
      </c>
    </row>
    <row r="55" spans="1:22">
      <c r="A55" s="1" t="s">
        <v>76</v>
      </c>
      <c r="B55" s="29">
        <v>0</v>
      </c>
      <c r="C55" s="30">
        <v>0</v>
      </c>
      <c r="D55" s="30">
        <v>0</v>
      </c>
      <c r="E55" s="30">
        <v>0</v>
      </c>
      <c r="F55" s="30">
        <v>0</v>
      </c>
      <c r="G55" s="31">
        <f>SUM(WV_FINANCIAL)</f>
        <v>0</v>
      </c>
      <c r="H55" s="30"/>
      <c r="I55" s="30"/>
      <c r="J55" s="30"/>
      <c r="K55" s="30"/>
      <c r="L55" s="29"/>
      <c r="M55" s="30"/>
      <c r="N55" s="30"/>
      <c r="O55" s="30"/>
      <c r="P55" s="30"/>
      <c r="Q55" s="30"/>
      <c r="R55" s="30"/>
      <c r="S55" s="30"/>
      <c r="T55" s="30"/>
      <c r="U55" s="30"/>
      <c r="V55" s="31"/>
    </row>
    <row r="56" spans="1:22">
      <c r="A56" s="1" t="s">
        <v>77</v>
      </c>
      <c r="B56" s="29">
        <v>0</v>
      </c>
      <c r="C56" s="30">
        <v>0</v>
      </c>
      <c r="D56" s="30">
        <v>0</v>
      </c>
      <c r="E56" s="30">
        <v>0</v>
      </c>
      <c r="F56" s="30">
        <v>0</v>
      </c>
      <c r="G56" s="31">
        <f>SUM(WI_FINANCIAL)</f>
        <v>0</v>
      </c>
      <c r="H56" s="30"/>
      <c r="I56" s="30"/>
      <c r="J56" s="30"/>
      <c r="K56" s="30"/>
      <c r="L56" s="29"/>
      <c r="M56" s="30"/>
      <c r="N56" s="30"/>
      <c r="O56" s="30"/>
      <c r="P56" s="30"/>
      <c r="Q56" s="30"/>
      <c r="R56" s="30"/>
      <c r="S56" s="30"/>
      <c r="T56" s="30"/>
      <c r="U56" s="30"/>
      <c r="V56" s="31"/>
    </row>
    <row r="57" spans="1:22">
      <c r="A57" s="1" t="s">
        <v>78</v>
      </c>
      <c r="B57" s="29">
        <v>0</v>
      </c>
      <c r="C57" s="30">
        <v>0</v>
      </c>
      <c r="D57" s="30">
        <v>0</v>
      </c>
      <c r="E57" s="30">
        <v>0</v>
      </c>
      <c r="F57" s="30">
        <v>0</v>
      </c>
      <c r="G57" s="31">
        <f>SUM(WY_FINANCIAL)</f>
        <v>0</v>
      </c>
      <c r="H57" s="30"/>
      <c r="I57" s="30"/>
      <c r="J57" s="30"/>
      <c r="K57" s="30"/>
      <c r="L57" s="29"/>
      <c r="M57" s="30"/>
      <c r="N57" s="30"/>
      <c r="O57" s="30"/>
      <c r="P57" s="30"/>
      <c r="Q57" s="30"/>
      <c r="R57" s="30"/>
      <c r="S57" s="30"/>
      <c r="T57" s="30"/>
      <c r="U57" s="30"/>
      <c r="V57" s="31"/>
    </row>
    <row r="58" spans="1:22">
      <c r="A58" s="1" t="s">
        <v>79</v>
      </c>
      <c r="B58" s="29">
        <v>0</v>
      </c>
      <c r="C58" s="30">
        <v>0</v>
      </c>
      <c r="D58" s="30">
        <v>0</v>
      </c>
      <c r="E58" s="30">
        <v>0</v>
      </c>
      <c r="F58" s="30">
        <v>0</v>
      </c>
      <c r="G58" s="31">
        <f>SUM(OT_FINANCIAL)</f>
        <v>0</v>
      </c>
      <c r="H58" s="30"/>
      <c r="I58" s="30"/>
      <c r="J58" s="30"/>
      <c r="K58" s="30"/>
      <c r="L58" s="29"/>
      <c r="M58" s="30"/>
      <c r="N58" s="30"/>
      <c r="O58" s="30"/>
      <c r="P58" s="30"/>
      <c r="Q58" s="30"/>
      <c r="R58" s="30"/>
      <c r="S58" s="30"/>
      <c r="T58" s="30"/>
      <c r="U58" s="30"/>
      <c r="V58" s="31"/>
    </row>
    <row r="59" spans="1:22">
      <c r="B59" s="29"/>
      <c r="C59" s="30"/>
      <c r="D59" s="30"/>
      <c r="E59" s="30"/>
      <c r="F59" s="30"/>
      <c r="G59" s="31"/>
      <c r="H59" s="30"/>
      <c r="I59" s="30"/>
      <c r="J59" s="30"/>
      <c r="K59" s="30"/>
      <c r="L59" s="29"/>
      <c r="M59" s="30"/>
      <c r="N59" s="30"/>
      <c r="O59" s="30"/>
      <c r="P59" s="30"/>
      <c r="Q59" s="30"/>
      <c r="R59" s="30"/>
      <c r="S59" s="30"/>
      <c r="T59" s="30"/>
      <c r="U59" s="30"/>
      <c r="V59" s="31"/>
    </row>
    <row r="60" spans="1:22">
      <c r="A60" s="1" t="s">
        <v>8</v>
      </c>
      <c r="B60" s="29">
        <f>SUM(LIFE)</f>
        <v>471125.83664370805</v>
      </c>
      <c r="C60" s="30">
        <f>SUM(ALLOCATED)</f>
        <v>4198847.6836526562</v>
      </c>
      <c r="D60" s="30">
        <f>SUM(HEALTH)</f>
        <v>0</v>
      </c>
      <c r="E60" s="30">
        <f>SUM(UNALLOCATED)</f>
        <v>0</v>
      </c>
      <c r="F60" s="30">
        <f>SUM(LTC)</f>
        <v>0</v>
      </c>
      <c r="G60" s="31">
        <f>SUM(ALL_BLOCKS)</f>
        <v>4669973.5202963641</v>
      </c>
      <c r="H60" s="30"/>
      <c r="I60" s="30"/>
      <c r="J60" s="30"/>
      <c r="K60" s="30"/>
      <c r="L60" s="29">
        <f>SUM(LIFE_CALLED)</f>
        <v>18270153</v>
      </c>
      <c r="M60" s="30">
        <f>SUM(LIFE_REFUNDED)</f>
        <v>6524219</v>
      </c>
      <c r="N60" s="30"/>
      <c r="O60" s="30">
        <f>SUM(ALLOC_CALLED)</f>
        <v>18925424</v>
      </c>
      <c r="P60" s="30">
        <f>SUM(ALLOC_REFUNDED)</f>
        <v>5020281</v>
      </c>
      <c r="Q60" s="30"/>
      <c r="R60" s="30">
        <f>SUM(HEALTH_CALLED)</f>
        <v>0</v>
      </c>
      <c r="S60" s="30">
        <f>SUM(HEALTH_REFUNDED)</f>
        <v>400000</v>
      </c>
      <c r="T60" s="30"/>
      <c r="U60" s="30">
        <f>SUM(UNALLOC_CALLED)</f>
        <v>0</v>
      </c>
      <c r="V60" s="31">
        <f>SUM(UNALLOC_REFUNDED)</f>
        <v>0</v>
      </c>
    </row>
    <row r="61" spans="1:22" ht="5.0999999999999996" customHeight="1">
      <c r="B61" s="8"/>
      <c r="G61" s="11"/>
      <c r="L61" s="8"/>
      <c r="V61" s="11"/>
    </row>
    <row r="62" spans="1:22">
      <c r="B62" s="8"/>
      <c r="G62" s="11"/>
      <c r="L62" s="122" t="s">
        <v>80</v>
      </c>
      <c r="M62" s="123"/>
      <c r="N62" s="123"/>
      <c r="O62" s="123"/>
      <c r="P62" s="123"/>
      <c r="Q62" s="123"/>
      <c r="R62" s="123"/>
      <c r="S62" s="123"/>
      <c r="T62" s="123"/>
      <c r="U62" s="123"/>
      <c r="V62" s="124"/>
    </row>
    <row r="63" spans="1:22">
      <c r="B63" s="8"/>
      <c r="G63" s="11"/>
      <c r="L63" s="125"/>
      <c r="M63" s="123"/>
      <c r="N63" s="123"/>
      <c r="O63" s="123"/>
      <c r="P63" s="123"/>
      <c r="Q63" s="123"/>
      <c r="R63" s="123"/>
      <c r="S63" s="123"/>
      <c r="T63" s="123"/>
      <c r="U63" s="123"/>
      <c r="V63" s="124"/>
    </row>
    <row r="64" spans="1:22">
      <c r="B64" s="10"/>
      <c r="C64" s="7"/>
      <c r="D64" s="7"/>
      <c r="E64" s="7"/>
      <c r="F64" s="7"/>
      <c r="G64" s="13"/>
      <c r="L64" s="126"/>
      <c r="M64" s="127"/>
      <c r="N64" s="127"/>
      <c r="O64" s="127"/>
      <c r="P64" s="127"/>
      <c r="Q64" s="127"/>
      <c r="R64" s="127"/>
      <c r="S64" s="127"/>
      <c r="T64" s="127"/>
      <c r="U64" s="127"/>
      <c r="V64" s="128"/>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A1:V64"/>
  <sheetViews>
    <sheetView zoomScale="75" workbookViewId="0">
      <selection sqref="A1:XFD1048576"/>
    </sheetView>
  </sheetViews>
  <sheetFormatPr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129" t="s">
        <v>118</v>
      </c>
      <c r="B1" s="123"/>
      <c r="C1" s="123"/>
      <c r="D1" s="123"/>
      <c r="E1" s="123"/>
      <c r="F1" s="123"/>
      <c r="G1" s="123"/>
    </row>
    <row r="3" spans="1:22">
      <c r="B3" s="130" t="s">
        <v>1</v>
      </c>
      <c r="C3" s="131"/>
      <c r="D3" s="131"/>
      <c r="E3" s="131"/>
      <c r="F3" s="131"/>
      <c r="G3" s="132"/>
      <c r="L3" s="133" t="s">
        <v>2</v>
      </c>
      <c r="M3" s="134"/>
      <c r="N3" s="134"/>
      <c r="O3" s="134"/>
      <c r="P3" s="134"/>
      <c r="Q3" s="134"/>
      <c r="R3" s="134"/>
      <c r="S3" s="134"/>
      <c r="T3" s="134"/>
      <c r="U3" s="134"/>
      <c r="V3" s="135"/>
    </row>
    <row r="4" spans="1:22">
      <c r="B4" s="8"/>
      <c r="G4" s="11"/>
      <c r="L4" s="136" t="s">
        <v>3</v>
      </c>
      <c r="M4" s="137"/>
      <c r="N4" s="4"/>
      <c r="O4" s="138" t="s">
        <v>4</v>
      </c>
      <c r="P4" s="137"/>
      <c r="Q4" s="4"/>
      <c r="R4" s="138" t="s">
        <v>5</v>
      </c>
      <c r="S4" s="137"/>
      <c r="T4" s="4"/>
      <c r="U4" s="138" t="s">
        <v>6</v>
      </c>
      <c r="V4" s="139"/>
    </row>
    <row r="5" spans="1:22" ht="60" customHeight="1">
      <c r="B5" s="9" t="s">
        <v>3</v>
      </c>
      <c r="C5" s="5" t="s">
        <v>4</v>
      </c>
      <c r="D5" s="5" t="s">
        <v>5</v>
      </c>
      <c r="E5" s="5" t="s">
        <v>6</v>
      </c>
      <c r="F5" s="5" t="s">
        <v>7</v>
      </c>
      <c r="G5" s="12" t="s">
        <v>8</v>
      </c>
      <c r="L5" s="15" t="s">
        <v>9</v>
      </c>
      <c r="M5" s="14" t="s">
        <v>10</v>
      </c>
      <c r="N5" s="14"/>
      <c r="O5" s="14" t="s">
        <v>9</v>
      </c>
      <c r="P5" s="14" t="s">
        <v>10</v>
      </c>
      <c r="Q5" s="14"/>
      <c r="R5" s="14" t="s">
        <v>9</v>
      </c>
      <c r="S5" s="14" t="s">
        <v>10</v>
      </c>
      <c r="T5" s="14"/>
      <c r="U5" s="14" t="s">
        <v>9</v>
      </c>
      <c r="V5" s="16" t="s">
        <v>10</v>
      </c>
    </row>
    <row r="6" spans="1:22">
      <c r="A6" s="1" t="s">
        <v>11</v>
      </c>
      <c r="B6" s="29">
        <v>16054.52738494784</v>
      </c>
      <c r="C6" s="30">
        <v>1400.2921087776413</v>
      </c>
      <c r="D6" s="30">
        <v>0</v>
      </c>
      <c r="E6" s="30">
        <v>0</v>
      </c>
      <c r="F6" s="30">
        <v>0</v>
      </c>
      <c r="G6" s="31">
        <f>SUM(AL_FINANCIAL)</f>
        <v>17454.819493725481</v>
      </c>
      <c r="H6" s="30"/>
      <c r="I6" s="30"/>
      <c r="J6" s="30"/>
      <c r="K6" s="30"/>
      <c r="L6" s="29"/>
      <c r="M6" s="30"/>
      <c r="N6" s="30"/>
      <c r="O6" s="30"/>
      <c r="P6" s="30"/>
      <c r="Q6" s="30"/>
      <c r="R6" s="30"/>
      <c r="S6" s="30"/>
      <c r="T6" s="30"/>
      <c r="U6" s="30"/>
      <c r="V6" s="31"/>
    </row>
    <row r="7" spans="1:22">
      <c r="A7" s="1" t="s">
        <v>12</v>
      </c>
      <c r="B7" s="29">
        <v>0</v>
      </c>
      <c r="C7" s="30">
        <v>0</v>
      </c>
      <c r="D7" s="30">
        <v>0</v>
      </c>
      <c r="E7" s="30">
        <v>0</v>
      </c>
      <c r="F7" s="30">
        <v>0</v>
      </c>
      <c r="G7" s="31">
        <f>SUM(AK_FINANCIAL)</f>
        <v>0</v>
      </c>
      <c r="H7" s="30"/>
      <c r="I7" s="32"/>
      <c r="J7" s="33"/>
      <c r="K7" s="30"/>
      <c r="L7" s="29"/>
      <c r="M7" s="30"/>
      <c r="N7" s="30"/>
      <c r="O7" s="30"/>
      <c r="P7" s="30"/>
      <c r="Q7" s="30"/>
      <c r="R7" s="30"/>
      <c r="S7" s="30"/>
      <c r="T7" s="30"/>
      <c r="U7" s="30"/>
      <c r="V7" s="31"/>
    </row>
    <row r="8" spans="1:22">
      <c r="A8" s="1" t="s">
        <v>13</v>
      </c>
      <c r="B8" s="29">
        <v>0</v>
      </c>
      <c r="C8" s="30">
        <v>0</v>
      </c>
      <c r="D8" s="30">
        <v>0</v>
      </c>
      <c r="E8" s="30">
        <v>0</v>
      </c>
      <c r="F8" s="30">
        <v>0</v>
      </c>
      <c r="G8" s="31">
        <f>SUM(AZ_FINANCIAL)</f>
        <v>0</v>
      </c>
      <c r="H8" s="30"/>
      <c r="I8" s="34" t="s">
        <v>14</v>
      </c>
      <c r="J8" s="35"/>
      <c r="K8" s="30"/>
      <c r="L8" s="29"/>
      <c r="M8" s="30"/>
      <c r="N8" s="30"/>
      <c r="O8" s="30"/>
      <c r="P8" s="30"/>
      <c r="Q8" s="30"/>
      <c r="R8" s="30"/>
      <c r="S8" s="30"/>
      <c r="T8" s="30"/>
      <c r="U8" s="30"/>
      <c r="V8" s="31"/>
    </row>
    <row r="9" spans="1:22">
      <c r="A9" s="1" t="s">
        <v>15</v>
      </c>
      <c r="B9" s="29">
        <v>8943.4775164320454</v>
      </c>
      <c r="C9" s="30">
        <v>8575.5854903493619</v>
      </c>
      <c r="D9" s="30">
        <v>0</v>
      </c>
      <c r="E9" s="30">
        <v>0</v>
      </c>
      <c r="F9" s="30">
        <v>0</v>
      </c>
      <c r="G9" s="31">
        <f>SUM(AR_FINANCIAL)</f>
        <v>17519.063006781405</v>
      </c>
      <c r="H9" s="30"/>
      <c r="I9" s="34"/>
      <c r="J9" s="35"/>
      <c r="K9" s="30"/>
      <c r="L9" s="29">
        <v>56916</v>
      </c>
      <c r="M9" s="30">
        <v>0</v>
      </c>
      <c r="N9" s="30"/>
      <c r="O9" s="30">
        <v>0</v>
      </c>
      <c r="P9" s="30">
        <v>0</v>
      </c>
      <c r="Q9" s="30"/>
      <c r="R9" s="30">
        <v>0</v>
      </c>
      <c r="S9" s="30">
        <v>0</v>
      </c>
      <c r="T9" s="30"/>
      <c r="U9" s="30">
        <v>0</v>
      </c>
      <c r="V9" s="31">
        <v>0</v>
      </c>
    </row>
    <row r="10" spans="1:22">
      <c r="A10" s="1" t="s">
        <v>16</v>
      </c>
      <c r="B10" s="29">
        <v>0</v>
      </c>
      <c r="C10" s="30">
        <v>0</v>
      </c>
      <c r="D10" s="30">
        <v>0</v>
      </c>
      <c r="E10" s="30">
        <v>0</v>
      </c>
      <c r="F10" s="30">
        <v>0</v>
      </c>
      <c r="G10" s="31">
        <f>SUM(CA_FINANCIAL)</f>
        <v>0</v>
      </c>
      <c r="H10" s="30"/>
      <c r="I10" s="34" t="s">
        <v>17</v>
      </c>
      <c r="J10" s="35">
        <v>48277445</v>
      </c>
      <c r="K10" s="30"/>
      <c r="L10" s="29"/>
      <c r="M10" s="30"/>
      <c r="N10" s="30"/>
      <c r="O10" s="30"/>
      <c r="P10" s="30"/>
      <c r="Q10" s="30"/>
      <c r="R10" s="30"/>
      <c r="S10" s="30"/>
      <c r="T10" s="30"/>
      <c r="U10" s="30"/>
      <c r="V10" s="31"/>
    </row>
    <row r="11" spans="1:22">
      <c r="A11" s="1" t="s">
        <v>18</v>
      </c>
      <c r="B11" s="29">
        <v>0</v>
      </c>
      <c r="C11" s="30">
        <v>0</v>
      </c>
      <c r="D11" s="30">
        <v>0</v>
      </c>
      <c r="E11" s="30">
        <v>0</v>
      </c>
      <c r="F11" s="30">
        <v>0</v>
      </c>
      <c r="G11" s="31">
        <f>SUM(CO_FINANCIAL)</f>
        <v>0</v>
      </c>
      <c r="H11" s="30"/>
      <c r="I11" s="34"/>
      <c r="J11" s="35"/>
      <c r="K11" s="30"/>
      <c r="L11" s="29"/>
      <c r="M11" s="30"/>
      <c r="N11" s="30"/>
      <c r="O11" s="30"/>
      <c r="P11" s="30"/>
      <c r="Q11" s="30"/>
      <c r="R11" s="30"/>
      <c r="S11" s="30"/>
      <c r="T11" s="30"/>
      <c r="U11" s="30"/>
      <c r="V11" s="31"/>
    </row>
    <row r="12" spans="1:22">
      <c r="A12" s="1" t="s">
        <v>19</v>
      </c>
      <c r="B12" s="29">
        <v>0</v>
      </c>
      <c r="C12" s="30">
        <v>0</v>
      </c>
      <c r="D12" s="30">
        <v>0</v>
      </c>
      <c r="E12" s="30">
        <v>0</v>
      </c>
      <c r="F12" s="30">
        <v>0</v>
      </c>
      <c r="G12" s="31">
        <f>SUM(CT_FINANCIAL)</f>
        <v>0</v>
      </c>
      <c r="H12" s="30"/>
      <c r="I12" s="34" t="s">
        <v>20</v>
      </c>
      <c r="J12" s="35"/>
      <c r="K12" s="30"/>
      <c r="L12" s="29"/>
      <c r="M12" s="30"/>
      <c r="N12" s="30"/>
      <c r="O12" s="30"/>
      <c r="P12" s="30"/>
      <c r="Q12" s="30"/>
      <c r="R12" s="30"/>
      <c r="S12" s="30"/>
      <c r="T12" s="30"/>
      <c r="U12" s="30"/>
      <c r="V12" s="31"/>
    </row>
    <row r="13" spans="1:22">
      <c r="A13" s="1" t="s">
        <v>21</v>
      </c>
      <c r="B13" s="29">
        <v>0</v>
      </c>
      <c r="C13" s="30">
        <v>0</v>
      </c>
      <c r="D13" s="30">
        <v>0</v>
      </c>
      <c r="E13" s="30">
        <v>0</v>
      </c>
      <c r="F13" s="30">
        <v>0</v>
      </c>
      <c r="G13" s="31">
        <f>SUM(DE_FINANCIAL)</f>
        <v>0</v>
      </c>
      <c r="H13" s="30"/>
      <c r="I13" s="34" t="s">
        <v>22</v>
      </c>
      <c r="J13" s="35">
        <v>0</v>
      </c>
      <c r="K13" s="30"/>
      <c r="L13" s="29"/>
      <c r="M13" s="30"/>
      <c r="N13" s="30"/>
      <c r="O13" s="30"/>
      <c r="P13" s="30"/>
      <c r="Q13" s="30"/>
      <c r="R13" s="30"/>
      <c r="S13" s="30"/>
      <c r="T13" s="30"/>
      <c r="U13" s="30"/>
      <c r="V13" s="31"/>
    </row>
    <row r="14" spans="1:22">
      <c r="A14" s="1" t="s">
        <v>23</v>
      </c>
      <c r="B14" s="29">
        <v>0</v>
      </c>
      <c r="C14" s="30">
        <v>0</v>
      </c>
      <c r="D14" s="30">
        <v>0</v>
      </c>
      <c r="E14" s="30">
        <v>0</v>
      </c>
      <c r="F14" s="30">
        <v>0</v>
      </c>
      <c r="G14" s="31">
        <f>SUM(DC_FINANCIAL)</f>
        <v>0</v>
      </c>
      <c r="H14" s="30"/>
      <c r="I14" s="34" t="s">
        <v>24</v>
      </c>
      <c r="J14" s="35">
        <v>167439.99999999997</v>
      </c>
      <c r="K14" s="30"/>
      <c r="L14" s="29"/>
      <c r="M14" s="30"/>
      <c r="N14" s="30"/>
      <c r="O14" s="30"/>
      <c r="P14" s="30"/>
      <c r="Q14" s="30"/>
      <c r="R14" s="30"/>
      <c r="S14" s="30"/>
      <c r="T14" s="30"/>
      <c r="U14" s="30"/>
      <c r="V14" s="31"/>
    </row>
    <row r="15" spans="1:22">
      <c r="A15" s="1" t="s">
        <v>25</v>
      </c>
      <c r="B15" s="29">
        <v>1218.1850722048548</v>
      </c>
      <c r="C15" s="30">
        <v>355.9119063120379</v>
      </c>
      <c r="D15" s="30">
        <v>0</v>
      </c>
      <c r="E15" s="30">
        <v>0</v>
      </c>
      <c r="F15" s="30">
        <v>0</v>
      </c>
      <c r="G15" s="31">
        <f>SUM(FL_FINANCIAL)</f>
        <v>1574.0969785168927</v>
      </c>
      <c r="H15" s="30"/>
      <c r="I15" s="34" t="s">
        <v>26</v>
      </c>
      <c r="J15" s="35">
        <v>1900299.0519795683</v>
      </c>
      <c r="K15" s="30"/>
      <c r="L15" s="29"/>
      <c r="M15" s="30"/>
      <c r="N15" s="30"/>
      <c r="O15" s="30"/>
      <c r="P15" s="30"/>
      <c r="Q15" s="30"/>
      <c r="R15" s="30"/>
      <c r="S15" s="30"/>
      <c r="T15" s="30"/>
      <c r="U15" s="30"/>
      <c r="V15" s="31"/>
    </row>
    <row r="16" spans="1:22">
      <c r="A16" s="1" t="s">
        <v>27</v>
      </c>
      <c r="B16" s="29">
        <v>-2518.543033139933</v>
      </c>
      <c r="C16" s="30">
        <v>-1021.7755401727627</v>
      </c>
      <c r="D16" s="30">
        <v>0</v>
      </c>
      <c r="E16" s="30">
        <v>0</v>
      </c>
      <c r="F16" s="30">
        <v>0</v>
      </c>
      <c r="G16" s="31">
        <f>SUM(GA_FINANCIAL)</f>
        <v>-3540.3185733126957</v>
      </c>
      <c r="H16" s="30"/>
      <c r="I16" s="34" t="s">
        <v>28</v>
      </c>
      <c r="J16" s="35">
        <v>0</v>
      </c>
      <c r="K16" s="30"/>
      <c r="L16" s="29"/>
      <c r="M16" s="30"/>
      <c r="N16" s="30"/>
      <c r="O16" s="30"/>
      <c r="P16" s="30"/>
      <c r="Q16" s="30"/>
      <c r="R16" s="30"/>
      <c r="S16" s="30"/>
      <c r="T16" s="30"/>
      <c r="U16" s="30"/>
      <c r="V16" s="31"/>
    </row>
    <row r="17" spans="1:22">
      <c r="A17" s="1" t="s">
        <v>29</v>
      </c>
      <c r="B17" s="29">
        <v>0</v>
      </c>
      <c r="C17" s="30">
        <v>0</v>
      </c>
      <c r="D17" s="30">
        <v>0</v>
      </c>
      <c r="E17" s="30">
        <v>0</v>
      </c>
      <c r="F17" s="30">
        <v>0</v>
      </c>
      <c r="G17" s="31">
        <f>SUM(HI_FINANCIAL)</f>
        <v>0</v>
      </c>
      <c r="H17" s="30"/>
      <c r="I17" s="34"/>
      <c r="J17" s="35"/>
      <c r="K17" s="30"/>
      <c r="L17" s="29"/>
      <c r="M17" s="30"/>
      <c r="N17" s="30"/>
      <c r="O17" s="30"/>
      <c r="P17" s="30"/>
      <c r="Q17" s="30"/>
      <c r="R17" s="30"/>
      <c r="S17" s="30"/>
      <c r="T17" s="30"/>
      <c r="U17" s="30"/>
      <c r="V17" s="31"/>
    </row>
    <row r="18" spans="1:22">
      <c r="A18" s="1" t="s">
        <v>30</v>
      </c>
      <c r="B18" s="29">
        <v>0</v>
      </c>
      <c r="C18" s="30">
        <v>0</v>
      </c>
      <c r="D18" s="30">
        <v>0</v>
      </c>
      <c r="E18" s="30">
        <v>0</v>
      </c>
      <c r="F18" s="30">
        <v>0</v>
      </c>
      <c r="G18" s="31">
        <f>SUM(ID_FINANCIAL)</f>
        <v>0</v>
      </c>
      <c r="H18" s="30"/>
      <c r="I18" s="34" t="s">
        <v>31</v>
      </c>
      <c r="J18" s="35"/>
      <c r="K18" s="30"/>
      <c r="L18" s="29"/>
      <c r="M18" s="30"/>
      <c r="N18" s="30"/>
      <c r="O18" s="30"/>
      <c r="P18" s="30"/>
      <c r="Q18" s="30"/>
      <c r="R18" s="30"/>
      <c r="S18" s="30"/>
      <c r="T18" s="30"/>
      <c r="U18" s="30"/>
      <c r="V18" s="31"/>
    </row>
    <row r="19" spans="1:22">
      <c r="A19" s="1" t="s">
        <v>32</v>
      </c>
      <c r="B19" s="29">
        <v>-25314.362059756502</v>
      </c>
      <c r="C19" s="30">
        <v>-13633.58265355404</v>
      </c>
      <c r="D19" s="30">
        <v>0</v>
      </c>
      <c r="E19" s="30">
        <v>0</v>
      </c>
      <c r="F19" s="30">
        <v>0</v>
      </c>
      <c r="G19" s="31">
        <f>SUM(IL_FINANCIAL)</f>
        <v>-38947.944713310542</v>
      </c>
      <c r="H19" s="30"/>
      <c r="I19" s="34" t="s">
        <v>33</v>
      </c>
      <c r="J19" s="35">
        <v>32999999</v>
      </c>
      <c r="K19" s="30"/>
      <c r="L19" s="29">
        <v>325000</v>
      </c>
      <c r="M19" s="30">
        <v>0</v>
      </c>
      <c r="N19" s="30"/>
      <c r="O19" s="30">
        <v>0</v>
      </c>
      <c r="P19" s="30">
        <v>0</v>
      </c>
      <c r="Q19" s="30"/>
      <c r="R19" s="30">
        <v>0</v>
      </c>
      <c r="S19" s="30">
        <v>0</v>
      </c>
      <c r="T19" s="30"/>
      <c r="U19" s="30">
        <v>0</v>
      </c>
      <c r="V19" s="31">
        <v>0</v>
      </c>
    </row>
    <row r="20" spans="1:22">
      <c r="A20" s="1" t="s">
        <v>34</v>
      </c>
      <c r="B20" s="29">
        <v>0</v>
      </c>
      <c r="C20" s="30">
        <v>0</v>
      </c>
      <c r="D20" s="30">
        <v>0</v>
      </c>
      <c r="E20" s="30">
        <v>0</v>
      </c>
      <c r="F20" s="30">
        <v>0</v>
      </c>
      <c r="G20" s="31">
        <f>SUM(IN_FINANCIAL)</f>
        <v>0</v>
      </c>
      <c r="H20" s="30"/>
      <c r="I20" s="34" t="s">
        <v>35</v>
      </c>
      <c r="J20" s="35">
        <v>-236724.9999999998</v>
      </c>
      <c r="K20" s="30"/>
      <c r="L20" s="29"/>
      <c r="M20" s="30"/>
      <c r="N20" s="30"/>
      <c r="O20" s="30"/>
      <c r="P20" s="30"/>
      <c r="Q20" s="30"/>
      <c r="R20" s="30"/>
      <c r="S20" s="30"/>
      <c r="T20" s="30"/>
      <c r="U20" s="30"/>
      <c r="V20" s="31"/>
    </row>
    <row r="21" spans="1:22">
      <c r="A21" s="1" t="s">
        <v>36</v>
      </c>
      <c r="B21" s="29">
        <v>0</v>
      </c>
      <c r="C21" s="30">
        <v>0</v>
      </c>
      <c r="D21" s="30">
        <v>0</v>
      </c>
      <c r="E21" s="30">
        <v>0</v>
      </c>
      <c r="F21" s="30">
        <v>0</v>
      </c>
      <c r="G21" s="31">
        <f>SUM(IA_FINANCIAL)</f>
        <v>0</v>
      </c>
      <c r="H21" s="30"/>
      <c r="I21" s="34" t="s">
        <v>37</v>
      </c>
      <c r="J21" s="35"/>
      <c r="K21" s="30"/>
      <c r="L21" s="29"/>
      <c r="M21" s="30"/>
      <c r="N21" s="30"/>
      <c r="O21" s="30"/>
      <c r="P21" s="30"/>
      <c r="Q21" s="30"/>
      <c r="R21" s="30"/>
      <c r="S21" s="30"/>
      <c r="T21" s="30"/>
      <c r="U21" s="30"/>
      <c r="V21" s="31"/>
    </row>
    <row r="22" spans="1:22">
      <c r="A22" s="1" t="s">
        <v>38</v>
      </c>
      <c r="B22" s="29">
        <v>0</v>
      </c>
      <c r="C22" s="30">
        <v>0</v>
      </c>
      <c r="D22" s="30">
        <v>0</v>
      </c>
      <c r="E22" s="30">
        <v>0</v>
      </c>
      <c r="F22" s="30">
        <v>0</v>
      </c>
      <c r="G22" s="31">
        <f>SUM(KS_FINANCIAL)</f>
        <v>0</v>
      </c>
      <c r="H22" s="30"/>
      <c r="I22" s="34" t="s">
        <v>39</v>
      </c>
      <c r="J22" s="35">
        <v>4411447</v>
      </c>
      <c r="K22" s="30"/>
      <c r="L22" s="29"/>
      <c r="M22" s="30"/>
      <c r="N22" s="30"/>
      <c r="O22" s="30"/>
      <c r="P22" s="30"/>
      <c r="Q22" s="30"/>
      <c r="R22" s="30"/>
      <c r="S22" s="30"/>
      <c r="T22" s="30"/>
      <c r="U22" s="30"/>
      <c r="V22" s="31"/>
    </row>
    <row r="23" spans="1:22">
      <c r="A23" s="1" t="s">
        <v>40</v>
      </c>
      <c r="B23" s="29">
        <v>21396.167637486535</v>
      </c>
      <c r="C23" s="30">
        <v>3976.5463135264145</v>
      </c>
      <c r="D23" s="30">
        <v>0</v>
      </c>
      <c r="E23" s="30">
        <v>0</v>
      </c>
      <c r="F23" s="30">
        <v>0</v>
      </c>
      <c r="G23" s="31">
        <f>SUM(KY_FINANCIAL)</f>
        <v>25372.713951012949</v>
      </c>
      <c r="H23" s="30"/>
      <c r="I23" s="34" t="s">
        <v>41</v>
      </c>
      <c r="J23" s="35"/>
      <c r="K23" s="30"/>
      <c r="L23" s="29">
        <v>440000</v>
      </c>
      <c r="M23" s="30">
        <v>486166</v>
      </c>
      <c r="N23" s="30"/>
      <c r="O23" s="30">
        <v>80000</v>
      </c>
      <c r="P23" s="30">
        <v>15036</v>
      </c>
      <c r="Q23" s="30"/>
      <c r="R23" s="30">
        <v>0</v>
      </c>
      <c r="S23" s="30">
        <v>0</v>
      </c>
      <c r="T23" s="30"/>
      <c r="U23" s="30">
        <v>0</v>
      </c>
      <c r="V23" s="31">
        <v>0</v>
      </c>
    </row>
    <row r="24" spans="1:22">
      <c r="A24" s="1" t="s">
        <v>42</v>
      </c>
      <c r="B24" s="29">
        <v>-9215.2004175097172</v>
      </c>
      <c r="C24" s="30">
        <v>-2724.3132370117346</v>
      </c>
      <c r="D24" s="30">
        <v>0</v>
      </c>
      <c r="E24" s="30">
        <v>0</v>
      </c>
      <c r="F24" s="30">
        <v>0</v>
      </c>
      <c r="G24" s="31">
        <f>SUM(LA_FINANCIAL)</f>
        <v>-11939.513654521452</v>
      </c>
      <c r="H24" s="30"/>
      <c r="I24" s="34" t="s">
        <v>43</v>
      </c>
      <c r="J24" s="35">
        <v>12696835.254612444</v>
      </c>
      <c r="K24" s="30"/>
      <c r="L24" s="29"/>
      <c r="M24" s="30"/>
      <c r="N24" s="30"/>
      <c r="O24" s="30"/>
      <c r="P24" s="30"/>
      <c r="Q24" s="30"/>
      <c r="R24" s="30"/>
      <c r="S24" s="30"/>
      <c r="T24" s="30"/>
      <c r="U24" s="30"/>
      <c r="V24" s="31"/>
    </row>
    <row r="25" spans="1:22">
      <c r="A25" s="1" t="s">
        <v>44</v>
      </c>
      <c r="B25" s="29">
        <v>0</v>
      </c>
      <c r="C25" s="30">
        <v>0</v>
      </c>
      <c r="D25" s="30">
        <v>0</v>
      </c>
      <c r="E25" s="30">
        <v>0</v>
      </c>
      <c r="F25" s="30">
        <v>0</v>
      </c>
      <c r="G25" s="31">
        <f>SUM(ME_FINANCIAL)</f>
        <v>0</v>
      </c>
      <c r="H25" s="30"/>
      <c r="I25" s="34"/>
      <c r="J25" s="35"/>
      <c r="K25" s="30"/>
      <c r="L25" s="29"/>
      <c r="M25" s="30"/>
      <c r="N25" s="30"/>
      <c r="O25" s="30"/>
      <c r="P25" s="30"/>
      <c r="Q25" s="30"/>
      <c r="R25" s="30"/>
      <c r="S25" s="30"/>
      <c r="T25" s="30"/>
      <c r="U25" s="30"/>
      <c r="V25" s="31"/>
    </row>
    <row r="26" spans="1:22">
      <c r="A26" s="1" t="s">
        <v>45</v>
      </c>
      <c r="B26" s="29">
        <v>0</v>
      </c>
      <c r="C26" s="30">
        <v>0</v>
      </c>
      <c r="D26" s="30">
        <v>0</v>
      </c>
      <c r="E26" s="30">
        <v>0</v>
      </c>
      <c r="F26" s="30">
        <v>0</v>
      </c>
      <c r="G26" s="31">
        <f>SUM(MD_FINANCIAL)</f>
        <v>0</v>
      </c>
      <c r="H26" s="30"/>
      <c r="I26" s="34" t="s">
        <v>46</v>
      </c>
      <c r="J26" s="35">
        <f>SUM(ADD_FINANCIAL)-SUM(LESS_FINANCIAL)</f>
        <v>473627.79736712575</v>
      </c>
      <c r="K26" s="30"/>
      <c r="L26" s="29"/>
      <c r="M26" s="30"/>
      <c r="N26" s="30"/>
      <c r="O26" s="30"/>
      <c r="P26" s="30"/>
      <c r="Q26" s="30"/>
      <c r="R26" s="30"/>
      <c r="S26" s="30"/>
      <c r="T26" s="30"/>
      <c r="U26" s="30"/>
      <c r="V26" s="31"/>
    </row>
    <row r="27" spans="1:22">
      <c r="A27" s="1" t="s">
        <v>47</v>
      </c>
      <c r="B27" s="29">
        <v>0</v>
      </c>
      <c r="C27" s="30">
        <v>0</v>
      </c>
      <c r="D27" s="30">
        <v>0</v>
      </c>
      <c r="E27" s="30">
        <v>0</v>
      </c>
      <c r="F27" s="30">
        <v>0</v>
      </c>
      <c r="G27" s="31">
        <f>SUM(MA_FINANCIAL)</f>
        <v>0</v>
      </c>
      <c r="H27" s="30"/>
      <c r="I27" s="34" t="s">
        <v>48</v>
      </c>
      <c r="J27" s="35">
        <f>SUM(ALL_BLOCKS)</f>
        <v>473627.79736712505</v>
      </c>
      <c r="K27" s="30"/>
      <c r="L27" s="29"/>
      <c r="M27" s="30"/>
      <c r="N27" s="30"/>
      <c r="O27" s="30"/>
      <c r="P27" s="30"/>
      <c r="Q27" s="30"/>
      <c r="R27" s="30"/>
      <c r="S27" s="30"/>
      <c r="T27" s="30"/>
      <c r="U27" s="30"/>
      <c r="V27" s="31"/>
    </row>
    <row r="28" spans="1:22">
      <c r="A28" s="1" t="s">
        <v>49</v>
      </c>
      <c r="B28" s="29">
        <v>0</v>
      </c>
      <c r="C28" s="30">
        <v>0</v>
      </c>
      <c r="D28" s="30">
        <v>0</v>
      </c>
      <c r="E28" s="30">
        <v>0</v>
      </c>
      <c r="F28" s="30">
        <v>0</v>
      </c>
      <c r="G28" s="31">
        <f>SUM(MI_FINANCIAL)</f>
        <v>0</v>
      </c>
      <c r="H28" s="30"/>
      <c r="I28" s="36"/>
      <c r="J28" s="37"/>
      <c r="K28" s="30"/>
      <c r="L28" s="29"/>
      <c r="M28" s="30"/>
      <c r="N28" s="30"/>
      <c r="O28" s="30"/>
      <c r="P28" s="30"/>
      <c r="Q28" s="30"/>
      <c r="R28" s="30"/>
      <c r="S28" s="30"/>
      <c r="T28" s="30"/>
      <c r="U28" s="30"/>
      <c r="V28" s="31"/>
    </row>
    <row r="29" spans="1:22">
      <c r="A29" s="1" t="s">
        <v>50</v>
      </c>
      <c r="B29" s="29">
        <v>0</v>
      </c>
      <c r="C29" s="30">
        <v>0</v>
      </c>
      <c r="D29" s="30">
        <v>0</v>
      </c>
      <c r="E29" s="30">
        <v>0</v>
      </c>
      <c r="F29" s="30">
        <v>0</v>
      </c>
      <c r="G29" s="31">
        <f>SUM(MN_FINANCIAL)</f>
        <v>0</v>
      </c>
      <c r="H29" s="30"/>
      <c r="I29" s="30"/>
      <c r="J29" s="30"/>
      <c r="K29" s="30"/>
      <c r="L29" s="29"/>
      <c r="M29" s="30"/>
      <c r="N29" s="30"/>
      <c r="O29" s="30"/>
      <c r="P29" s="30"/>
      <c r="Q29" s="30"/>
      <c r="R29" s="30"/>
      <c r="S29" s="30"/>
      <c r="T29" s="30"/>
      <c r="U29" s="30"/>
      <c r="V29" s="31"/>
    </row>
    <row r="30" spans="1:22">
      <c r="A30" s="1" t="s">
        <v>51</v>
      </c>
      <c r="B30" s="29">
        <v>-41782.89208901659</v>
      </c>
      <c r="C30" s="30">
        <v>-43439.7913442766</v>
      </c>
      <c r="D30" s="30">
        <v>0</v>
      </c>
      <c r="E30" s="30">
        <v>0</v>
      </c>
      <c r="F30" s="30">
        <v>0</v>
      </c>
      <c r="G30" s="31">
        <f>SUM(MS_FINANCIAL)</f>
        <v>-85222.68343329319</v>
      </c>
      <c r="H30" s="30"/>
      <c r="I30" s="30"/>
      <c r="J30" s="30"/>
      <c r="K30" s="30"/>
      <c r="L30" s="29"/>
      <c r="M30" s="30"/>
      <c r="N30" s="30"/>
      <c r="O30" s="30"/>
      <c r="P30" s="30"/>
      <c r="Q30" s="30"/>
      <c r="R30" s="30"/>
      <c r="S30" s="30"/>
      <c r="T30" s="30"/>
      <c r="U30" s="30"/>
      <c r="V30" s="31"/>
    </row>
    <row r="31" spans="1:22">
      <c r="A31" s="1" t="s">
        <v>52</v>
      </c>
      <c r="B31" s="29">
        <v>0</v>
      </c>
      <c r="C31" s="30">
        <v>0</v>
      </c>
      <c r="D31" s="30">
        <v>0</v>
      </c>
      <c r="E31" s="30">
        <v>0</v>
      </c>
      <c r="F31" s="30">
        <v>0</v>
      </c>
      <c r="G31" s="31">
        <f>SUM(MO_FINANCIAL)</f>
        <v>0</v>
      </c>
      <c r="H31" s="30"/>
      <c r="I31" s="30"/>
      <c r="J31" s="30"/>
      <c r="K31" s="30"/>
      <c r="L31" s="29"/>
      <c r="M31" s="30"/>
      <c r="N31" s="30"/>
      <c r="O31" s="30"/>
      <c r="P31" s="30"/>
      <c r="Q31" s="30"/>
      <c r="R31" s="30"/>
      <c r="S31" s="30"/>
      <c r="T31" s="30"/>
      <c r="U31" s="30"/>
      <c r="V31" s="31"/>
    </row>
    <row r="32" spans="1:22">
      <c r="A32" s="1" t="s">
        <v>53</v>
      </c>
      <c r="B32" s="29">
        <v>0</v>
      </c>
      <c r="C32" s="30">
        <v>0</v>
      </c>
      <c r="D32" s="30">
        <v>0</v>
      </c>
      <c r="E32" s="30">
        <v>0</v>
      </c>
      <c r="F32" s="30">
        <v>0</v>
      </c>
      <c r="G32" s="31">
        <f>SUM(MT_FINANCIAL)</f>
        <v>0</v>
      </c>
      <c r="H32" s="30"/>
      <c r="I32" s="30"/>
      <c r="J32" s="30"/>
      <c r="K32" s="30"/>
      <c r="L32" s="29"/>
      <c r="M32" s="30"/>
      <c r="N32" s="30"/>
      <c r="O32" s="30"/>
      <c r="P32" s="30"/>
      <c r="Q32" s="30"/>
      <c r="R32" s="30"/>
      <c r="S32" s="30"/>
      <c r="T32" s="30"/>
      <c r="U32" s="30"/>
      <c r="V32" s="31"/>
    </row>
    <row r="33" spans="1:22">
      <c r="A33" s="1" t="s">
        <v>54</v>
      </c>
      <c r="B33" s="29">
        <v>0</v>
      </c>
      <c r="C33" s="30">
        <v>0</v>
      </c>
      <c r="D33" s="30">
        <v>0</v>
      </c>
      <c r="E33" s="30">
        <v>0</v>
      </c>
      <c r="F33" s="30">
        <v>0</v>
      </c>
      <c r="G33" s="31">
        <f>SUM(NE_FINANCIAL)</f>
        <v>0</v>
      </c>
      <c r="H33" s="30"/>
      <c r="I33" s="30"/>
      <c r="J33" s="30"/>
      <c r="K33" s="30"/>
      <c r="L33" s="29"/>
      <c r="M33" s="30"/>
      <c r="N33" s="30"/>
      <c r="O33" s="30"/>
      <c r="P33" s="30"/>
      <c r="Q33" s="30"/>
      <c r="R33" s="30"/>
      <c r="S33" s="30"/>
      <c r="T33" s="30"/>
      <c r="U33" s="30"/>
      <c r="V33" s="31"/>
    </row>
    <row r="34" spans="1:22">
      <c r="A34" s="1" t="s">
        <v>55</v>
      </c>
      <c r="B34" s="29">
        <v>0</v>
      </c>
      <c r="C34" s="30">
        <v>0</v>
      </c>
      <c r="D34" s="30">
        <v>0</v>
      </c>
      <c r="E34" s="30">
        <v>0</v>
      </c>
      <c r="F34" s="30">
        <v>0</v>
      </c>
      <c r="G34" s="31">
        <f>SUM(NV_FINANCIAL)</f>
        <v>0</v>
      </c>
      <c r="H34" s="30"/>
      <c r="I34" s="30"/>
      <c r="J34" s="30"/>
      <c r="K34" s="30"/>
      <c r="L34" s="29"/>
      <c r="M34" s="30"/>
      <c r="N34" s="30"/>
      <c r="O34" s="30"/>
      <c r="P34" s="30"/>
      <c r="Q34" s="30"/>
      <c r="R34" s="30"/>
      <c r="S34" s="30"/>
      <c r="T34" s="30"/>
      <c r="U34" s="30"/>
      <c r="V34" s="31"/>
    </row>
    <row r="35" spans="1:22">
      <c r="A35" s="1" t="s">
        <v>56</v>
      </c>
      <c r="B35" s="29">
        <v>0</v>
      </c>
      <c r="C35" s="30">
        <v>0</v>
      </c>
      <c r="D35" s="30">
        <v>0</v>
      </c>
      <c r="E35" s="30">
        <v>0</v>
      </c>
      <c r="F35" s="30">
        <v>0</v>
      </c>
      <c r="G35" s="31">
        <f>SUM(NH_FINANCIAL)</f>
        <v>0</v>
      </c>
      <c r="H35" s="30"/>
      <c r="I35" s="30"/>
      <c r="J35" s="30"/>
      <c r="K35" s="30"/>
      <c r="L35" s="29"/>
      <c r="M35" s="30"/>
      <c r="N35" s="30"/>
      <c r="O35" s="30"/>
      <c r="P35" s="30"/>
      <c r="Q35" s="30"/>
      <c r="R35" s="30"/>
      <c r="S35" s="30"/>
      <c r="T35" s="30"/>
      <c r="U35" s="30"/>
      <c r="V35" s="31"/>
    </row>
    <row r="36" spans="1:22">
      <c r="A36" s="1" t="s">
        <v>57</v>
      </c>
      <c r="B36" s="29">
        <v>0</v>
      </c>
      <c r="C36" s="30">
        <v>0</v>
      </c>
      <c r="D36" s="30">
        <v>0</v>
      </c>
      <c r="E36" s="30">
        <v>0</v>
      </c>
      <c r="F36" s="30">
        <v>0</v>
      </c>
      <c r="G36" s="31">
        <f>SUM(NJ_FINANCIAL)</f>
        <v>0</v>
      </c>
      <c r="H36" s="30"/>
      <c r="I36" s="30"/>
      <c r="J36" s="30"/>
      <c r="K36" s="30"/>
      <c r="L36" s="29"/>
      <c r="M36" s="30"/>
      <c r="N36" s="30"/>
      <c r="O36" s="30"/>
      <c r="P36" s="30"/>
      <c r="Q36" s="30"/>
      <c r="R36" s="30"/>
      <c r="S36" s="30"/>
      <c r="T36" s="30"/>
      <c r="U36" s="30"/>
      <c r="V36" s="31"/>
    </row>
    <row r="37" spans="1:22">
      <c r="A37" s="1" t="s">
        <v>58</v>
      </c>
      <c r="B37" s="29">
        <v>0</v>
      </c>
      <c r="C37" s="30">
        <v>0</v>
      </c>
      <c r="D37" s="30">
        <v>0</v>
      </c>
      <c r="E37" s="30">
        <v>0</v>
      </c>
      <c r="F37" s="30">
        <v>0</v>
      </c>
      <c r="G37" s="31">
        <f>SUM(NM_FINANCIAL)</f>
        <v>0</v>
      </c>
      <c r="H37" s="30"/>
      <c r="I37" s="30"/>
      <c r="J37" s="30"/>
      <c r="K37" s="30"/>
      <c r="L37" s="29"/>
      <c r="M37" s="30"/>
      <c r="N37" s="30"/>
      <c r="O37" s="30"/>
      <c r="P37" s="30"/>
      <c r="Q37" s="30"/>
      <c r="R37" s="30"/>
      <c r="S37" s="30"/>
      <c r="T37" s="30"/>
      <c r="U37" s="30"/>
      <c r="V37" s="31"/>
    </row>
    <row r="38" spans="1:22">
      <c r="A38" s="1" t="s">
        <v>59</v>
      </c>
      <c r="B38" s="29">
        <v>0</v>
      </c>
      <c r="C38" s="30">
        <v>0</v>
      </c>
      <c r="D38" s="30">
        <v>0</v>
      </c>
      <c r="E38" s="30">
        <v>0</v>
      </c>
      <c r="F38" s="30">
        <v>0</v>
      </c>
      <c r="G38" s="31">
        <f>SUM(NY_FINANCIAL)</f>
        <v>0</v>
      </c>
      <c r="H38" s="30"/>
      <c r="I38" s="30"/>
      <c r="J38" s="30"/>
      <c r="K38" s="30"/>
      <c r="L38" s="29"/>
      <c r="M38" s="30"/>
      <c r="N38" s="30"/>
      <c r="O38" s="30"/>
      <c r="P38" s="30"/>
      <c r="Q38" s="30"/>
      <c r="R38" s="30"/>
      <c r="S38" s="30"/>
      <c r="T38" s="30"/>
      <c r="U38" s="30"/>
      <c r="V38" s="31"/>
    </row>
    <row r="39" spans="1:22">
      <c r="A39" s="1" t="s">
        <v>60</v>
      </c>
      <c r="B39" s="29">
        <v>31549.671298702073</v>
      </c>
      <c r="C39" s="30">
        <v>11167.109710213175</v>
      </c>
      <c r="D39" s="30">
        <v>0</v>
      </c>
      <c r="E39" s="30">
        <v>0</v>
      </c>
      <c r="F39" s="30">
        <v>0</v>
      </c>
      <c r="G39" s="31">
        <f>SUM(NC_FINANCIAL)</f>
        <v>42716.781008915248</v>
      </c>
      <c r="H39" s="30"/>
      <c r="I39" s="30"/>
      <c r="J39" s="30"/>
      <c r="K39" s="30"/>
      <c r="L39" s="29">
        <v>0</v>
      </c>
      <c r="M39" s="30">
        <v>284000</v>
      </c>
      <c r="N39" s="30"/>
      <c r="O39" s="30">
        <v>0</v>
      </c>
      <c r="P39" s="30">
        <v>116000</v>
      </c>
      <c r="Q39" s="30"/>
      <c r="R39" s="30">
        <v>0</v>
      </c>
      <c r="S39" s="30">
        <v>0</v>
      </c>
      <c r="T39" s="30"/>
      <c r="U39" s="30">
        <v>0</v>
      </c>
      <c r="V39" s="31">
        <v>0</v>
      </c>
    </row>
    <row r="40" spans="1:22">
      <c r="A40" s="1" t="s">
        <v>61</v>
      </c>
      <c r="B40" s="29">
        <v>0</v>
      </c>
      <c r="C40" s="30">
        <v>0</v>
      </c>
      <c r="D40" s="30">
        <v>0</v>
      </c>
      <c r="E40" s="30">
        <v>0</v>
      </c>
      <c r="F40" s="30">
        <v>0</v>
      </c>
      <c r="G40" s="31">
        <f>SUM(ND_FINANCIAL)</f>
        <v>0</v>
      </c>
      <c r="H40" s="30"/>
      <c r="I40" s="30"/>
      <c r="J40" s="30"/>
      <c r="K40" s="30"/>
      <c r="L40" s="29"/>
      <c r="M40" s="30"/>
      <c r="N40" s="30"/>
      <c r="O40" s="30"/>
      <c r="P40" s="30"/>
      <c r="Q40" s="30"/>
      <c r="R40" s="30"/>
      <c r="S40" s="30"/>
      <c r="T40" s="30"/>
      <c r="U40" s="30"/>
      <c r="V40" s="31"/>
    </row>
    <row r="41" spans="1:22">
      <c r="A41" s="1" t="s">
        <v>62</v>
      </c>
      <c r="B41" s="29">
        <v>0</v>
      </c>
      <c r="C41" s="30">
        <v>0</v>
      </c>
      <c r="D41" s="30">
        <v>0</v>
      </c>
      <c r="E41" s="30">
        <v>0</v>
      </c>
      <c r="F41" s="30">
        <v>0</v>
      </c>
      <c r="G41" s="31">
        <f>SUM(OH_FINANCIAL)</f>
        <v>0</v>
      </c>
      <c r="H41" s="30"/>
      <c r="I41" s="30"/>
      <c r="J41" s="30"/>
      <c r="K41" s="30"/>
      <c r="L41" s="29"/>
      <c r="M41" s="30"/>
      <c r="N41" s="30"/>
      <c r="O41" s="30"/>
      <c r="P41" s="30"/>
      <c r="Q41" s="30"/>
      <c r="R41" s="30"/>
      <c r="S41" s="30"/>
      <c r="T41" s="30"/>
      <c r="U41" s="30"/>
      <c r="V41" s="31"/>
    </row>
    <row r="42" spans="1:22">
      <c r="A42" s="1" t="s">
        <v>63</v>
      </c>
      <c r="B42" s="29">
        <v>-25838.493657177187</v>
      </c>
      <c r="C42" s="30">
        <v>-12452.043056151328</v>
      </c>
      <c r="D42" s="30">
        <v>0</v>
      </c>
      <c r="E42" s="30">
        <v>0</v>
      </c>
      <c r="F42" s="30">
        <v>0</v>
      </c>
      <c r="G42" s="31">
        <f>SUM(OK_FINANCIAL)</f>
        <v>-38290.536713328518</v>
      </c>
      <c r="H42" s="30"/>
      <c r="I42" s="30"/>
      <c r="J42" s="30"/>
      <c r="K42" s="30"/>
      <c r="L42" s="29">
        <v>46000</v>
      </c>
      <c r="M42" s="30">
        <v>0</v>
      </c>
      <c r="N42" s="30"/>
      <c r="O42" s="30">
        <v>4000</v>
      </c>
      <c r="P42" s="30">
        <v>0</v>
      </c>
      <c r="Q42" s="30"/>
      <c r="R42" s="30">
        <v>0</v>
      </c>
      <c r="S42" s="30">
        <v>0</v>
      </c>
      <c r="T42" s="30"/>
      <c r="U42" s="30">
        <v>0</v>
      </c>
      <c r="V42" s="31">
        <v>0</v>
      </c>
    </row>
    <row r="43" spans="1:22">
      <c r="A43" s="1" t="s">
        <v>64</v>
      </c>
      <c r="B43" s="29">
        <v>0</v>
      </c>
      <c r="C43" s="30">
        <v>0</v>
      </c>
      <c r="D43" s="30">
        <v>0</v>
      </c>
      <c r="E43" s="30">
        <v>0</v>
      </c>
      <c r="F43" s="30">
        <v>0</v>
      </c>
      <c r="G43" s="31">
        <f>SUM(OR_FINANCIAL)</f>
        <v>0</v>
      </c>
      <c r="H43" s="30"/>
      <c r="I43" s="30"/>
      <c r="J43" s="30"/>
      <c r="K43" s="30"/>
      <c r="L43" s="29"/>
      <c r="M43" s="30"/>
      <c r="N43" s="30"/>
      <c r="O43" s="30"/>
      <c r="P43" s="30"/>
      <c r="Q43" s="30"/>
      <c r="R43" s="30"/>
      <c r="S43" s="30"/>
      <c r="T43" s="30"/>
      <c r="U43" s="30"/>
      <c r="V43" s="31"/>
    </row>
    <row r="44" spans="1:22">
      <c r="A44" s="1" t="s">
        <v>65</v>
      </c>
      <c r="B44" s="29">
        <v>0</v>
      </c>
      <c r="C44" s="30">
        <v>0</v>
      </c>
      <c r="D44" s="30">
        <v>0</v>
      </c>
      <c r="E44" s="30">
        <v>0</v>
      </c>
      <c r="F44" s="30">
        <v>0</v>
      </c>
      <c r="G44" s="31">
        <f>SUM(PA_FINANCIAL)</f>
        <v>0</v>
      </c>
      <c r="H44" s="30"/>
      <c r="I44" s="30"/>
      <c r="J44" s="30"/>
      <c r="K44" s="30"/>
      <c r="L44" s="29"/>
      <c r="M44" s="30"/>
      <c r="N44" s="30"/>
      <c r="O44" s="30"/>
      <c r="P44" s="30"/>
      <c r="Q44" s="30"/>
      <c r="R44" s="30"/>
      <c r="S44" s="30"/>
      <c r="T44" s="30"/>
      <c r="U44" s="30"/>
      <c r="V44" s="31"/>
    </row>
    <row r="45" spans="1:22">
      <c r="A45" s="1" t="s">
        <v>66</v>
      </c>
      <c r="B45" s="29">
        <v>0</v>
      </c>
      <c r="C45" s="30">
        <v>0</v>
      </c>
      <c r="D45" s="30">
        <v>0</v>
      </c>
      <c r="E45" s="30">
        <v>0</v>
      </c>
      <c r="F45" s="30">
        <v>0</v>
      </c>
      <c r="G45" s="31">
        <f>SUM(PR_FINANCIAL)</f>
        <v>0</v>
      </c>
      <c r="H45" s="30"/>
      <c r="I45" s="30"/>
      <c r="J45" s="30"/>
      <c r="K45" s="30"/>
      <c r="L45" s="29"/>
      <c r="M45" s="30"/>
      <c r="N45" s="30"/>
      <c r="O45" s="30"/>
      <c r="P45" s="30"/>
      <c r="Q45" s="30"/>
      <c r="R45" s="30"/>
      <c r="S45" s="30"/>
      <c r="T45" s="30"/>
      <c r="U45" s="30"/>
      <c r="V45" s="31"/>
    </row>
    <row r="46" spans="1:22">
      <c r="A46" s="1" t="s">
        <v>67</v>
      </c>
      <c r="B46" s="29">
        <v>0</v>
      </c>
      <c r="C46" s="30">
        <v>0</v>
      </c>
      <c r="D46" s="30">
        <v>0</v>
      </c>
      <c r="E46" s="30">
        <v>0</v>
      </c>
      <c r="F46" s="30">
        <v>0</v>
      </c>
      <c r="G46" s="31">
        <f>SUM(RI_FINANCIAL)</f>
        <v>0</v>
      </c>
      <c r="H46" s="30"/>
      <c r="I46" s="30"/>
      <c r="J46" s="30"/>
      <c r="K46" s="30"/>
      <c r="L46" s="29"/>
      <c r="M46" s="30"/>
      <c r="N46" s="30"/>
      <c r="O46" s="30"/>
      <c r="P46" s="30"/>
      <c r="Q46" s="30"/>
      <c r="R46" s="30"/>
      <c r="S46" s="30"/>
      <c r="T46" s="30"/>
      <c r="U46" s="30"/>
      <c r="V46" s="31"/>
    </row>
    <row r="47" spans="1:22">
      <c r="A47" s="1" t="s">
        <v>68</v>
      </c>
      <c r="B47" s="29">
        <v>7126.1503244443666</v>
      </c>
      <c r="C47" s="30">
        <v>3054.8285112364583</v>
      </c>
      <c r="D47" s="30">
        <v>0</v>
      </c>
      <c r="E47" s="30">
        <v>0</v>
      </c>
      <c r="F47" s="30">
        <v>0</v>
      </c>
      <c r="G47" s="31">
        <f>SUM(SC_FINANCIAL)</f>
        <v>10180.978835680824</v>
      </c>
      <c r="H47" s="30"/>
      <c r="I47" s="30"/>
      <c r="J47" s="30"/>
      <c r="K47" s="30"/>
      <c r="L47" s="29"/>
      <c r="M47" s="30"/>
      <c r="N47" s="30"/>
      <c r="O47" s="30"/>
      <c r="P47" s="30"/>
      <c r="Q47" s="30"/>
      <c r="R47" s="30"/>
      <c r="S47" s="30"/>
      <c r="T47" s="30"/>
      <c r="U47" s="30"/>
      <c r="V47" s="31"/>
    </row>
    <row r="48" spans="1:22">
      <c r="A48" s="1" t="s">
        <v>69</v>
      </c>
      <c r="B48" s="29">
        <v>0</v>
      </c>
      <c r="C48" s="30">
        <v>0</v>
      </c>
      <c r="D48" s="30">
        <v>0</v>
      </c>
      <c r="E48" s="30">
        <v>0</v>
      </c>
      <c r="F48" s="30">
        <v>0</v>
      </c>
      <c r="G48" s="31">
        <f>SUM(SD_FINANCIAL)</f>
        <v>0</v>
      </c>
      <c r="H48" s="30"/>
      <c r="I48" s="30"/>
      <c r="J48" s="30"/>
      <c r="K48" s="30"/>
      <c r="L48" s="29"/>
      <c r="M48" s="30"/>
      <c r="N48" s="30"/>
      <c r="O48" s="30"/>
      <c r="P48" s="30"/>
      <c r="Q48" s="30"/>
      <c r="R48" s="30"/>
      <c r="S48" s="30"/>
      <c r="T48" s="30"/>
      <c r="U48" s="30"/>
      <c r="V48" s="31"/>
    </row>
    <row r="49" spans="1:22">
      <c r="A49" s="1" t="s">
        <v>70</v>
      </c>
      <c r="B49" s="29">
        <v>360413.87678351533</v>
      </c>
      <c r="C49" s="30">
        <v>116304.25992451562</v>
      </c>
      <c r="D49" s="30">
        <v>0</v>
      </c>
      <c r="E49" s="30">
        <v>0</v>
      </c>
      <c r="F49" s="30">
        <v>0</v>
      </c>
      <c r="G49" s="31">
        <f>SUM(TN_FINANCIAL)</f>
        <v>476718.13670803094</v>
      </c>
      <c r="H49" s="30"/>
      <c r="I49" s="30"/>
      <c r="J49" s="30"/>
      <c r="K49" s="30"/>
      <c r="L49" s="29"/>
      <c r="M49" s="30"/>
      <c r="N49" s="30"/>
      <c r="O49" s="30"/>
      <c r="P49" s="30"/>
      <c r="Q49" s="30"/>
      <c r="R49" s="30"/>
      <c r="S49" s="30"/>
      <c r="T49" s="30"/>
      <c r="U49" s="30"/>
      <c r="V49" s="31"/>
    </row>
    <row r="50" spans="1:22">
      <c r="A50" s="1" t="s">
        <v>71</v>
      </c>
      <c r="B50" s="29">
        <v>0</v>
      </c>
      <c r="C50" s="30">
        <v>0</v>
      </c>
      <c r="D50" s="30">
        <v>0</v>
      </c>
      <c r="E50" s="30">
        <v>0</v>
      </c>
      <c r="F50" s="30">
        <v>0</v>
      </c>
      <c r="G50" s="31">
        <f>SUM(TX_FINANCIAL)</f>
        <v>0</v>
      </c>
      <c r="H50" s="30"/>
      <c r="I50" s="30"/>
      <c r="J50" s="30"/>
      <c r="K50" s="30"/>
      <c r="L50" s="29"/>
      <c r="M50" s="30"/>
      <c r="N50" s="30"/>
      <c r="O50" s="30"/>
      <c r="P50" s="30"/>
      <c r="Q50" s="30"/>
      <c r="R50" s="30"/>
      <c r="S50" s="30"/>
      <c r="T50" s="30"/>
      <c r="U50" s="30"/>
      <c r="V50" s="31"/>
    </row>
    <row r="51" spans="1:22">
      <c r="A51" s="1" t="s">
        <v>72</v>
      </c>
      <c r="B51" s="29">
        <v>0</v>
      </c>
      <c r="C51" s="30">
        <v>0</v>
      </c>
      <c r="D51" s="30">
        <v>0</v>
      </c>
      <c r="E51" s="30">
        <v>0</v>
      </c>
      <c r="F51" s="30">
        <v>0</v>
      </c>
      <c r="G51" s="31">
        <f>SUM(UT_FINANCIAL)</f>
        <v>0</v>
      </c>
      <c r="H51" s="30"/>
      <c r="I51" s="30"/>
      <c r="J51" s="30"/>
      <c r="K51" s="30"/>
      <c r="L51" s="29"/>
      <c r="M51" s="30"/>
      <c r="N51" s="30"/>
      <c r="O51" s="30"/>
      <c r="P51" s="30"/>
      <c r="Q51" s="30"/>
      <c r="R51" s="30"/>
      <c r="S51" s="30"/>
      <c r="T51" s="30"/>
      <c r="U51" s="30"/>
      <c r="V51" s="31"/>
    </row>
    <row r="52" spans="1:22">
      <c r="A52" s="1" t="s">
        <v>73</v>
      </c>
      <c r="B52" s="29">
        <v>0</v>
      </c>
      <c r="C52" s="30">
        <v>0</v>
      </c>
      <c r="D52" s="30">
        <v>0</v>
      </c>
      <c r="E52" s="30">
        <v>0</v>
      </c>
      <c r="F52" s="30">
        <v>0</v>
      </c>
      <c r="G52" s="31">
        <f>SUM(VT_FINANCIAL)</f>
        <v>0</v>
      </c>
      <c r="H52" s="30"/>
      <c r="I52" s="30"/>
      <c r="J52" s="30"/>
      <c r="K52" s="30"/>
      <c r="L52" s="29"/>
      <c r="M52" s="30"/>
      <c r="N52" s="30"/>
      <c r="O52" s="30"/>
      <c r="P52" s="30"/>
      <c r="Q52" s="30"/>
      <c r="R52" s="30"/>
      <c r="S52" s="30"/>
      <c r="T52" s="30"/>
      <c r="U52" s="30"/>
      <c r="V52" s="31"/>
    </row>
    <row r="53" spans="1:22">
      <c r="A53" s="1" t="s">
        <v>74</v>
      </c>
      <c r="B53" s="29">
        <v>22959.112710532616</v>
      </c>
      <c r="C53" s="30">
        <v>6493.6005263252446</v>
      </c>
      <c r="D53" s="30">
        <v>0</v>
      </c>
      <c r="E53" s="30">
        <v>0</v>
      </c>
      <c r="F53" s="30">
        <v>0</v>
      </c>
      <c r="G53" s="31">
        <f>SUM(VA_FINANCIAL)</f>
        <v>29452.71323685786</v>
      </c>
      <c r="H53" s="30"/>
      <c r="I53" s="30"/>
      <c r="J53" s="30"/>
      <c r="K53" s="30"/>
      <c r="L53" s="29">
        <v>375000</v>
      </c>
      <c r="M53" s="30">
        <v>0</v>
      </c>
      <c r="N53" s="30"/>
      <c r="O53" s="30">
        <v>5000</v>
      </c>
      <c r="P53" s="30">
        <v>0</v>
      </c>
      <c r="Q53" s="30"/>
      <c r="R53" s="30">
        <v>0</v>
      </c>
      <c r="S53" s="30">
        <v>0</v>
      </c>
      <c r="T53" s="30"/>
      <c r="U53" s="30">
        <v>0</v>
      </c>
      <c r="V53" s="31">
        <v>0</v>
      </c>
    </row>
    <row r="54" spans="1:22">
      <c r="A54" s="1" t="s">
        <v>75</v>
      </c>
      <c r="B54" s="29">
        <v>0</v>
      </c>
      <c r="C54" s="30">
        <v>0</v>
      </c>
      <c r="D54" s="30">
        <v>0</v>
      </c>
      <c r="E54" s="30">
        <v>0</v>
      </c>
      <c r="F54" s="30">
        <v>0</v>
      </c>
      <c r="G54" s="31">
        <f>SUM(WA_FINANCIAL)</f>
        <v>0</v>
      </c>
      <c r="H54" s="30"/>
      <c r="I54" s="30"/>
      <c r="J54" s="30"/>
      <c r="K54" s="30"/>
      <c r="L54" s="29"/>
      <c r="M54" s="30"/>
      <c r="N54" s="30"/>
      <c r="O54" s="30"/>
      <c r="P54" s="30"/>
      <c r="Q54" s="30"/>
      <c r="R54" s="30"/>
      <c r="S54" s="30"/>
      <c r="T54" s="30"/>
      <c r="U54" s="30"/>
      <c r="V54" s="31"/>
    </row>
    <row r="55" spans="1:22">
      <c r="A55" s="1" t="s">
        <v>76</v>
      </c>
      <c r="B55" s="29">
        <v>17383.649331854656</v>
      </c>
      <c r="C55" s="30">
        <v>13195.841903515247</v>
      </c>
      <c r="D55" s="30">
        <v>0</v>
      </c>
      <c r="E55" s="30">
        <v>0</v>
      </c>
      <c r="F55" s="30">
        <v>0</v>
      </c>
      <c r="G55" s="31">
        <f>SUM(WV_FINANCIAL)</f>
        <v>30579.491235369904</v>
      </c>
      <c r="H55" s="30"/>
      <c r="I55" s="30"/>
      <c r="J55" s="30"/>
      <c r="K55" s="30"/>
      <c r="L55" s="29">
        <v>0</v>
      </c>
      <c r="M55" s="30">
        <v>0</v>
      </c>
      <c r="N55" s="30"/>
      <c r="O55" s="30">
        <v>0</v>
      </c>
      <c r="P55" s="30">
        <v>0</v>
      </c>
      <c r="Q55" s="30"/>
      <c r="R55" s="30">
        <v>0</v>
      </c>
      <c r="S55" s="30">
        <v>0</v>
      </c>
      <c r="T55" s="30"/>
      <c r="U55" s="30">
        <v>0</v>
      </c>
      <c r="V55" s="31">
        <v>0</v>
      </c>
    </row>
    <row r="56" spans="1:22">
      <c r="A56" s="1" t="s">
        <v>77</v>
      </c>
      <c r="B56" s="29">
        <v>0</v>
      </c>
      <c r="C56" s="30">
        <v>0</v>
      </c>
      <c r="D56" s="30">
        <v>0</v>
      </c>
      <c r="E56" s="30">
        <v>0</v>
      </c>
      <c r="F56" s="30">
        <v>0</v>
      </c>
      <c r="G56" s="31">
        <f>SUM(WI_FINANCIAL)</f>
        <v>0</v>
      </c>
      <c r="H56" s="30"/>
      <c r="I56" s="30"/>
      <c r="J56" s="30"/>
      <c r="K56" s="30"/>
      <c r="L56" s="29"/>
      <c r="M56" s="30"/>
      <c r="N56" s="30"/>
      <c r="O56" s="30"/>
      <c r="P56" s="30"/>
      <c r="Q56" s="30"/>
      <c r="R56" s="30"/>
      <c r="S56" s="30"/>
      <c r="T56" s="30"/>
      <c r="U56" s="30"/>
      <c r="V56" s="31"/>
    </row>
    <row r="57" spans="1:22">
      <c r="A57" s="1" t="s">
        <v>78</v>
      </c>
      <c r="B57" s="29">
        <v>0</v>
      </c>
      <c r="C57" s="30">
        <v>0</v>
      </c>
      <c r="D57" s="30">
        <v>0</v>
      </c>
      <c r="E57" s="30">
        <v>0</v>
      </c>
      <c r="F57" s="30">
        <v>0</v>
      </c>
      <c r="G57" s="31">
        <f>SUM(WY_FINANCIAL)</f>
        <v>0</v>
      </c>
      <c r="H57" s="30"/>
      <c r="I57" s="30"/>
      <c r="J57" s="30"/>
      <c r="K57" s="30"/>
      <c r="L57" s="29"/>
      <c r="M57" s="30"/>
      <c r="N57" s="30"/>
      <c r="O57" s="30"/>
      <c r="P57" s="30"/>
      <c r="Q57" s="30"/>
      <c r="R57" s="30"/>
      <c r="S57" s="30"/>
      <c r="T57" s="30"/>
      <c r="U57" s="30"/>
      <c r="V57" s="31"/>
    </row>
    <row r="58" spans="1:22">
      <c r="A58" s="1" t="s">
        <v>79</v>
      </c>
      <c r="B58" s="29">
        <v>0</v>
      </c>
      <c r="C58" s="30">
        <v>0</v>
      </c>
      <c r="D58" s="30">
        <v>0</v>
      </c>
      <c r="E58" s="30">
        <v>0</v>
      </c>
      <c r="F58" s="30">
        <v>0</v>
      </c>
      <c r="G58" s="31">
        <f>SUM(OT_FINANCIAL)</f>
        <v>0</v>
      </c>
      <c r="H58" s="30"/>
      <c r="I58" s="30"/>
      <c r="J58" s="30"/>
      <c r="K58" s="30"/>
      <c r="L58" s="29"/>
      <c r="M58" s="30"/>
      <c r="N58" s="30"/>
      <c r="O58" s="30"/>
      <c r="P58" s="30"/>
      <c r="Q58" s="30"/>
      <c r="R58" s="30"/>
      <c r="S58" s="30"/>
      <c r="T58" s="30"/>
      <c r="U58" s="30"/>
      <c r="V58" s="31"/>
    </row>
    <row r="59" spans="1:22">
      <c r="B59" s="29"/>
      <c r="C59" s="30"/>
      <c r="D59" s="30"/>
      <c r="E59" s="30"/>
      <c r="F59" s="30"/>
      <c r="G59" s="31"/>
      <c r="H59" s="30"/>
      <c r="I59" s="30"/>
      <c r="J59" s="30"/>
      <c r="K59" s="30"/>
      <c r="L59" s="29"/>
      <c r="M59" s="30"/>
      <c r="N59" s="30"/>
      <c r="O59" s="30"/>
      <c r="P59" s="30"/>
      <c r="Q59" s="30"/>
      <c r="R59" s="30"/>
      <c r="S59" s="30"/>
      <c r="T59" s="30"/>
      <c r="U59" s="30"/>
      <c r="V59" s="31"/>
    </row>
    <row r="60" spans="1:22">
      <c r="A60" s="1" t="s">
        <v>8</v>
      </c>
      <c r="B60" s="29">
        <f>SUM(LIFE)</f>
        <v>382375.32680352038</v>
      </c>
      <c r="C60" s="30">
        <f>SUM(ALLOCATED)</f>
        <v>91252.470563604744</v>
      </c>
      <c r="D60" s="30">
        <f>SUM(HEALTH)</f>
        <v>0</v>
      </c>
      <c r="E60" s="30">
        <f>SUM(UNALLOCATED)</f>
        <v>0</v>
      </c>
      <c r="F60" s="30">
        <f>SUM(LTC)</f>
        <v>0</v>
      </c>
      <c r="G60" s="31">
        <f>SUM(ALL_BLOCKS)</f>
        <v>473627.79736712505</v>
      </c>
      <c r="H60" s="30"/>
      <c r="I60" s="30"/>
      <c r="J60" s="30"/>
      <c r="K60" s="30"/>
      <c r="L60" s="29">
        <f>SUM(LIFE_CALLED)</f>
        <v>1242916</v>
      </c>
      <c r="M60" s="30">
        <f>SUM(LIFE_REFUNDED)</f>
        <v>770166</v>
      </c>
      <c r="N60" s="30"/>
      <c r="O60" s="30">
        <f>SUM(ALLOC_CALLED)</f>
        <v>89000</v>
      </c>
      <c r="P60" s="30">
        <f>SUM(ALLOC_REFUNDED)</f>
        <v>131036</v>
      </c>
      <c r="Q60" s="30"/>
      <c r="R60" s="30">
        <f>SUM(HEALTH_CALLED)</f>
        <v>0</v>
      </c>
      <c r="S60" s="30">
        <f>SUM(HEALTH_REFUNDED)</f>
        <v>0</v>
      </c>
      <c r="T60" s="30"/>
      <c r="U60" s="30">
        <f>SUM(UNALLOC_CALLED)</f>
        <v>0</v>
      </c>
      <c r="V60" s="31">
        <f>SUM(UNALLOC_REFUNDED)</f>
        <v>0</v>
      </c>
    </row>
    <row r="61" spans="1:22" ht="5.0999999999999996" customHeight="1">
      <c r="B61" s="8"/>
      <c r="G61" s="11"/>
      <c r="L61" s="8"/>
      <c r="V61" s="11"/>
    </row>
    <row r="62" spans="1:22">
      <c r="B62" s="8"/>
      <c r="G62" s="11"/>
      <c r="L62" s="122" t="s">
        <v>80</v>
      </c>
      <c r="M62" s="123"/>
      <c r="N62" s="123"/>
      <c r="O62" s="123"/>
      <c r="P62" s="123"/>
      <c r="Q62" s="123"/>
      <c r="R62" s="123"/>
      <c r="S62" s="123"/>
      <c r="T62" s="123"/>
      <c r="U62" s="123"/>
      <c r="V62" s="124"/>
    </row>
    <row r="63" spans="1:22">
      <c r="B63" s="8"/>
      <c r="G63" s="11"/>
      <c r="L63" s="125"/>
      <c r="M63" s="123"/>
      <c r="N63" s="123"/>
      <c r="O63" s="123"/>
      <c r="P63" s="123"/>
      <c r="Q63" s="123"/>
      <c r="R63" s="123"/>
      <c r="S63" s="123"/>
      <c r="T63" s="123"/>
      <c r="U63" s="123"/>
      <c r="V63" s="124"/>
    </row>
    <row r="64" spans="1:22">
      <c r="B64" s="10"/>
      <c r="C64" s="7"/>
      <c r="D64" s="7"/>
      <c r="E64" s="7"/>
      <c r="F64" s="7"/>
      <c r="G64" s="13"/>
      <c r="L64" s="126"/>
      <c r="M64" s="127"/>
      <c r="N64" s="127"/>
      <c r="O64" s="127"/>
      <c r="P64" s="127"/>
      <c r="Q64" s="127"/>
      <c r="R64" s="127"/>
      <c r="S64" s="127"/>
      <c r="T64" s="127"/>
      <c r="U64" s="127"/>
      <c r="V64" s="128"/>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V64"/>
  <sheetViews>
    <sheetView zoomScale="75" workbookViewId="0">
      <selection sqref="A1:XFD1048576"/>
    </sheetView>
  </sheetViews>
  <sheetFormatPr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129" t="s">
        <v>83</v>
      </c>
      <c r="B1" s="123"/>
      <c r="C1" s="123"/>
      <c r="D1" s="123"/>
      <c r="E1" s="123"/>
      <c r="F1" s="123"/>
      <c r="G1" s="123"/>
    </row>
    <row r="3" spans="1:22">
      <c r="B3" s="130" t="s">
        <v>1</v>
      </c>
      <c r="C3" s="131"/>
      <c r="D3" s="131"/>
      <c r="E3" s="131"/>
      <c r="F3" s="131"/>
      <c r="G3" s="132"/>
      <c r="L3" s="133" t="s">
        <v>2</v>
      </c>
      <c r="M3" s="134"/>
      <c r="N3" s="134"/>
      <c r="O3" s="134"/>
      <c r="P3" s="134"/>
      <c r="Q3" s="134"/>
      <c r="R3" s="134"/>
      <c r="S3" s="134"/>
      <c r="T3" s="134"/>
      <c r="U3" s="134"/>
      <c r="V3" s="135"/>
    </row>
    <row r="4" spans="1:22">
      <c r="B4" s="8"/>
      <c r="G4" s="11"/>
      <c r="L4" s="136" t="s">
        <v>3</v>
      </c>
      <c r="M4" s="137"/>
      <c r="N4" s="4"/>
      <c r="O4" s="138" t="s">
        <v>4</v>
      </c>
      <c r="P4" s="137"/>
      <c r="Q4" s="4"/>
      <c r="R4" s="138" t="s">
        <v>5</v>
      </c>
      <c r="S4" s="137"/>
      <c r="T4" s="4"/>
      <c r="U4" s="138" t="s">
        <v>6</v>
      </c>
      <c r="V4" s="139"/>
    </row>
    <row r="5" spans="1:22" ht="60" customHeight="1">
      <c r="B5" s="9" t="s">
        <v>3</v>
      </c>
      <c r="C5" s="5" t="s">
        <v>4</v>
      </c>
      <c r="D5" s="5" t="s">
        <v>5</v>
      </c>
      <c r="E5" s="5" t="s">
        <v>6</v>
      </c>
      <c r="F5" s="5" t="s">
        <v>7</v>
      </c>
      <c r="G5" s="12" t="s">
        <v>8</v>
      </c>
      <c r="L5" s="15" t="s">
        <v>9</v>
      </c>
      <c r="M5" s="14" t="s">
        <v>10</v>
      </c>
      <c r="N5" s="14"/>
      <c r="O5" s="14" t="s">
        <v>9</v>
      </c>
      <c r="P5" s="14" t="s">
        <v>10</v>
      </c>
      <c r="Q5" s="14"/>
      <c r="R5" s="14" t="s">
        <v>9</v>
      </c>
      <c r="S5" s="14" t="s">
        <v>10</v>
      </c>
      <c r="T5" s="14"/>
      <c r="U5" s="14" t="s">
        <v>9</v>
      </c>
      <c r="V5" s="16" t="s">
        <v>10</v>
      </c>
    </row>
    <row r="6" spans="1:22">
      <c r="A6" s="1" t="s">
        <v>11</v>
      </c>
      <c r="B6" s="29">
        <v>214086.0749677819</v>
      </c>
      <c r="C6" s="30">
        <v>4255264.8432068741</v>
      </c>
      <c r="D6" s="30">
        <v>105560.33514167285</v>
      </c>
      <c r="E6" s="30">
        <v>0</v>
      </c>
      <c r="F6" s="30">
        <v>0</v>
      </c>
      <c r="G6" s="31">
        <f>SUM(AL_FINANCIAL)</f>
        <v>4574911.2533163289</v>
      </c>
      <c r="H6" s="30"/>
      <c r="I6" s="30"/>
      <c r="J6" s="30"/>
      <c r="K6" s="30"/>
      <c r="L6" s="29"/>
      <c r="M6" s="30"/>
      <c r="N6" s="30"/>
      <c r="O6" s="30"/>
      <c r="P6" s="30"/>
      <c r="Q6" s="30"/>
      <c r="R6" s="30"/>
      <c r="S6" s="30"/>
      <c r="T6" s="30"/>
      <c r="U6" s="30"/>
      <c r="V6" s="31"/>
    </row>
    <row r="7" spans="1:22">
      <c r="A7" s="1" t="s">
        <v>12</v>
      </c>
      <c r="B7" s="29">
        <v>0</v>
      </c>
      <c r="C7" s="30">
        <v>0</v>
      </c>
      <c r="D7" s="30">
        <v>0</v>
      </c>
      <c r="E7" s="30">
        <v>0</v>
      </c>
      <c r="F7" s="30">
        <v>0</v>
      </c>
      <c r="G7" s="31">
        <f>SUM(AK_FINANCIAL)</f>
        <v>0</v>
      </c>
      <c r="H7" s="30"/>
      <c r="I7" s="32"/>
      <c r="J7" s="33"/>
      <c r="K7" s="30"/>
      <c r="L7" s="29"/>
      <c r="M7" s="30"/>
      <c r="N7" s="30"/>
      <c r="O7" s="30"/>
      <c r="P7" s="30"/>
      <c r="Q7" s="30"/>
      <c r="R7" s="30"/>
      <c r="S7" s="30"/>
      <c r="T7" s="30"/>
      <c r="U7" s="30"/>
      <c r="V7" s="31"/>
    </row>
    <row r="8" spans="1:22">
      <c r="A8" s="1" t="s">
        <v>13</v>
      </c>
      <c r="B8" s="29">
        <v>0</v>
      </c>
      <c r="C8" s="30">
        <v>0</v>
      </c>
      <c r="D8" s="30">
        <v>0</v>
      </c>
      <c r="E8" s="30">
        <v>0</v>
      </c>
      <c r="F8" s="30">
        <v>0</v>
      </c>
      <c r="G8" s="31">
        <f>SUM(AZ_FINANCIAL)</f>
        <v>0</v>
      </c>
      <c r="H8" s="30"/>
      <c r="I8" s="34" t="s">
        <v>14</v>
      </c>
      <c r="J8" s="35"/>
      <c r="K8" s="30"/>
      <c r="L8" s="29"/>
      <c r="M8" s="30"/>
      <c r="N8" s="30"/>
      <c r="O8" s="30"/>
      <c r="P8" s="30"/>
      <c r="Q8" s="30"/>
      <c r="R8" s="30"/>
      <c r="S8" s="30"/>
      <c r="T8" s="30"/>
      <c r="U8" s="30"/>
      <c r="V8" s="31"/>
    </row>
    <row r="9" spans="1:22">
      <c r="A9" s="1" t="s">
        <v>15</v>
      </c>
      <c r="B9" s="29">
        <v>0</v>
      </c>
      <c r="C9" s="30">
        <v>0</v>
      </c>
      <c r="D9" s="30">
        <v>0</v>
      </c>
      <c r="E9" s="30">
        <v>0</v>
      </c>
      <c r="F9" s="30">
        <v>0</v>
      </c>
      <c r="G9" s="31">
        <f>SUM(AR_FINANCIAL)</f>
        <v>0</v>
      </c>
      <c r="H9" s="30"/>
      <c r="I9" s="34"/>
      <c r="J9" s="35"/>
      <c r="K9" s="30"/>
      <c r="L9" s="29"/>
      <c r="M9" s="30"/>
      <c r="N9" s="30"/>
      <c r="O9" s="30"/>
      <c r="P9" s="30"/>
      <c r="Q9" s="30"/>
      <c r="R9" s="30"/>
      <c r="S9" s="30"/>
      <c r="T9" s="30"/>
      <c r="U9" s="30"/>
      <c r="V9" s="31"/>
    </row>
    <row r="10" spans="1:22">
      <c r="A10" s="1" t="s">
        <v>16</v>
      </c>
      <c r="B10" s="29">
        <v>0</v>
      </c>
      <c r="C10" s="30">
        <v>0</v>
      </c>
      <c r="D10" s="30">
        <v>0</v>
      </c>
      <c r="E10" s="30">
        <v>0</v>
      </c>
      <c r="F10" s="30">
        <v>0</v>
      </c>
      <c r="G10" s="31">
        <f>SUM(CA_FINANCIAL)</f>
        <v>0</v>
      </c>
      <c r="H10" s="30"/>
      <c r="I10" s="34" t="s">
        <v>17</v>
      </c>
      <c r="J10" s="35">
        <v>4778293.5803646231</v>
      </c>
      <c r="K10" s="30"/>
      <c r="L10" s="29"/>
      <c r="M10" s="30"/>
      <c r="N10" s="30"/>
      <c r="O10" s="30"/>
      <c r="P10" s="30"/>
      <c r="Q10" s="30"/>
      <c r="R10" s="30"/>
      <c r="S10" s="30"/>
      <c r="T10" s="30"/>
      <c r="U10" s="30"/>
      <c r="V10" s="31"/>
    </row>
    <row r="11" spans="1:22">
      <c r="A11" s="1" t="s">
        <v>18</v>
      </c>
      <c r="B11" s="29">
        <v>0</v>
      </c>
      <c r="C11" s="30">
        <v>0</v>
      </c>
      <c r="D11" s="30">
        <v>0</v>
      </c>
      <c r="E11" s="30">
        <v>0</v>
      </c>
      <c r="F11" s="30">
        <v>0</v>
      </c>
      <c r="G11" s="31">
        <f>SUM(CO_FINANCIAL)</f>
        <v>0</v>
      </c>
      <c r="H11" s="30"/>
      <c r="I11" s="34"/>
      <c r="J11" s="35"/>
      <c r="K11" s="30"/>
      <c r="L11" s="29"/>
      <c r="M11" s="30"/>
      <c r="N11" s="30"/>
      <c r="O11" s="30"/>
      <c r="P11" s="30"/>
      <c r="Q11" s="30"/>
      <c r="R11" s="30"/>
      <c r="S11" s="30"/>
      <c r="T11" s="30"/>
      <c r="U11" s="30"/>
      <c r="V11" s="31"/>
    </row>
    <row r="12" spans="1:22">
      <c r="A12" s="1" t="s">
        <v>19</v>
      </c>
      <c r="B12" s="29">
        <v>0</v>
      </c>
      <c r="C12" s="30">
        <v>0</v>
      </c>
      <c r="D12" s="30">
        <v>0</v>
      </c>
      <c r="E12" s="30">
        <v>0</v>
      </c>
      <c r="F12" s="30">
        <v>0</v>
      </c>
      <c r="G12" s="31">
        <f>SUM(CT_FINANCIAL)</f>
        <v>0</v>
      </c>
      <c r="H12" s="30"/>
      <c r="I12" s="34" t="s">
        <v>20</v>
      </c>
      <c r="J12" s="35"/>
      <c r="K12" s="30"/>
      <c r="L12" s="29"/>
      <c r="M12" s="30"/>
      <c r="N12" s="30"/>
      <c r="O12" s="30"/>
      <c r="P12" s="30"/>
      <c r="Q12" s="30"/>
      <c r="R12" s="30"/>
      <c r="S12" s="30"/>
      <c r="T12" s="30"/>
      <c r="U12" s="30"/>
      <c r="V12" s="31"/>
    </row>
    <row r="13" spans="1:22">
      <c r="A13" s="1" t="s">
        <v>21</v>
      </c>
      <c r="B13" s="29">
        <v>0</v>
      </c>
      <c r="C13" s="30">
        <v>0</v>
      </c>
      <c r="D13" s="30">
        <v>0</v>
      </c>
      <c r="E13" s="30">
        <v>0</v>
      </c>
      <c r="F13" s="30">
        <v>0</v>
      </c>
      <c r="G13" s="31">
        <f>SUM(DE_FINANCIAL)</f>
        <v>0</v>
      </c>
      <c r="H13" s="30"/>
      <c r="I13" s="34" t="s">
        <v>22</v>
      </c>
      <c r="J13" s="35">
        <v>374183</v>
      </c>
      <c r="K13" s="30"/>
      <c r="L13" s="29"/>
      <c r="M13" s="30"/>
      <c r="N13" s="30"/>
      <c r="O13" s="30"/>
      <c r="P13" s="30"/>
      <c r="Q13" s="30"/>
      <c r="R13" s="30"/>
      <c r="S13" s="30"/>
      <c r="T13" s="30"/>
      <c r="U13" s="30"/>
      <c r="V13" s="31"/>
    </row>
    <row r="14" spans="1:22">
      <c r="A14" s="1" t="s">
        <v>23</v>
      </c>
      <c r="B14" s="29">
        <v>0</v>
      </c>
      <c r="C14" s="30">
        <v>0</v>
      </c>
      <c r="D14" s="30">
        <v>0</v>
      </c>
      <c r="E14" s="30">
        <v>0</v>
      </c>
      <c r="F14" s="30">
        <v>0</v>
      </c>
      <c r="G14" s="31">
        <f>SUM(DC_FINANCIAL)</f>
        <v>0</v>
      </c>
      <c r="H14" s="30"/>
      <c r="I14" s="34" t="s">
        <v>24</v>
      </c>
      <c r="J14" s="35">
        <v>412005.00000000006</v>
      </c>
      <c r="K14" s="30"/>
      <c r="L14" s="29"/>
      <c r="M14" s="30"/>
      <c r="N14" s="30"/>
      <c r="O14" s="30"/>
      <c r="P14" s="30"/>
      <c r="Q14" s="30"/>
      <c r="R14" s="30"/>
      <c r="S14" s="30"/>
      <c r="T14" s="30"/>
      <c r="U14" s="30"/>
      <c r="V14" s="31"/>
    </row>
    <row r="15" spans="1:22">
      <c r="A15" s="1" t="s">
        <v>25</v>
      </c>
      <c r="B15" s="29">
        <v>0</v>
      </c>
      <c r="C15" s="30">
        <v>0</v>
      </c>
      <c r="D15" s="30">
        <v>0</v>
      </c>
      <c r="E15" s="30">
        <v>0</v>
      </c>
      <c r="F15" s="30">
        <v>0</v>
      </c>
      <c r="G15" s="31">
        <f>SUM(FL_FINANCIAL)</f>
        <v>0</v>
      </c>
      <c r="H15" s="30"/>
      <c r="I15" s="34" t="s">
        <v>26</v>
      </c>
      <c r="J15" s="35">
        <v>167853.26999999996</v>
      </c>
      <c r="K15" s="30"/>
      <c r="L15" s="29"/>
      <c r="M15" s="30"/>
      <c r="N15" s="30"/>
      <c r="O15" s="30"/>
      <c r="P15" s="30"/>
      <c r="Q15" s="30"/>
      <c r="R15" s="30"/>
      <c r="S15" s="30"/>
      <c r="T15" s="30"/>
      <c r="U15" s="30"/>
      <c r="V15" s="31"/>
    </row>
    <row r="16" spans="1:22">
      <c r="A16" s="1" t="s">
        <v>27</v>
      </c>
      <c r="B16" s="29">
        <v>792.75100591362991</v>
      </c>
      <c r="C16" s="30">
        <v>22231.240601101952</v>
      </c>
      <c r="D16" s="30">
        <v>202.34211864873166</v>
      </c>
      <c r="E16" s="30">
        <v>0</v>
      </c>
      <c r="F16" s="30">
        <v>0</v>
      </c>
      <c r="G16" s="31">
        <f>SUM(GA_FINANCIAL)</f>
        <v>23226.333725664314</v>
      </c>
      <c r="H16" s="30"/>
      <c r="I16" s="34" t="s">
        <v>28</v>
      </c>
      <c r="J16" s="35">
        <v>0</v>
      </c>
      <c r="K16" s="30"/>
      <c r="L16" s="29">
        <v>1024</v>
      </c>
      <c r="M16" s="30">
        <v>0</v>
      </c>
      <c r="N16" s="30"/>
      <c r="O16" s="30">
        <v>28715</v>
      </c>
      <c r="P16" s="30">
        <v>1409.23</v>
      </c>
      <c r="Q16" s="30"/>
      <c r="R16" s="30">
        <v>0</v>
      </c>
      <c r="S16" s="30">
        <v>0</v>
      </c>
      <c r="T16" s="30"/>
      <c r="U16" s="30">
        <v>0</v>
      </c>
      <c r="V16" s="31">
        <v>0</v>
      </c>
    </row>
    <row r="17" spans="1:22">
      <c r="A17" s="1" t="s">
        <v>29</v>
      </c>
      <c r="B17" s="29">
        <v>0</v>
      </c>
      <c r="C17" s="30">
        <v>0</v>
      </c>
      <c r="D17" s="30">
        <v>0</v>
      </c>
      <c r="E17" s="30">
        <v>0</v>
      </c>
      <c r="F17" s="30">
        <v>0</v>
      </c>
      <c r="G17" s="31">
        <f>SUM(HI_FINANCIAL)</f>
        <v>0</v>
      </c>
      <c r="H17" s="30"/>
      <c r="I17" s="34"/>
      <c r="J17" s="35"/>
      <c r="K17" s="30"/>
      <c r="L17" s="29"/>
      <c r="M17" s="30"/>
      <c r="N17" s="30"/>
      <c r="O17" s="30"/>
      <c r="P17" s="30"/>
      <c r="Q17" s="30"/>
      <c r="R17" s="30"/>
      <c r="S17" s="30"/>
      <c r="T17" s="30"/>
      <c r="U17" s="30"/>
      <c r="V17" s="31"/>
    </row>
    <row r="18" spans="1:22">
      <c r="A18" s="1" t="s">
        <v>30</v>
      </c>
      <c r="B18" s="29">
        <v>0</v>
      </c>
      <c r="C18" s="30">
        <v>0</v>
      </c>
      <c r="D18" s="30">
        <v>0</v>
      </c>
      <c r="E18" s="30">
        <v>0</v>
      </c>
      <c r="F18" s="30">
        <v>0</v>
      </c>
      <c r="G18" s="31">
        <f>SUM(ID_FINANCIAL)</f>
        <v>0</v>
      </c>
      <c r="H18" s="30"/>
      <c r="I18" s="34" t="s">
        <v>31</v>
      </c>
      <c r="J18" s="35"/>
      <c r="K18" s="30"/>
      <c r="L18" s="29"/>
      <c r="M18" s="30"/>
      <c r="N18" s="30"/>
      <c r="O18" s="30"/>
      <c r="P18" s="30"/>
      <c r="Q18" s="30"/>
      <c r="R18" s="30"/>
      <c r="S18" s="30"/>
      <c r="T18" s="30"/>
      <c r="U18" s="30"/>
      <c r="V18" s="31"/>
    </row>
    <row r="19" spans="1:22">
      <c r="A19" s="1" t="s">
        <v>32</v>
      </c>
      <c r="B19" s="29">
        <v>0</v>
      </c>
      <c r="C19" s="30">
        <v>0</v>
      </c>
      <c r="D19" s="30">
        <v>0</v>
      </c>
      <c r="E19" s="30">
        <v>0</v>
      </c>
      <c r="F19" s="30">
        <v>0</v>
      </c>
      <c r="G19" s="31">
        <f>SUM(IL_FINANCIAL)</f>
        <v>0</v>
      </c>
      <c r="H19" s="30"/>
      <c r="I19" s="34" t="s">
        <v>33</v>
      </c>
      <c r="J19" s="35">
        <v>399999.99999999994</v>
      </c>
      <c r="K19" s="30"/>
      <c r="L19" s="29"/>
      <c r="M19" s="30"/>
      <c r="N19" s="30"/>
      <c r="O19" s="30"/>
      <c r="P19" s="30"/>
      <c r="Q19" s="30"/>
      <c r="R19" s="30"/>
      <c r="S19" s="30"/>
      <c r="T19" s="30"/>
      <c r="U19" s="30"/>
      <c r="V19" s="31"/>
    </row>
    <row r="20" spans="1:22">
      <c r="A20" s="1" t="s">
        <v>34</v>
      </c>
      <c r="B20" s="29">
        <v>0</v>
      </c>
      <c r="C20" s="30">
        <v>0</v>
      </c>
      <c r="D20" s="30">
        <v>0</v>
      </c>
      <c r="E20" s="30">
        <v>0</v>
      </c>
      <c r="F20" s="30">
        <v>0</v>
      </c>
      <c r="G20" s="31">
        <f>SUM(IN_FINANCIAL)</f>
        <v>0</v>
      </c>
      <c r="H20" s="30"/>
      <c r="I20" s="34" t="s">
        <v>35</v>
      </c>
      <c r="J20" s="35">
        <v>-807666.41963537748</v>
      </c>
      <c r="K20" s="30"/>
      <c r="L20" s="29"/>
      <c r="M20" s="30"/>
      <c r="N20" s="30"/>
      <c r="O20" s="30"/>
      <c r="P20" s="30"/>
      <c r="Q20" s="30"/>
      <c r="R20" s="30"/>
      <c r="S20" s="30"/>
      <c r="T20" s="30"/>
      <c r="U20" s="30"/>
      <c r="V20" s="31"/>
    </row>
    <row r="21" spans="1:22">
      <c r="A21" s="1" t="s">
        <v>36</v>
      </c>
      <c r="B21" s="29">
        <v>0</v>
      </c>
      <c r="C21" s="30">
        <v>0</v>
      </c>
      <c r="D21" s="30">
        <v>0</v>
      </c>
      <c r="E21" s="30">
        <v>0</v>
      </c>
      <c r="F21" s="30">
        <v>0</v>
      </c>
      <c r="G21" s="31">
        <f>SUM(IA_FINANCIAL)</f>
        <v>0</v>
      </c>
      <c r="H21" s="30"/>
      <c r="I21" s="34" t="s">
        <v>37</v>
      </c>
      <c r="J21" s="35"/>
      <c r="K21" s="30"/>
      <c r="L21" s="29"/>
      <c r="M21" s="30"/>
      <c r="N21" s="30"/>
      <c r="O21" s="30"/>
      <c r="P21" s="30"/>
      <c r="Q21" s="30"/>
      <c r="R21" s="30"/>
      <c r="S21" s="30"/>
      <c r="T21" s="30"/>
      <c r="U21" s="30"/>
      <c r="V21" s="31"/>
    </row>
    <row r="22" spans="1:22">
      <c r="A22" s="1" t="s">
        <v>38</v>
      </c>
      <c r="B22" s="29">
        <v>0</v>
      </c>
      <c r="C22" s="30">
        <v>0</v>
      </c>
      <c r="D22" s="30">
        <v>0</v>
      </c>
      <c r="E22" s="30">
        <v>0</v>
      </c>
      <c r="F22" s="30">
        <v>0</v>
      </c>
      <c r="G22" s="31">
        <f>SUM(KS_FINANCIAL)</f>
        <v>0</v>
      </c>
      <c r="H22" s="30"/>
      <c r="I22" s="34" t="s">
        <v>39</v>
      </c>
      <c r="J22" s="35">
        <v>328371</v>
      </c>
      <c r="K22" s="30"/>
      <c r="L22" s="29"/>
      <c r="M22" s="30"/>
      <c r="N22" s="30"/>
      <c r="O22" s="30"/>
      <c r="P22" s="30"/>
      <c r="Q22" s="30"/>
      <c r="R22" s="30"/>
      <c r="S22" s="30"/>
      <c r="T22" s="30"/>
      <c r="U22" s="30"/>
      <c r="V22" s="31"/>
    </row>
    <row r="23" spans="1:22">
      <c r="A23" s="1" t="s">
        <v>40</v>
      </c>
      <c r="B23" s="29">
        <v>0</v>
      </c>
      <c r="C23" s="30">
        <v>0</v>
      </c>
      <c r="D23" s="30">
        <v>0</v>
      </c>
      <c r="E23" s="30">
        <v>0</v>
      </c>
      <c r="F23" s="30">
        <v>0</v>
      </c>
      <c r="G23" s="31">
        <f>SUM(KY_FINANCIAL)</f>
        <v>0</v>
      </c>
      <c r="H23" s="30"/>
      <c r="I23" s="34" t="s">
        <v>41</v>
      </c>
      <c r="J23" s="35"/>
      <c r="K23" s="30"/>
      <c r="L23" s="29"/>
      <c r="M23" s="30"/>
      <c r="N23" s="30"/>
      <c r="O23" s="30"/>
      <c r="P23" s="30"/>
      <c r="Q23" s="30"/>
      <c r="R23" s="30"/>
      <c r="S23" s="30"/>
      <c r="T23" s="30"/>
      <c r="U23" s="30"/>
      <c r="V23" s="31"/>
    </row>
    <row r="24" spans="1:22">
      <c r="A24" s="1" t="s">
        <v>42</v>
      </c>
      <c r="B24" s="29">
        <v>12717.55233801432</v>
      </c>
      <c r="C24" s="30">
        <v>314742.78118757741</v>
      </c>
      <c r="D24" s="30">
        <v>4057.3494324152407</v>
      </c>
      <c r="E24" s="30">
        <v>0</v>
      </c>
      <c r="F24" s="30">
        <v>0</v>
      </c>
      <c r="G24" s="31">
        <f>SUM(LA_FINANCIAL)</f>
        <v>331517.68295800692</v>
      </c>
      <c r="H24" s="30"/>
      <c r="I24" s="34" t="s">
        <v>43</v>
      </c>
      <c r="J24" s="35">
        <v>881975</v>
      </c>
      <c r="K24" s="30"/>
      <c r="L24" s="29">
        <v>18000</v>
      </c>
      <c r="M24" s="30">
        <v>0</v>
      </c>
      <c r="N24" s="30"/>
      <c r="O24" s="30">
        <v>256268</v>
      </c>
      <c r="P24" s="30">
        <v>0</v>
      </c>
      <c r="Q24" s="30"/>
      <c r="R24" s="30">
        <v>7000</v>
      </c>
      <c r="S24" s="30">
        <v>0</v>
      </c>
      <c r="T24" s="30"/>
      <c r="U24" s="30">
        <v>0</v>
      </c>
      <c r="V24" s="31">
        <v>0</v>
      </c>
    </row>
    <row r="25" spans="1:22">
      <c r="A25" s="1" t="s">
        <v>44</v>
      </c>
      <c r="B25" s="29">
        <v>0</v>
      </c>
      <c r="C25" s="30">
        <v>0</v>
      </c>
      <c r="D25" s="30">
        <v>0</v>
      </c>
      <c r="E25" s="30">
        <v>0</v>
      </c>
      <c r="F25" s="30">
        <v>0</v>
      </c>
      <c r="G25" s="31">
        <f>SUM(ME_FINANCIAL)</f>
        <v>0</v>
      </c>
      <c r="H25" s="30"/>
      <c r="I25" s="34"/>
      <c r="J25" s="35"/>
      <c r="K25" s="30"/>
      <c r="L25" s="29"/>
      <c r="M25" s="30"/>
      <c r="N25" s="30"/>
      <c r="O25" s="30"/>
      <c r="P25" s="30"/>
      <c r="Q25" s="30"/>
      <c r="R25" s="30"/>
      <c r="S25" s="30"/>
      <c r="T25" s="30"/>
      <c r="U25" s="30"/>
      <c r="V25" s="31"/>
    </row>
    <row r="26" spans="1:22">
      <c r="A26" s="1" t="s">
        <v>45</v>
      </c>
      <c r="B26" s="29">
        <v>0</v>
      </c>
      <c r="C26" s="30">
        <v>0</v>
      </c>
      <c r="D26" s="30">
        <v>0</v>
      </c>
      <c r="E26" s="30">
        <v>0</v>
      </c>
      <c r="F26" s="30">
        <v>0</v>
      </c>
      <c r="G26" s="31">
        <f>SUM(MD_FINANCIAL)</f>
        <v>0</v>
      </c>
      <c r="H26" s="30"/>
      <c r="I26" s="34" t="s">
        <v>46</v>
      </c>
      <c r="J26" s="35">
        <f>SUM(ADD_FINANCIAL)-SUM(LESS_FINANCIAL)</f>
        <v>4929655.2700000005</v>
      </c>
      <c r="K26" s="30"/>
      <c r="L26" s="29"/>
      <c r="M26" s="30"/>
      <c r="N26" s="30"/>
      <c r="O26" s="30"/>
      <c r="P26" s="30"/>
      <c r="Q26" s="30"/>
      <c r="R26" s="30"/>
      <c r="S26" s="30"/>
      <c r="T26" s="30"/>
      <c r="U26" s="30"/>
      <c r="V26" s="31"/>
    </row>
    <row r="27" spans="1:22">
      <c r="A27" s="1" t="s">
        <v>47</v>
      </c>
      <c r="B27" s="29">
        <v>0</v>
      </c>
      <c r="C27" s="30">
        <v>0</v>
      </c>
      <c r="D27" s="30">
        <v>0</v>
      </c>
      <c r="E27" s="30">
        <v>0</v>
      </c>
      <c r="F27" s="30">
        <v>0</v>
      </c>
      <c r="G27" s="31">
        <f>SUM(MA_FINANCIAL)</f>
        <v>0</v>
      </c>
      <c r="H27" s="30"/>
      <c r="I27" s="34" t="s">
        <v>48</v>
      </c>
      <c r="J27" s="35">
        <f>SUM(ALL_BLOCKS)</f>
        <v>4929655.2700000005</v>
      </c>
      <c r="K27" s="30"/>
      <c r="L27" s="29"/>
      <c r="M27" s="30"/>
      <c r="N27" s="30"/>
      <c r="O27" s="30"/>
      <c r="P27" s="30"/>
      <c r="Q27" s="30"/>
      <c r="R27" s="30"/>
      <c r="S27" s="30"/>
      <c r="T27" s="30"/>
      <c r="U27" s="30"/>
      <c r="V27" s="31"/>
    </row>
    <row r="28" spans="1:22">
      <c r="A28" s="1" t="s">
        <v>49</v>
      </c>
      <c r="B28" s="29">
        <v>0</v>
      </c>
      <c r="C28" s="30">
        <v>0</v>
      </c>
      <c r="D28" s="30">
        <v>0</v>
      </c>
      <c r="E28" s="30">
        <v>0</v>
      </c>
      <c r="F28" s="30">
        <v>0</v>
      </c>
      <c r="G28" s="31">
        <f>SUM(MI_FINANCIAL)</f>
        <v>0</v>
      </c>
      <c r="H28" s="30"/>
      <c r="I28" s="36"/>
      <c r="J28" s="37"/>
      <c r="K28" s="30"/>
      <c r="L28" s="29"/>
      <c r="M28" s="30"/>
      <c r="N28" s="30"/>
      <c r="O28" s="30"/>
      <c r="P28" s="30"/>
      <c r="Q28" s="30"/>
      <c r="R28" s="30"/>
      <c r="S28" s="30"/>
      <c r="T28" s="30"/>
      <c r="U28" s="30"/>
      <c r="V28" s="31"/>
    </row>
    <row r="29" spans="1:22">
      <c r="A29" s="1" t="s">
        <v>50</v>
      </c>
      <c r="B29" s="29">
        <v>0</v>
      </c>
      <c r="C29" s="30">
        <v>0</v>
      </c>
      <c r="D29" s="30">
        <v>0</v>
      </c>
      <c r="E29" s="30">
        <v>0</v>
      </c>
      <c r="F29" s="30">
        <v>0</v>
      </c>
      <c r="G29" s="31">
        <f>SUM(MN_FINANCIAL)</f>
        <v>0</v>
      </c>
      <c r="H29" s="30"/>
      <c r="I29" s="30"/>
      <c r="J29" s="30"/>
      <c r="K29" s="30"/>
      <c r="L29" s="29"/>
      <c r="M29" s="30"/>
      <c r="N29" s="30"/>
      <c r="O29" s="30"/>
      <c r="P29" s="30"/>
      <c r="Q29" s="30"/>
      <c r="R29" s="30"/>
      <c r="S29" s="30"/>
      <c r="T29" s="30"/>
      <c r="U29" s="30"/>
      <c r="V29" s="31"/>
    </row>
    <row r="30" spans="1:22">
      <c r="A30" s="1" t="s">
        <v>51</v>
      </c>
      <c r="B30" s="29">
        <v>0</v>
      </c>
      <c r="C30" s="30">
        <v>0</v>
      </c>
      <c r="D30" s="30">
        <v>0</v>
      </c>
      <c r="E30" s="30">
        <v>0</v>
      </c>
      <c r="F30" s="30">
        <v>0</v>
      </c>
      <c r="G30" s="31">
        <f>SUM(MS_FINANCIAL)</f>
        <v>0</v>
      </c>
      <c r="H30" s="30"/>
      <c r="I30" s="30"/>
      <c r="J30" s="30"/>
      <c r="K30" s="30"/>
      <c r="L30" s="29"/>
      <c r="M30" s="30"/>
      <c r="N30" s="30"/>
      <c r="O30" s="30"/>
      <c r="P30" s="30"/>
      <c r="Q30" s="30"/>
      <c r="R30" s="30"/>
      <c r="S30" s="30"/>
      <c r="T30" s="30"/>
      <c r="U30" s="30"/>
      <c r="V30" s="31"/>
    </row>
    <row r="31" spans="1:22">
      <c r="A31" s="1" t="s">
        <v>52</v>
      </c>
      <c r="B31" s="29">
        <v>0</v>
      </c>
      <c r="C31" s="30">
        <v>0</v>
      </c>
      <c r="D31" s="30">
        <v>0</v>
      </c>
      <c r="E31" s="30">
        <v>0</v>
      </c>
      <c r="F31" s="30">
        <v>0</v>
      </c>
      <c r="G31" s="31">
        <f>SUM(MO_FINANCIAL)</f>
        <v>0</v>
      </c>
      <c r="H31" s="30"/>
      <c r="I31" s="30"/>
      <c r="J31" s="30"/>
      <c r="K31" s="30"/>
      <c r="L31" s="29"/>
      <c r="M31" s="30"/>
      <c r="N31" s="30"/>
      <c r="O31" s="30"/>
      <c r="P31" s="30"/>
      <c r="Q31" s="30"/>
      <c r="R31" s="30"/>
      <c r="S31" s="30"/>
      <c r="T31" s="30"/>
      <c r="U31" s="30"/>
      <c r="V31" s="31"/>
    </row>
    <row r="32" spans="1:22">
      <c r="A32" s="1" t="s">
        <v>53</v>
      </c>
      <c r="B32" s="29">
        <v>0</v>
      </c>
      <c r="C32" s="30">
        <v>0</v>
      </c>
      <c r="D32" s="30">
        <v>0</v>
      </c>
      <c r="E32" s="30">
        <v>0</v>
      </c>
      <c r="F32" s="30">
        <v>0</v>
      </c>
      <c r="G32" s="31">
        <f>SUM(MT_FINANCIAL)</f>
        <v>0</v>
      </c>
      <c r="H32" s="30"/>
      <c r="I32" s="30"/>
      <c r="J32" s="30"/>
      <c r="K32" s="30"/>
      <c r="L32" s="29"/>
      <c r="M32" s="30"/>
      <c r="N32" s="30"/>
      <c r="O32" s="30"/>
      <c r="P32" s="30"/>
      <c r="Q32" s="30"/>
      <c r="R32" s="30"/>
      <c r="S32" s="30"/>
      <c r="T32" s="30"/>
      <c r="U32" s="30"/>
      <c r="V32" s="31"/>
    </row>
    <row r="33" spans="1:22">
      <c r="A33" s="1" t="s">
        <v>54</v>
      </c>
      <c r="B33" s="29">
        <v>0</v>
      </c>
      <c r="C33" s="30">
        <v>0</v>
      </c>
      <c r="D33" s="30">
        <v>0</v>
      </c>
      <c r="E33" s="30">
        <v>0</v>
      </c>
      <c r="F33" s="30">
        <v>0</v>
      </c>
      <c r="G33" s="31">
        <f>SUM(NE_FINANCIAL)</f>
        <v>0</v>
      </c>
      <c r="H33" s="30"/>
      <c r="I33" s="30"/>
      <c r="J33" s="30"/>
      <c r="K33" s="30"/>
      <c r="L33" s="29"/>
      <c r="M33" s="30"/>
      <c r="N33" s="30"/>
      <c r="O33" s="30"/>
      <c r="P33" s="30"/>
      <c r="Q33" s="30"/>
      <c r="R33" s="30"/>
      <c r="S33" s="30"/>
      <c r="T33" s="30"/>
      <c r="U33" s="30"/>
      <c r="V33" s="31"/>
    </row>
    <row r="34" spans="1:22">
      <c r="A34" s="1" t="s">
        <v>55</v>
      </c>
      <c r="B34" s="29">
        <v>0</v>
      </c>
      <c r="C34" s="30">
        <v>0</v>
      </c>
      <c r="D34" s="30">
        <v>0</v>
      </c>
      <c r="E34" s="30">
        <v>0</v>
      </c>
      <c r="F34" s="30">
        <v>0</v>
      </c>
      <c r="G34" s="31">
        <f>SUM(NV_FINANCIAL)</f>
        <v>0</v>
      </c>
      <c r="H34" s="30"/>
      <c r="I34" s="30"/>
      <c r="J34" s="30"/>
      <c r="K34" s="30"/>
      <c r="L34" s="29"/>
      <c r="M34" s="30"/>
      <c r="N34" s="30"/>
      <c r="O34" s="30"/>
      <c r="P34" s="30"/>
      <c r="Q34" s="30"/>
      <c r="R34" s="30"/>
      <c r="S34" s="30"/>
      <c r="T34" s="30"/>
      <c r="U34" s="30"/>
      <c r="V34" s="31"/>
    </row>
    <row r="35" spans="1:22">
      <c r="A35" s="1" t="s">
        <v>56</v>
      </c>
      <c r="B35" s="29">
        <v>0</v>
      </c>
      <c r="C35" s="30">
        <v>0</v>
      </c>
      <c r="D35" s="30">
        <v>0</v>
      </c>
      <c r="E35" s="30">
        <v>0</v>
      </c>
      <c r="F35" s="30">
        <v>0</v>
      </c>
      <c r="G35" s="31">
        <f>SUM(NH_FINANCIAL)</f>
        <v>0</v>
      </c>
      <c r="H35" s="30"/>
      <c r="I35" s="30"/>
      <c r="J35" s="30"/>
      <c r="K35" s="30"/>
      <c r="L35" s="29"/>
      <c r="M35" s="30"/>
      <c r="N35" s="30"/>
      <c r="O35" s="30"/>
      <c r="P35" s="30"/>
      <c r="Q35" s="30"/>
      <c r="R35" s="30"/>
      <c r="S35" s="30"/>
      <c r="T35" s="30"/>
      <c r="U35" s="30"/>
      <c r="V35" s="31"/>
    </row>
    <row r="36" spans="1:22">
      <c r="A36" s="1" t="s">
        <v>57</v>
      </c>
      <c r="B36" s="29">
        <v>0</v>
      </c>
      <c r="C36" s="30">
        <v>0</v>
      </c>
      <c r="D36" s="30">
        <v>0</v>
      </c>
      <c r="E36" s="30">
        <v>0</v>
      </c>
      <c r="F36" s="30">
        <v>0</v>
      </c>
      <c r="G36" s="31">
        <f>SUM(NJ_FINANCIAL)</f>
        <v>0</v>
      </c>
      <c r="H36" s="30"/>
      <c r="I36" s="30"/>
      <c r="J36" s="30"/>
      <c r="K36" s="30"/>
      <c r="L36" s="29"/>
      <c r="M36" s="30"/>
      <c r="N36" s="30"/>
      <c r="O36" s="30"/>
      <c r="P36" s="30"/>
      <c r="Q36" s="30"/>
      <c r="R36" s="30"/>
      <c r="S36" s="30"/>
      <c r="T36" s="30"/>
      <c r="U36" s="30"/>
      <c r="V36" s="31"/>
    </row>
    <row r="37" spans="1:22">
      <c r="A37" s="1" t="s">
        <v>58</v>
      </c>
      <c r="B37" s="29">
        <v>0</v>
      </c>
      <c r="C37" s="30">
        <v>0</v>
      </c>
      <c r="D37" s="30">
        <v>0</v>
      </c>
      <c r="E37" s="30">
        <v>0</v>
      </c>
      <c r="F37" s="30">
        <v>0</v>
      </c>
      <c r="G37" s="31">
        <f>SUM(NM_FINANCIAL)</f>
        <v>0</v>
      </c>
      <c r="H37" s="30"/>
      <c r="I37" s="30"/>
      <c r="J37" s="30"/>
      <c r="K37" s="30"/>
      <c r="L37" s="29"/>
      <c r="M37" s="30"/>
      <c r="N37" s="30"/>
      <c r="O37" s="30"/>
      <c r="P37" s="30"/>
      <c r="Q37" s="30"/>
      <c r="R37" s="30"/>
      <c r="S37" s="30"/>
      <c r="T37" s="30"/>
      <c r="U37" s="30"/>
      <c r="V37" s="31"/>
    </row>
    <row r="38" spans="1:22">
      <c r="A38" s="1" t="s">
        <v>59</v>
      </c>
      <c r="B38" s="29">
        <v>0</v>
      </c>
      <c r="C38" s="30">
        <v>0</v>
      </c>
      <c r="D38" s="30">
        <v>0</v>
      </c>
      <c r="E38" s="30">
        <v>0</v>
      </c>
      <c r="F38" s="30">
        <v>0</v>
      </c>
      <c r="G38" s="31">
        <f>SUM(NY_FINANCIAL)</f>
        <v>0</v>
      </c>
      <c r="H38" s="30"/>
      <c r="I38" s="30"/>
      <c r="J38" s="30"/>
      <c r="K38" s="30"/>
      <c r="L38" s="29"/>
      <c r="M38" s="30"/>
      <c r="N38" s="30"/>
      <c r="O38" s="30"/>
      <c r="P38" s="30"/>
      <c r="Q38" s="30"/>
      <c r="R38" s="30"/>
      <c r="S38" s="30"/>
      <c r="T38" s="30"/>
      <c r="U38" s="30"/>
      <c r="V38" s="31"/>
    </row>
    <row r="39" spans="1:22">
      <c r="A39" s="1" t="s">
        <v>60</v>
      </c>
      <c r="B39" s="29">
        <v>0</v>
      </c>
      <c r="C39" s="30">
        <v>0</v>
      </c>
      <c r="D39" s="30">
        <v>0</v>
      </c>
      <c r="E39" s="30">
        <v>0</v>
      </c>
      <c r="F39" s="30">
        <v>0</v>
      </c>
      <c r="G39" s="31">
        <f>SUM(NC_FINANCIAL)</f>
        <v>0</v>
      </c>
      <c r="H39" s="30"/>
      <c r="I39" s="30"/>
      <c r="J39" s="30"/>
      <c r="K39" s="30"/>
      <c r="L39" s="29"/>
      <c r="M39" s="30"/>
      <c r="N39" s="30"/>
      <c r="O39" s="30"/>
      <c r="P39" s="30"/>
      <c r="Q39" s="30"/>
      <c r="R39" s="30"/>
      <c r="S39" s="30"/>
      <c r="T39" s="30"/>
      <c r="U39" s="30"/>
      <c r="V39" s="31"/>
    </row>
    <row r="40" spans="1:22">
      <c r="A40" s="1" t="s">
        <v>61</v>
      </c>
      <c r="B40" s="29">
        <v>0</v>
      </c>
      <c r="C40" s="30">
        <v>0</v>
      </c>
      <c r="D40" s="30">
        <v>0</v>
      </c>
      <c r="E40" s="30">
        <v>0</v>
      </c>
      <c r="F40" s="30">
        <v>0</v>
      </c>
      <c r="G40" s="31">
        <f>SUM(ND_FINANCIAL)</f>
        <v>0</v>
      </c>
      <c r="H40" s="30"/>
      <c r="I40" s="30"/>
      <c r="J40" s="30"/>
      <c r="K40" s="30"/>
      <c r="L40" s="29"/>
      <c r="M40" s="30"/>
      <c r="N40" s="30"/>
      <c r="O40" s="30"/>
      <c r="P40" s="30"/>
      <c r="Q40" s="30"/>
      <c r="R40" s="30"/>
      <c r="S40" s="30"/>
      <c r="T40" s="30"/>
      <c r="U40" s="30"/>
      <c r="V40" s="31"/>
    </row>
    <row r="41" spans="1:22">
      <c r="A41" s="1" t="s">
        <v>62</v>
      </c>
      <c r="B41" s="29">
        <v>0</v>
      </c>
      <c r="C41" s="30">
        <v>0</v>
      </c>
      <c r="D41" s="30">
        <v>0</v>
      </c>
      <c r="E41" s="30">
        <v>0</v>
      </c>
      <c r="F41" s="30">
        <v>0</v>
      </c>
      <c r="G41" s="31">
        <f>SUM(OH_FINANCIAL)</f>
        <v>0</v>
      </c>
      <c r="H41" s="30"/>
      <c r="I41" s="30"/>
      <c r="J41" s="30"/>
      <c r="K41" s="30"/>
      <c r="L41" s="29"/>
      <c r="M41" s="30"/>
      <c r="N41" s="30"/>
      <c r="O41" s="30"/>
      <c r="P41" s="30"/>
      <c r="Q41" s="30"/>
      <c r="R41" s="30"/>
      <c r="S41" s="30"/>
      <c r="T41" s="30"/>
      <c r="U41" s="30"/>
      <c r="V41" s="31"/>
    </row>
    <row r="42" spans="1:22">
      <c r="A42" s="1" t="s">
        <v>63</v>
      </c>
      <c r="B42" s="29">
        <v>0</v>
      </c>
      <c r="C42" s="30">
        <v>0</v>
      </c>
      <c r="D42" s="30">
        <v>0</v>
      </c>
      <c r="E42" s="30">
        <v>0</v>
      </c>
      <c r="F42" s="30">
        <v>0</v>
      </c>
      <c r="G42" s="31">
        <f>SUM(OK_FINANCIAL)</f>
        <v>0</v>
      </c>
      <c r="H42" s="30"/>
      <c r="I42" s="30"/>
      <c r="J42" s="30"/>
      <c r="K42" s="30"/>
      <c r="L42" s="29"/>
      <c r="M42" s="30"/>
      <c r="N42" s="30"/>
      <c r="O42" s="30"/>
      <c r="P42" s="30"/>
      <c r="Q42" s="30"/>
      <c r="R42" s="30"/>
      <c r="S42" s="30"/>
      <c r="T42" s="30"/>
      <c r="U42" s="30"/>
      <c r="V42" s="31"/>
    </row>
    <row r="43" spans="1:22">
      <c r="A43" s="1" t="s">
        <v>64</v>
      </c>
      <c r="B43" s="29">
        <v>0</v>
      </c>
      <c r="C43" s="30">
        <v>0</v>
      </c>
      <c r="D43" s="30">
        <v>0</v>
      </c>
      <c r="E43" s="30">
        <v>0</v>
      </c>
      <c r="F43" s="30">
        <v>0</v>
      </c>
      <c r="G43" s="31">
        <f>SUM(OR_FINANCIAL)</f>
        <v>0</v>
      </c>
      <c r="H43" s="30"/>
      <c r="I43" s="30"/>
      <c r="J43" s="30"/>
      <c r="K43" s="30"/>
      <c r="L43" s="29"/>
      <c r="M43" s="30"/>
      <c r="N43" s="30"/>
      <c r="O43" s="30"/>
      <c r="P43" s="30"/>
      <c r="Q43" s="30"/>
      <c r="R43" s="30"/>
      <c r="S43" s="30"/>
      <c r="T43" s="30"/>
      <c r="U43" s="30"/>
      <c r="V43" s="31"/>
    </row>
    <row r="44" spans="1:22">
      <c r="A44" s="1" t="s">
        <v>65</v>
      </c>
      <c r="B44" s="29">
        <v>0</v>
      </c>
      <c r="C44" s="30">
        <v>0</v>
      </c>
      <c r="D44" s="30">
        <v>0</v>
      </c>
      <c r="E44" s="30">
        <v>0</v>
      </c>
      <c r="F44" s="30">
        <v>0</v>
      </c>
      <c r="G44" s="31">
        <f>SUM(PA_FINANCIAL)</f>
        <v>0</v>
      </c>
      <c r="H44" s="30"/>
      <c r="I44" s="30"/>
      <c r="J44" s="30"/>
      <c r="K44" s="30"/>
      <c r="L44" s="29"/>
      <c r="M44" s="30"/>
      <c r="N44" s="30"/>
      <c r="O44" s="30"/>
      <c r="P44" s="30"/>
      <c r="Q44" s="30"/>
      <c r="R44" s="30"/>
      <c r="S44" s="30"/>
      <c r="T44" s="30"/>
      <c r="U44" s="30"/>
      <c r="V44" s="31"/>
    </row>
    <row r="45" spans="1:22">
      <c r="A45" s="1" t="s">
        <v>66</v>
      </c>
      <c r="B45" s="29">
        <v>0</v>
      </c>
      <c r="C45" s="30">
        <v>0</v>
      </c>
      <c r="D45" s="30">
        <v>0</v>
      </c>
      <c r="E45" s="30">
        <v>0</v>
      </c>
      <c r="F45" s="30">
        <v>0</v>
      </c>
      <c r="G45" s="31">
        <f>SUM(PR_FINANCIAL)</f>
        <v>0</v>
      </c>
      <c r="H45" s="30"/>
      <c r="I45" s="30"/>
      <c r="J45" s="30"/>
      <c r="K45" s="30"/>
      <c r="L45" s="29"/>
      <c r="M45" s="30"/>
      <c r="N45" s="30"/>
      <c r="O45" s="30"/>
      <c r="P45" s="30"/>
      <c r="Q45" s="30"/>
      <c r="R45" s="30"/>
      <c r="S45" s="30"/>
      <c r="T45" s="30"/>
      <c r="U45" s="30"/>
      <c r="V45" s="31"/>
    </row>
    <row r="46" spans="1:22">
      <c r="A46" s="1" t="s">
        <v>67</v>
      </c>
      <c r="B46" s="29">
        <v>0</v>
      </c>
      <c r="C46" s="30">
        <v>0</v>
      </c>
      <c r="D46" s="30">
        <v>0</v>
      </c>
      <c r="E46" s="30">
        <v>0</v>
      </c>
      <c r="F46" s="30">
        <v>0</v>
      </c>
      <c r="G46" s="31">
        <f>SUM(RI_FINANCIAL)</f>
        <v>0</v>
      </c>
      <c r="H46" s="30"/>
      <c r="I46" s="30"/>
      <c r="J46" s="30"/>
      <c r="K46" s="30"/>
      <c r="L46" s="29"/>
      <c r="M46" s="30"/>
      <c r="N46" s="30"/>
      <c r="O46" s="30"/>
      <c r="P46" s="30"/>
      <c r="Q46" s="30"/>
      <c r="R46" s="30"/>
      <c r="S46" s="30"/>
      <c r="T46" s="30"/>
      <c r="U46" s="30"/>
      <c r="V46" s="31"/>
    </row>
    <row r="47" spans="1:22">
      <c r="A47" s="1" t="s">
        <v>68</v>
      </c>
      <c r="B47" s="29">
        <v>0</v>
      </c>
      <c r="C47" s="30">
        <v>0</v>
      </c>
      <c r="D47" s="30">
        <v>0</v>
      </c>
      <c r="E47" s="30">
        <v>0</v>
      </c>
      <c r="F47" s="30">
        <v>0</v>
      </c>
      <c r="G47" s="31">
        <f>SUM(SC_FINANCIAL)</f>
        <v>0</v>
      </c>
      <c r="H47" s="30"/>
      <c r="I47" s="30"/>
      <c r="J47" s="30"/>
      <c r="K47" s="30"/>
      <c r="L47" s="29"/>
      <c r="M47" s="30"/>
      <c r="N47" s="30"/>
      <c r="O47" s="30"/>
      <c r="P47" s="30"/>
      <c r="Q47" s="30"/>
      <c r="R47" s="30"/>
      <c r="S47" s="30"/>
      <c r="T47" s="30"/>
      <c r="U47" s="30"/>
      <c r="V47" s="31"/>
    </row>
    <row r="48" spans="1:22">
      <c r="A48" s="1" t="s">
        <v>69</v>
      </c>
      <c r="B48" s="29">
        <v>0</v>
      </c>
      <c r="C48" s="30">
        <v>0</v>
      </c>
      <c r="D48" s="30">
        <v>0</v>
      </c>
      <c r="E48" s="30">
        <v>0</v>
      </c>
      <c r="F48" s="30">
        <v>0</v>
      </c>
      <c r="G48" s="31">
        <f>SUM(SD_FINANCIAL)</f>
        <v>0</v>
      </c>
      <c r="H48" s="30"/>
      <c r="I48" s="30"/>
      <c r="J48" s="30"/>
      <c r="K48" s="30"/>
      <c r="L48" s="29"/>
      <c r="M48" s="30"/>
      <c r="N48" s="30"/>
      <c r="O48" s="30"/>
      <c r="P48" s="30"/>
      <c r="Q48" s="30"/>
      <c r="R48" s="30"/>
      <c r="S48" s="30"/>
      <c r="T48" s="30"/>
      <c r="U48" s="30"/>
      <c r="V48" s="31"/>
    </row>
    <row r="49" spans="1:22">
      <c r="A49" s="1" t="s">
        <v>70</v>
      </c>
      <c r="B49" s="29">
        <v>0</v>
      </c>
      <c r="C49" s="30">
        <v>0</v>
      </c>
      <c r="D49" s="30">
        <v>0</v>
      </c>
      <c r="E49" s="30">
        <v>0</v>
      </c>
      <c r="F49" s="30">
        <v>0</v>
      </c>
      <c r="G49" s="31">
        <f>SUM(TN_FINANCIAL)</f>
        <v>0</v>
      </c>
      <c r="H49" s="30"/>
      <c r="I49" s="30"/>
      <c r="J49" s="30"/>
      <c r="K49" s="30"/>
      <c r="L49" s="29"/>
      <c r="M49" s="30"/>
      <c r="N49" s="30"/>
      <c r="O49" s="30"/>
      <c r="P49" s="30"/>
      <c r="Q49" s="30"/>
      <c r="R49" s="30"/>
      <c r="S49" s="30"/>
      <c r="T49" s="30"/>
      <c r="U49" s="30"/>
      <c r="V49" s="31"/>
    </row>
    <row r="50" spans="1:22">
      <c r="A50" s="1" t="s">
        <v>71</v>
      </c>
      <c r="B50" s="29">
        <v>0</v>
      </c>
      <c r="C50" s="30">
        <v>0</v>
      </c>
      <c r="D50" s="30">
        <v>0</v>
      </c>
      <c r="E50" s="30">
        <v>0</v>
      </c>
      <c r="F50" s="30">
        <v>0</v>
      </c>
      <c r="G50" s="31">
        <f>SUM(TX_FINANCIAL)</f>
        <v>0</v>
      </c>
      <c r="H50" s="30"/>
      <c r="I50" s="30"/>
      <c r="J50" s="30"/>
      <c r="K50" s="30"/>
      <c r="L50" s="29"/>
      <c r="M50" s="30"/>
      <c r="N50" s="30"/>
      <c r="O50" s="30"/>
      <c r="P50" s="30"/>
      <c r="Q50" s="30"/>
      <c r="R50" s="30"/>
      <c r="S50" s="30"/>
      <c r="T50" s="30"/>
      <c r="U50" s="30"/>
      <c r="V50" s="31"/>
    </row>
    <row r="51" spans="1:22">
      <c r="A51" s="1" t="s">
        <v>72</v>
      </c>
      <c r="B51" s="29">
        <v>0</v>
      </c>
      <c r="C51" s="30">
        <v>0</v>
      </c>
      <c r="D51" s="30">
        <v>0</v>
      </c>
      <c r="E51" s="30">
        <v>0</v>
      </c>
      <c r="F51" s="30">
        <v>0</v>
      </c>
      <c r="G51" s="31">
        <f>SUM(UT_FINANCIAL)</f>
        <v>0</v>
      </c>
      <c r="H51" s="30"/>
      <c r="I51" s="30"/>
      <c r="J51" s="30"/>
      <c r="K51" s="30"/>
      <c r="L51" s="29"/>
      <c r="M51" s="30"/>
      <c r="N51" s="30"/>
      <c r="O51" s="30"/>
      <c r="P51" s="30"/>
      <c r="Q51" s="30"/>
      <c r="R51" s="30"/>
      <c r="S51" s="30"/>
      <c r="T51" s="30"/>
      <c r="U51" s="30"/>
      <c r="V51" s="31"/>
    </row>
    <row r="52" spans="1:22">
      <c r="A52" s="1" t="s">
        <v>73</v>
      </c>
      <c r="B52" s="29">
        <v>0</v>
      </c>
      <c r="C52" s="30">
        <v>0</v>
      </c>
      <c r="D52" s="30">
        <v>0</v>
      </c>
      <c r="E52" s="30">
        <v>0</v>
      </c>
      <c r="F52" s="30">
        <v>0</v>
      </c>
      <c r="G52" s="31">
        <f>SUM(VT_FINANCIAL)</f>
        <v>0</v>
      </c>
      <c r="H52" s="30"/>
      <c r="I52" s="30"/>
      <c r="J52" s="30"/>
      <c r="K52" s="30"/>
      <c r="L52" s="29"/>
      <c r="M52" s="30"/>
      <c r="N52" s="30"/>
      <c r="O52" s="30"/>
      <c r="P52" s="30"/>
      <c r="Q52" s="30"/>
      <c r="R52" s="30"/>
      <c r="S52" s="30"/>
      <c r="T52" s="30"/>
      <c r="U52" s="30"/>
      <c r="V52" s="31"/>
    </row>
    <row r="53" spans="1:22">
      <c r="A53" s="1" t="s">
        <v>74</v>
      </c>
      <c r="B53" s="29">
        <v>0</v>
      </c>
      <c r="C53" s="30">
        <v>0</v>
      </c>
      <c r="D53" s="30">
        <v>0</v>
      </c>
      <c r="E53" s="30">
        <v>0</v>
      </c>
      <c r="F53" s="30">
        <v>0</v>
      </c>
      <c r="G53" s="31">
        <f>SUM(VA_FINANCIAL)</f>
        <v>0</v>
      </c>
      <c r="H53" s="30"/>
      <c r="I53" s="30"/>
      <c r="J53" s="30"/>
      <c r="K53" s="30"/>
      <c r="L53" s="29"/>
      <c r="M53" s="30"/>
      <c r="N53" s="30"/>
      <c r="O53" s="30"/>
      <c r="P53" s="30"/>
      <c r="Q53" s="30"/>
      <c r="R53" s="30"/>
      <c r="S53" s="30"/>
      <c r="T53" s="30"/>
      <c r="U53" s="30"/>
      <c r="V53" s="31"/>
    </row>
    <row r="54" spans="1:22">
      <c r="A54" s="1" t="s">
        <v>75</v>
      </c>
      <c r="B54" s="29">
        <v>0</v>
      </c>
      <c r="C54" s="30">
        <v>0</v>
      </c>
      <c r="D54" s="30">
        <v>0</v>
      </c>
      <c r="E54" s="30">
        <v>0</v>
      </c>
      <c r="F54" s="30">
        <v>0</v>
      </c>
      <c r="G54" s="31">
        <f>SUM(WA_FINANCIAL)</f>
        <v>0</v>
      </c>
      <c r="H54" s="30"/>
      <c r="I54" s="30"/>
      <c r="J54" s="30"/>
      <c r="K54" s="30"/>
      <c r="L54" s="29"/>
      <c r="M54" s="30"/>
      <c r="N54" s="30"/>
      <c r="O54" s="30"/>
      <c r="P54" s="30"/>
      <c r="Q54" s="30"/>
      <c r="R54" s="30"/>
      <c r="S54" s="30"/>
      <c r="T54" s="30"/>
      <c r="U54" s="30"/>
      <c r="V54" s="31"/>
    </row>
    <row r="55" spans="1:22">
      <c r="A55" s="1" t="s">
        <v>76</v>
      </c>
      <c r="B55" s="29">
        <v>0</v>
      </c>
      <c r="C55" s="30">
        <v>0</v>
      </c>
      <c r="D55" s="30">
        <v>0</v>
      </c>
      <c r="E55" s="30">
        <v>0</v>
      </c>
      <c r="F55" s="30">
        <v>0</v>
      </c>
      <c r="G55" s="31">
        <f>SUM(WV_FINANCIAL)</f>
        <v>0</v>
      </c>
      <c r="H55" s="30"/>
      <c r="I55" s="30"/>
      <c r="J55" s="30"/>
      <c r="K55" s="30"/>
      <c r="L55" s="29"/>
      <c r="M55" s="30"/>
      <c r="N55" s="30"/>
      <c r="O55" s="30"/>
      <c r="P55" s="30"/>
      <c r="Q55" s="30"/>
      <c r="R55" s="30"/>
      <c r="S55" s="30"/>
      <c r="T55" s="30"/>
      <c r="U55" s="30"/>
      <c r="V55" s="31"/>
    </row>
    <row r="56" spans="1:22">
      <c r="A56" s="1" t="s">
        <v>77</v>
      </c>
      <c r="B56" s="29">
        <v>0</v>
      </c>
      <c r="C56" s="30">
        <v>0</v>
      </c>
      <c r="D56" s="30">
        <v>0</v>
      </c>
      <c r="E56" s="30">
        <v>0</v>
      </c>
      <c r="F56" s="30">
        <v>0</v>
      </c>
      <c r="G56" s="31">
        <f>SUM(WI_FINANCIAL)</f>
        <v>0</v>
      </c>
      <c r="H56" s="30"/>
      <c r="I56" s="30"/>
      <c r="J56" s="30"/>
      <c r="K56" s="30"/>
      <c r="L56" s="29"/>
      <c r="M56" s="30"/>
      <c r="N56" s="30"/>
      <c r="O56" s="30"/>
      <c r="P56" s="30"/>
      <c r="Q56" s="30"/>
      <c r="R56" s="30"/>
      <c r="S56" s="30"/>
      <c r="T56" s="30"/>
      <c r="U56" s="30"/>
      <c r="V56" s="31"/>
    </row>
    <row r="57" spans="1:22">
      <c r="A57" s="1" t="s">
        <v>78</v>
      </c>
      <c r="B57" s="29">
        <v>0</v>
      </c>
      <c r="C57" s="30">
        <v>0</v>
      </c>
      <c r="D57" s="30">
        <v>0</v>
      </c>
      <c r="E57" s="30">
        <v>0</v>
      </c>
      <c r="F57" s="30">
        <v>0</v>
      </c>
      <c r="G57" s="31">
        <f>SUM(WY_FINANCIAL)</f>
        <v>0</v>
      </c>
      <c r="H57" s="30"/>
      <c r="I57" s="30"/>
      <c r="J57" s="30"/>
      <c r="K57" s="30"/>
      <c r="L57" s="29"/>
      <c r="M57" s="30"/>
      <c r="N57" s="30"/>
      <c r="O57" s="30"/>
      <c r="P57" s="30"/>
      <c r="Q57" s="30"/>
      <c r="R57" s="30"/>
      <c r="S57" s="30"/>
      <c r="T57" s="30"/>
      <c r="U57" s="30"/>
      <c r="V57" s="31"/>
    </row>
    <row r="58" spans="1:22">
      <c r="A58" s="1" t="s">
        <v>79</v>
      </c>
      <c r="B58" s="29">
        <v>0</v>
      </c>
      <c r="C58" s="30">
        <v>0</v>
      </c>
      <c r="D58" s="30">
        <v>0</v>
      </c>
      <c r="E58" s="30">
        <v>0</v>
      </c>
      <c r="F58" s="30">
        <v>0</v>
      </c>
      <c r="G58" s="31">
        <f>SUM(OT_FINANCIAL)</f>
        <v>0</v>
      </c>
      <c r="H58" s="30"/>
      <c r="I58" s="30"/>
      <c r="J58" s="30"/>
      <c r="K58" s="30"/>
      <c r="L58" s="29"/>
      <c r="M58" s="30"/>
      <c r="N58" s="30"/>
      <c r="O58" s="30"/>
      <c r="P58" s="30"/>
      <c r="Q58" s="30"/>
      <c r="R58" s="30"/>
      <c r="S58" s="30"/>
      <c r="T58" s="30"/>
      <c r="U58" s="30"/>
      <c r="V58" s="31"/>
    </row>
    <row r="59" spans="1:22">
      <c r="B59" s="29"/>
      <c r="C59" s="30"/>
      <c r="D59" s="30"/>
      <c r="E59" s="30"/>
      <c r="F59" s="30"/>
      <c r="G59" s="31"/>
      <c r="H59" s="30"/>
      <c r="I59" s="30"/>
      <c r="J59" s="30"/>
      <c r="K59" s="30"/>
      <c r="L59" s="29"/>
      <c r="M59" s="30"/>
      <c r="N59" s="30"/>
      <c r="O59" s="30"/>
      <c r="P59" s="30"/>
      <c r="Q59" s="30"/>
      <c r="R59" s="30"/>
      <c r="S59" s="30"/>
      <c r="T59" s="30"/>
      <c r="U59" s="30"/>
      <c r="V59" s="31"/>
    </row>
    <row r="60" spans="1:22">
      <c r="A60" s="1" t="s">
        <v>8</v>
      </c>
      <c r="B60" s="29">
        <f>SUM(LIFE)</f>
        <v>227596.37831170985</v>
      </c>
      <c r="C60" s="30">
        <f>SUM(ALLOCATED)</f>
        <v>4592238.8649955532</v>
      </c>
      <c r="D60" s="30">
        <f>SUM(HEALTH)</f>
        <v>109820.02669273682</v>
      </c>
      <c r="E60" s="30">
        <f>SUM(UNALLOCATED)</f>
        <v>0</v>
      </c>
      <c r="F60" s="30">
        <f>SUM(LTC)</f>
        <v>0</v>
      </c>
      <c r="G60" s="31">
        <f>SUM(ALL_BLOCKS)</f>
        <v>4929655.2700000005</v>
      </c>
      <c r="H60" s="30"/>
      <c r="I60" s="30"/>
      <c r="J60" s="30"/>
      <c r="K60" s="30"/>
      <c r="L60" s="29">
        <f>SUM(LIFE_CALLED)</f>
        <v>19024</v>
      </c>
      <c r="M60" s="30">
        <f>SUM(LIFE_REFUNDED)</f>
        <v>0</v>
      </c>
      <c r="N60" s="30"/>
      <c r="O60" s="30">
        <f>SUM(ALLOC_CALLED)</f>
        <v>284983</v>
      </c>
      <c r="P60" s="30">
        <f>SUM(ALLOC_REFUNDED)</f>
        <v>1409.23</v>
      </c>
      <c r="Q60" s="30"/>
      <c r="R60" s="30">
        <f>SUM(HEALTH_CALLED)</f>
        <v>7000</v>
      </c>
      <c r="S60" s="30">
        <f>SUM(HEALTH_REFUNDED)</f>
        <v>0</v>
      </c>
      <c r="T60" s="30"/>
      <c r="U60" s="30">
        <f>SUM(UNALLOC_CALLED)</f>
        <v>0</v>
      </c>
      <c r="V60" s="31">
        <f>SUM(UNALLOC_REFUNDED)</f>
        <v>0</v>
      </c>
    </row>
    <row r="61" spans="1:22" ht="5.0999999999999996" customHeight="1">
      <c r="B61" s="8"/>
      <c r="G61" s="11"/>
      <c r="L61" s="8"/>
      <c r="V61" s="11"/>
    </row>
    <row r="62" spans="1:22">
      <c r="B62" s="8"/>
      <c r="G62" s="11"/>
      <c r="L62" s="122" t="s">
        <v>80</v>
      </c>
      <c r="M62" s="123"/>
      <c r="N62" s="123"/>
      <c r="O62" s="123"/>
      <c r="P62" s="123"/>
      <c r="Q62" s="123"/>
      <c r="R62" s="123"/>
      <c r="S62" s="123"/>
      <c r="T62" s="123"/>
      <c r="U62" s="123"/>
      <c r="V62" s="124"/>
    </row>
    <row r="63" spans="1:22">
      <c r="B63" s="8"/>
      <c r="G63" s="11"/>
      <c r="L63" s="125"/>
      <c r="M63" s="123"/>
      <c r="N63" s="123"/>
      <c r="O63" s="123"/>
      <c r="P63" s="123"/>
      <c r="Q63" s="123"/>
      <c r="R63" s="123"/>
      <c r="S63" s="123"/>
      <c r="T63" s="123"/>
      <c r="U63" s="123"/>
      <c r="V63" s="124"/>
    </row>
    <row r="64" spans="1:22">
      <c r="B64" s="10"/>
      <c r="C64" s="7"/>
      <c r="D64" s="7"/>
      <c r="E64" s="7"/>
      <c r="F64" s="7"/>
      <c r="G64" s="13"/>
      <c r="L64" s="126"/>
      <c r="M64" s="127"/>
      <c r="N64" s="127"/>
      <c r="O64" s="127"/>
      <c r="P64" s="127"/>
      <c r="Q64" s="127"/>
      <c r="R64" s="127"/>
      <c r="S64" s="127"/>
      <c r="T64" s="127"/>
      <c r="U64" s="127"/>
      <c r="V64" s="128"/>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A1:V64"/>
  <sheetViews>
    <sheetView zoomScale="75" workbookViewId="0">
      <selection sqref="A1:XFD1048576"/>
    </sheetView>
  </sheetViews>
  <sheetFormatPr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129" t="s">
        <v>119</v>
      </c>
      <c r="B1" s="123"/>
      <c r="C1" s="123"/>
      <c r="D1" s="123"/>
      <c r="E1" s="123"/>
      <c r="F1" s="123"/>
      <c r="G1" s="123"/>
    </row>
    <row r="3" spans="1:22">
      <c r="B3" s="130" t="s">
        <v>1</v>
      </c>
      <c r="C3" s="131"/>
      <c r="D3" s="131"/>
      <c r="E3" s="131"/>
      <c r="F3" s="131"/>
      <c r="G3" s="132"/>
      <c r="L3" s="133" t="s">
        <v>2</v>
      </c>
      <c r="M3" s="134"/>
      <c r="N3" s="134"/>
      <c r="O3" s="134"/>
      <c r="P3" s="134"/>
      <c r="Q3" s="134"/>
      <c r="R3" s="134"/>
      <c r="S3" s="134"/>
      <c r="T3" s="134"/>
      <c r="U3" s="134"/>
      <c r="V3" s="135"/>
    </row>
    <row r="4" spans="1:22">
      <c r="B4" s="8"/>
      <c r="G4" s="11"/>
      <c r="L4" s="136" t="s">
        <v>3</v>
      </c>
      <c r="M4" s="137"/>
      <c r="N4" s="4"/>
      <c r="O4" s="138" t="s">
        <v>4</v>
      </c>
      <c r="P4" s="137"/>
      <c r="Q4" s="4"/>
      <c r="R4" s="138" t="s">
        <v>5</v>
      </c>
      <c r="S4" s="137"/>
      <c r="T4" s="4"/>
      <c r="U4" s="138" t="s">
        <v>6</v>
      </c>
      <c r="V4" s="139"/>
    </row>
    <row r="5" spans="1:22" ht="60" customHeight="1">
      <c r="B5" s="9" t="s">
        <v>3</v>
      </c>
      <c r="C5" s="5" t="s">
        <v>4</v>
      </c>
      <c r="D5" s="5" t="s">
        <v>5</v>
      </c>
      <c r="E5" s="5" t="s">
        <v>6</v>
      </c>
      <c r="F5" s="5" t="s">
        <v>7</v>
      </c>
      <c r="G5" s="12" t="s">
        <v>8</v>
      </c>
      <c r="L5" s="15" t="s">
        <v>9</v>
      </c>
      <c r="M5" s="14" t="s">
        <v>10</v>
      </c>
      <c r="N5" s="14"/>
      <c r="O5" s="14" t="s">
        <v>9</v>
      </c>
      <c r="P5" s="14" t="s">
        <v>10</v>
      </c>
      <c r="Q5" s="14"/>
      <c r="R5" s="14" t="s">
        <v>9</v>
      </c>
      <c r="S5" s="14" t="s">
        <v>10</v>
      </c>
      <c r="T5" s="14"/>
      <c r="U5" s="14" t="s">
        <v>9</v>
      </c>
      <c r="V5" s="16" t="s">
        <v>10</v>
      </c>
    </row>
    <row r="6" spans="1:22">
      <c r="A6" s="1" t="s">
        <v>11</v>
      </c>
      <c r="B6" s="29">
        <v>274586.78565573407</v>
      </c>
      <c r="C6" s="30">
        <v>0</v>
      </c>
      <c r="D6" s="30">
        <v>0</v>
      </c>
      <c r="E6" s="30">
        <v>0</v>
      </c>
      <c r="F6" s="30">
        <v>0</v>
      </c>
      <c r="G6" s="31">
        <f>SUM(AL_FINANCIAL)</f>
        <v>274586.78565573407</v>
      </c>
      <c r="H6" s="30"/>
      <c r="I6" s="30"/>
      <c r="J6" s="30"/>
      <c r="K6" s="30"/>
      <c r="L6" s="29"/>
      <c r="M6" s="30"/>
      <c r="N6" s="30"/>
      <c r="O6" s="30"/>
      <c r="P6" s="30"/>
      <c r="Q6" s="30"/>
      <c r="R6" s="30"/>
      <c r="S6" s="30"/>
      <c r="T6" s="30"/>
      <c r="U6" s="30"/>
      <c r="V6" s="31"/>
    </row>
    <row r="7" spans="1:22">
      <c r="A7" s="1" t="s">
        <v>12</v>
      </c>
      <c r="B7" s="29">
        <v>0</v>
      </c>
      <c r="C7" s="30">
        <v>0</v>
      </c>
      <c r="D7" s="30">
        <v>0</v>
      </c>
      <c r="E7" s="30">
        <v>0</v>
      </c>
      <c r="F7" s="30">
        <v>0</v>
      </c>
      <c r="G7" s="31">
        <f>SUM(AK_FINANCIAL)</f>
        <v>0</v>
      </c>
      <c r="H7" s="30"/>
      <c r="I7" s="32"/>
      <c r="J7" s="33"/>
      <c r="K7" s="30"/>
      <c r="L7" s="29"/>
      <c r="M7" s="30"/>
      <c r="N7" s="30"/>
      <c r="O7" s="30"/>
      <c r="P7" s="30"/>
      <c r="Q7" s="30"/>
      <c r="R7" s="30"/>
      <c r="S7" s="30"/>
      <c r="T7" s="30"/>
      <c r="U7" s="30"/>
      <c r="V7" s="31"/>
    </row>
    <row r="8" spans="1:22">
      <c r="A8" s="1" t="s">
        <v>13</v>
      </c>
      <c r="B8" s="29">
        <v>-22693.529630920471</v>
      </c>
      <c r="C8" s="30">
        <v>0</v>
      </c>
      <c r="D8" s="30">
        <v>0</v>
      </c>
      <c r="E8" s="30">
        <v>0</v>
      </c>
      <c r="F8" s="30">
        <v>0</v>
      </c>
      <c r="G8" s="31">
        <f>SUM(AZ_FINANCIAL)</f>
        <v>-22693.529630920471</v>
      </c>
      <c r="H8" s="30"/>
      <c r="I8" s="34" t="s">
        <v>14</v>
      </c>
      <c r="J8" s="35"/>
      <c r="K8" s="30"/>
      <c r="L8" s="29"/>
      <c r="M8" s="30"/>
      <c r="N8" s="30"/>
      <c r="O8" s="30"/>
      <c r="P8" s="30"/>
      <c r="Q8" s="30"/>
      <c r="R8" s="30"/>
      <c r="S8" s="30"/>
      <c r="T8" s="30"/>
      <c r="U8" s="30"/>
      <c r="V8" s="31"/>
    </row>
    <row r="9" spans="1:22">
      <c r="A9" s="1" t="s">
        <v>15</v>
      </c>
      <c r="B9" s="29">
        <v>0</v>
      </c>
      <c r="C9" s="30">
        <v>0</v>
      </c>
      <c r="D9" s="30">
        <v>0</v>
      </c>
      <c r="E9" s="30">
        <v>0</v>
      </c>
      <c r="F9" s="30">
        <v>0</v>
      </c>
      <c r="G9" s="31">
        <f>SUM(AR_FINANCIAL)</f>
        <v>0</v>
      </c>
      <c r="H9" s="30"/>
      <c r="I9" s="34"/>
      <c r="J9" s="35"/>
      <c r="K9" s="30"/>
      <c r="L9" s="29"/>
      <c r="M9" s="30"/>
      <c r="N9" s="30"/>
      <c r="O9" s="30"/>
      <c r="P9" s="30"/>
      <c r="Q9" s="30"/>
      <c r="R9" s="30"/>
      <c r="S9" s="30"/>
      <c r="T9" s="30"/>
      <c r="U9" s="30"/>
      <c r="V9" s="31"/>
    </row>
    <row r="10" spans="1:22">
      <c r="A10" s="1" t="s">
        <v>16</v>
      </c>
      <c r="B10" s="29">
        <v>0</v>
      </c>
      <c r="C10" s="30">
        <v>0</v>
      </c>
      <c r="D10" s="30">
        <v>0</v>
      </c>
      <c r="E10" s="30">
        <v>0</v>
      </c>
      <c r="F10" s="30">
        <v>0</v>
      </c>
      <c r="G10" s="31">
        <f>SUM(CA_FINANCIAL)</f>
        <v>0</v>
      </c>
      <c r="H10" s="30"/>
      <c r="I10" s="34" t="s">
        <v>17</v>
      </c>
      <c r="J10" s="35">
        <v>17074665</v>
      </c>
      <c r="K10" s="30"/>
      <c r="L10" s="29"/>
      <c r="M10" s="30"/>
      <c r="N10" s="30"/>
      <c r="O10" s="30"/>
      <c r="P10" s="30"/>
      <c r="Q10" s="30"/>
      <c r="R10" s="30"/>
      <c r="S10" s="30"/>
      <c r="T10" s="30"/>
      <c r="U10" s="30"/>
      <c r="V10" s="31"/>
    </row>
    <row r="11" spans="1:22">
      <c r="A11" s="1" t="s">
        <v>18</v>
      </c>
      <c r="B11" s="29">
        <v>0</v>
      </c>
      <c r="C11" s="30">
        <v>0</v>
      </c>
      <c r="D11" s="30">
        <v>0</v>
      </c>
      <c r="E11" s="30">
        <v>0</v>
      </c>
      <c r="F11" s="30">
        <v>0</v>
      </c>
      <c r="G11" s="31">
        <f>SUM(CO_FINANCIAL)</f>
        <v>0</v>
      </c>
      <c r="H11" s="30"/>
      <c r="I11" s="34"/>
      <c r="J11" s="35"/>
      <c r="K11" s="30"/>
      <c r="L11" s="29"/>
      <c r="M11" s="30"/>
      <c r="N11" s="30"/>
      <c r="O11" s="30"/>
      <c r="P11" s="30"/>
      <c r="Q11" s="30"/>
      <c r="R11" s="30"/>
      <c r="S11" s="30"/>
      <c r="T11" s="30"/>
      <c r="U11" s="30"/>
      <c r="V11" s="31"/>
    </row>
    <row r="12" spans="1:22">
      <c r="A12" s="1" t="s">
        <v>19</v>
      </c>
      <c r="B12" s="29">
        <v>0</v>
      </c>
      <c r="C12" s="30">
        <v>0</v>
      </c>
      <c r="D12" s="30">
        <v>0</v>
      </c>
      <c r="E12" s="30">
        <v>0</v>
      </c>
      <c r="F12" s="30">
        <v>0</v>
      </c>
      <c r="G12" s="31">
        <f>SUM(CT_FINANCIAL)</f>
        <v>0</v>
      </c>
      <c r="H12" s="30"/>
      <c r="I12" s="34" t="s">
        <v>20</v>
      </c>
      <c r="J12" s="35"/>
      <c r="K12" s="30"/>
      <c r="L12" s="29"/>
      <c r="M12" s="30"/>
      <c r="N12" s="30"/>
      <c r="O12" s="30"/>
      <c r="P12" s="30"/>
      <c r="Q12" s="30"/>
      <c r="R12" s="30"/>
      <c r="S12" s="30"/>
      <c r="T12" s="30"/>
      <c r="U12" s="30"/>
      <c r="V12" s="31"/>
    </row>
    <row r="13" spans="1:22">
      <c r="A13" s="1" t="s">
        <v>21</v>
      </c>
      <c r="B13" s="29">
        <v>0</v>
      </c>
      <c r="C13" s="30">
        <v>0</v>
      </c>
      <c r="D13" s="30">
        <v>0</v>
      </c>
      <c r="E13" s="30">
        <v>0</v>
      </c>
      <c r="F13" s="30">
        <v>0</v>
      </c>
      <c r="G13" s="31">
        <f>SUM(DE_FINANCIAL)</f>
        <v>0</v>
      </c>
      <c r="H13" s="30"/>
      <c r="I13" s="34" t="s">
        <v>22</v>
      </c>
      <c r="J13" s="35">
        <v>18066</v>
      </c>
      <c r="K13" s="30"/>
      <c r="L13" s="29"/>
      <c r="M13" s="30"/>
      <c r="N13" s="30"/>
      <c r="O13" s="30"/>
      <c r="P13" s="30"/>
      <c r="Q13" s="30"/>
      <c r="R13" s="30"/>
      <c r="S13" s="30"/>
      <c r="T13" s="30"/>
      <c r="U13" s="30"/>
      <c r="V13" s="31"/>
    </row>
    <row r="14" spans="1:22">
      <c r="A14" s="1" t="s">
        <v>23</v>
      </c>
      <c r="B14" s="29">
        <v>0</v>
      </c>
      <c r="C14" s="30">
        <v>0</v>
      </c>
      <c r="D14" s="30">
        <v>0</v>
      </c>
      <c r="E14" s="30">
        <v>0</v>
      </c>
      <c r="F14" s="30">
        <v>0</v>
      </c>
      <c r="G14" s="31">
        <f>SUM(DC_FINANCIAL)</f>
        <v>0</v>
      </c>
      <c r="H14" s="30"/>
      <c r="I14" s="34" t="s">
        <v>24</v>
      </c>
      <c r="J14" s="35">
        <v>406240</v>
      </c>
      <c r="K14" s="30"/>
      <c r="L14" s="29"/>
      <c r="M14" s="30"/>
      <c r="N14" s="30"/>
      <c r="O14" s="30"/>
      <c r="P14" s="30"/>
      <c r="Q14" s="30"/>
      <c r="R14" s="30"/>
      <c r="S14" s="30"/>
      <c r="T14" s="30"/>
      <c r="U14" s="30"/>
      <c r="V14" s="31"/>
    </row>
    <row r="15" spans="1:22">
      <c r="A15" s="1" t="s">
        <v>25</v>
      </c>
      <c r="B15" s="29">
        <v>55964.38977188844</v>
      </c>
      <c r="C15" s="30">
        <v>0</v>
      </c>
      <c r="D15" s="30">
        <v>0</v>
      </c>
      <c r="E15" s="30">
        <v>0</v>
      </c>
      <c r="F15" s="30">
        <v>0</v>
      </c>
      <c r="G15" s="31">
        <f>SUM(FL_FINANCIAL)</f>
        <v>55964.38977188844</v>
      </c>
      <c r="H15" s="30"/>
      <c r="I15" s="34" t="s">
        <v>26</v>
      </c>
      <c r="J15" s="35">
        <v>662310.75711180852</v>
      </c>
      <c r="K15" s="30"/>
      <c r="L15" s="29"/>
      <c r="M15" s="30"/>
      <c r="N15" s="30"/>
      <c r="O15" s="30"/>
      <c r="P15" s="30"/>
      <c r="Q15" s="30"/>
      <c r="R15" s="30"/>
      <c r="S15" s="30"/>
      <c r="T15" s="30"/>
      <c r="U15" s="30"/>
      <c r="V15" s="31"/>
    </row>
    <row r="16" spans="1:22">
      <c r="A16" s="1" t="s">
        <v>27</v>
      </c>
      <c r="B16" s="29">
        <v>0</v>
      </c>
      <c r="C16" s="30">
        <v>0</v>
      </c>
      <c r="D16" s="30">
        <v>0</v>
      </c>
      <c r="E16" s="30">
        <v>0</v>
      </c>
      <c r="F16" s="30">
        <v>0</v>
      </c>
      <c r="G16" s="31">
        <f>SUM(GA_FINANCIAL)</f>
        <v>0</v>
      </c>
      <c r="H16" s="30"/>
      <c r="I16" s="34" t="s">
        <v>28</v>
      </c>
      <c r="J16" s="35">
        <v>0</v>
      </c>
      <c r="K16" s="30"/>
      <c r="L16" s="29"/>
      <c r="M16" s="30"/>
      <c r="N16" s="30"/>
      <c r="O16" s="30"/>
      <c r="P16" s="30"/>
      <c r="Q16" s="30"/>
      <c r="R16" s="30"/>
      <c r="S16" s="30"/>
      <c r="T16" s="30"/>
      <c r="U16" s="30"/>
      <c r="V16" s="31"/>
    </row>
    <row r="17" spans="1:22">
      <c r="A17" s="1" t="s">
        <v>29</v>
      </c>
      <c r="B17" s="29">
        <v>0</v>
      </c>
      <c r="C17" s="30">
        <v>0</v>
      </c>
      <c r="D17" s="30">
        <v>0</v>
      </c>
      <c r="E17" s="30">
        <v>0</v>
      </c>
      <c r="F17" s="30">
        <v>0</v>
      </c>
      <c r="G17" s="31">
        <f>SUM(HI_FINANCIAL)</f>
        <v>0</v>
      </c>
      <c r="H17" s="30"/>
      <c r="I17" s="34"/>
      <c r="J17" s="35"/>
      <c r="K17" s="30"/>
      <c r="L17" s="29"/>
      <c r="M17" s="30"/>
      <c r="N17" s="30"/>
      <c r="O17" s="30"/>
      <c r="P17" s="30"/>
      <c r="Q17" s="30"/>
      <c r="R17" s="30"/>
      <c r="S17" s="30"/>
      <c r="T17" s="30"/>
      <c r="U17" s="30"/>
      <c r="V17" s="31"/>
    </row>
    <row r="18" spans="1:22">
      <c r="A18" s="1" t="s">
        <v>30</v>
      </c>
      <c r="B18" s="29">
        <v>0</v>
      </c>
      <c r="C18" s="30">
        <v>0</v>
      </c>
      <c r="D18" s="30">
        <v>0</v>
      </c>
      <c r="E18" s="30">
        <v>0</v>
      </c>
      <c r="F18" s="30">
        <v>0</v>
      </c>
      <c r="G18" s="31">
        <f>SUM(ID_FINANCIAL)</f>
        <v>0</v>
      </c>
      <c r="H18" s="30"/>
      <c r="I18" s="34" t="s">
        <v>31</v>
      </c>
      <c r="J18" s="35"/>
      <c r="K18" s="30"/>
      <c r="L18" s="29"/>
      <c r="M18" s="30"/>
      <c r="N18" s="30"/>
      <c r="O18" s="30"/>
      <c r="P18" s="30"/>
      <c r="Q18" s="30"/>
      <c r="R18" s="30"/>
      <c r="S18" s="30"/>
      <c r="T18" s="30"/>
      <c r="U18" s="30"/>
      <c r="V18" s="31"/>
    </row>
    <row r="19" spans="1:22">
      <c r="A19" s="1" t="s">
        <v>32</v>
      </c>
      <c r="B19" s="29">
        <v>0</v>
      </c>
      <c r="C19" s="30">
        <v>0</v>
      </c>
      <c r="D19" s="30">
        <v>0</v>
      </c>
      <c r="E19" s="30">
        <v>0</v>
      </c>
      <c r="F19" s="30">
        <v>0</v>
      </c>
      <c r="G19" s="31">
        <f>SUM(IL_FINANCIAL)</f>
        <v>0</v>
      </c>
      <c r="H19" s="30"/>
      <c r="I19" s="34" t="s">
        <v>33</v>
      </c>
      <c r="J19" s="35">
        <v>0</v>
      </c>
      <c r="K19" s="30"/>
      <c r="L19" s="29"/>
      <c r="M19" s="30"/>
      <c r="N19" s="30"/>
      <c r="O19" s="30"/>
      <c r="P19" s="30"/>
      <c r="Q19" s="30"/>
      <c r="R19" s="30"/>
      <c r="S19" s="30"/>
      <c r="T19" s="30"/>
      <c r="U19" s="30"/>
      <c r="V19" s="31"/>
    </row>
    <row r="20" spans="1:22">
      <c r="A20" s="1" t="s">
        <v>34</v>
      </c>
      <c r="B20" s="29">
        <v>0</v>
      </c>
      <c r="C20" s="30">
        <v>0</v>
      </c>
      <c r="D20" s="30">
        <v>0</v>
      </c>
      <c r="E20" s="30">
        <v>0</v>
      </c>
      <c r="F20" s="30">
        <v>0</v>
      </c>
      <c r="G20" s="31">
        <f>SUM(IN_FINANCIAL)</f>
        <v>0</v>
      </c>
      <c r="H20" s="30"/>
      <c r="I20" s="34" t="s">
        <v>35</v>
      </c>
      <c r="J20" s="35">
        <v>-1329839</v>
      </c>
      <c r="K20" s="30"/>
      <c r="L20" s="29"/>
      <c r="M20" s="30"/>
      <c r="N20" s="30"/>
      <c r="O20" s="30"/>
      <c r="P20" s="30"/>
      <c r="Q20" s="30"/>
      <c r="R20" s="30"/>
      <c r="S20" s="30"/>
      <c r="T20" s="30"/>
      <c r="U20" s="30"/>
      <c r="V20" s="31"/>
    </row>
    <row r="21" spans="1:22">
      <c r="A21" s="1" t="s">
        <v>36</v>
      </c>
      <c r="B21" s="29">
        <v>0</v>
      </c>
      <c r="C21" s="30">
        <v>0</v>
      </c>
      <c r="D21" s="30">
        <v>0</v>
      </c>
      <c r="E21" s="30">
        <v>0</v>
      </c>
      <c r="F21" s="30">
        <v>0</v>
      </c>
      <c r="G21" s="31">
        <f>SUM(IA_FINANCIAL)</f>
        <v>0</v>
      </c>
      <c r="H21" s="30"/>
      <c r="I21" s="34" t="s">
        <v>37</v>
      </c>
      <c r="J21" s="35"/>
      <c r="K21" s="30"/>
      <c r="L21" s="29"/>
      <c r="M21" s="30"/>
      <c r="N21" s="30"/>
      <c r="O21" s="30"/>
      <c r="P21" s="30"/>
      <c r="Q21" s="30"/>
      <c r="R21" s="30"/>
      <c r="S21" s="30"/>
      <c r="T21" s="30"/>
      <c r="U21" s="30"/>
      <c r="V21" s="31"/>
    </row>
    <row r="22" spans="1:22">
      <c r="A22" s="1" t="s">
        <v>38</v>
      </c>
      <c r="B22" s="29">
        <v>0</v>
      </c>
      <c r="C22" s="30">
        <v>0</v>
      </c>
      <c r="D22" s="30">
        <v>0</v>
      </c>
      <c r="E22" s="30">
        <v>0</v>
      </c>
      <c r="F22" s="30">
        <v>0</v>
      </c>
      <c r="G22" s="31">
        <f>SUM(KS_FINANCIAL)</f>
        <v>0</v>
      </c>
      <c r="H22" s="30"/>
      <c r="I22" s="34" t="s">
        <v>39</v>
      </c>
      <c r="J22" s="35">
        <v>711825</v>
      </c>
      <c r="K22" s="30"/>
      <c r="L22" s="29"/>
      <c r="M22" s="30"/>
      <c r="N22" s="30"/>
      <c r="O22" s="30"/>
      <c r="P22" s="30"/>
      <c r="Q22" s="30"/>
      <c r="R22" s="30"/>
      <c r="S22" s="30"/>
      <c r="T22" s="30"/>
      <c r="U22" s="30"/>
      <c r="V22" s="31"/>
    </row>
    <row r="23" spans="1:22">
      <c r="A23" s="1" t="s">
        <v>40</v>
      </c>
      <c r="B23" s="29">
        <v>0</v>
      </c>
      <c r="C23" s="30">
        <v>0</v>
      </c>
      <c r="D23" s="30">
        <v>0</v>
      </c>
      <c r="E23" s="30">
        <v>0</v>
      </c>
      <c r="F23" s="30">
        <v>0</v>
      </c>
      <c r="G23" s="31">
        <f>SUM(KY_FINANCIAL)</f>
        <v>0</v>
      </c>
      <c r="H23" s="30"/>
      <c r="I23" s="34" t="s">
        <v>41</v>
      </c>
      <c r="J23" s="35"/>
      <c r="K23" s="30"/>
      <c r="L23" s="29"/>
      <c r="M23" s="30"/>
      <c r="N23" s="30"/>
      <c r="O23" s="30"/>
      <c r="P23" s="30"/>
      <c r="Q23" s="30"/>
      <c r="R23" s="30"/>
      <c r="S23" s="30"/>
      <c r="T23" s="30"/>
      <c r="U23" s="30"/>
      <c r="V23" s="31"/>
    </row>
    <row r="24" spans="1:22">
      <c r="A24" s="1" t="s">
        <v>42</v>
      </c>
      <c r="B24" s="29">
        <v>724673.08715210215</v>
      </c>
      <c r="C24" s="30">
        <v>40307.699048012058</v>
      </c>
      <c r="D24" s="30">
        <v>0</v>
      </c>
      <c r="E24" s="30">
        <v>0</v>
      </c>
      <c r="F24" s="30">
        <v>0</v>
      </c>
      <c r="G24" s="31">
        <f>SUM(LA_FINANCIAL)</f>
        <v>764980.78620011418</v>
      </c>
      <c r="H24" s="30"/>
      <c r="I24" s="34" t="s">
        <v>43</v>
      </c>
      <c r="J24" s="35">
        <v>6195873.5700000003</v>
      </c>
      <c r="K24" s="30"/>
      <c r="L24" s="29">
        <v>959087</v>
      </c>
      <c r="M24" s="30">
        <v>0</v>
      </c>
      <c r="N24" s="30"/>
      <c r="O24" s="30">
        <v>402992</v>
      </c>
      <c r="P24" s="30">
        <v>0</v>
      </c>
      <c r="Q24" s="30"/>
      <c r="R24" s="30">
        <v>52921</v>
      </c>
      <c r="S24" s="30">
        <v>0</v>
      </c>
      <c r="T24" s="30"/>
      <c r="U24" s="30">
        <v>0</v>
      </c>
      <c r="V24" s="31">
        <v>0</v>
      </c>
    </row>
    <row r="25" spans="1:22">
      <c r="A25" s="1" t="s">
        <v>44</v>
      </c>
      <c r="B25" s="29">
        <v>0</v>
      </c>
      <c r="C25" s="30">
        <v>0</v>
      </c>
      <c r="D25" s="30">
        <v>0</v>
      </c>
      <c r="E25" s="30">
        <v>0</v>
      </c>
      <c r="F25" s="30">
        <v>0</v>
      </c>
      <c r="G25" s="31">
        <f>SUM(ME_FINANCIAL)</f>
        <v>0</v>
      </c>
      <c r="H25" s="30"/>
      <c r="I25" s="34"/>
      <c r="J25" s="35"/>
      <c r="K25" s="30"/>
      <c r="L25" s="29"/>
      <c r="M25" s="30"/>
      <c r="N25" s="30"/>
      <c r="O25" s="30"/>
      <c r="P25" s="30"/>
      <c r="Q25" s="30"/>
      <c r="R25" s="30"/>
      <c r="S25" s="30"/>
      <c r="T25" s="30"/>
      <c r="U25" s="30"/>
      <c r="V25" s="31"/>
    </row>
    <row r="26" spans="1:22">
      <c r="A26" s="1" t="s">
        <v>45</v>
      </c>
      <c r="B26" s="29">
        <v>0</v>
      </c>
      <c r="C26" s="30">
        <v>0</v>
      </c>
      <c r="D26" s="30">
        <v>0</v>
      </c>
      <c r="E26" s="30">
        <v>0</v>
      </c>
      <c r="F26" s="30">
        <v>0</v>
      </c>
      <c r="G26" s="31">
        <f>SUM(MD_FINANCIAL)</f>
        <v>0</v>
      </c>
      <c r="H26" s="30"/>
      <c r="I26" s="34" t="s">
        <v>46</v>
      </c>
      <c r="J26" s="35">
        <f>SUM(ADD_FINANCIAL)-SUM(LESS_FINANCIAL)</f>
        <v>12583422.18711181</v>
      </c>
      <c r="K26" s="30"/>
      <c r="L26" s="29"/>
      <c r="M26" s="30"/>
      <c r="N26" s="30"/>
      <c r="O26" s="30"/>
      <c r="P26" s="30"/>
      <c r="Q26" s="30"/>
      <c r="R26" s="30"/>
      <c r="S26" s="30"/>
      <c r="T26" s="30"/>
      <c r="U26" s="30"/>
      <c r="V26" s="31"/>
    </row>
    <row r="27" spans="1:22">
      <c r="A27" s="1" t="s">
        <v>47</v>
      </c>
      <c r="B27" s="29">
        <v>0</v>
      </c>
      <c r="C27" s="30">
        <v>0</v>
      </c>
      <c r="D27" s="30">
        <v>0</v>
      </c>
      <c r="E27" s="30">
        <v>0</v>
      </c>
      <c r="F27" s="30">
        <v>0</v>
      </c>
      <c r="G27" s="31">
        <f>SUM(MA_FINANCIAL)</f>
        <v>0</v>
      </c>
      <c r="H27" s="30"/>
      <c r="I27" s="34" t="s">
        <v>48</v>
      </c>
      <c r="J27" s="35">
        <f>SUM(ALL_BLOCKS)</f>
        <v>12583422.187111812</v>
      </c>
      <c r="K27" s="30"/>
      <c r="L27" s="29"/>
      <c r="M27" s="30"/>
      <c r="N27" s="30"/>
      <c r="O27" s="30"/>
      <c r="P27" s="30"/>
      <c r="Q27" s="30"/>
      <c r="R27" s="30"/>
      <c r="S27" s="30"/>
      <c r="T27" s="30"/>
      <c r="U27" s="30"/>
      <c r="V27" s="31"/>
    </row>
    <row r="28" spans="1:22">
      <c r="A28" s="1" t="s">
        <v>49</v>
      </c>
      <c r="B28" s="29">
        <v>0</v>
      </c>
      <c r="C28" s="30">
        <v>0</v>
      </c>
      <c r="D28" s="30">
        <v>0</v>
      </c>
      <c r="E28" s="30">
        <v>0</v>
      </c>
      <c r="F28" s="30">
        <v>0</v>
      </c>
      <c r="G28" s="31">
        <f>SUM(MI_FINANCIAL)</f>
        <v>0</v>
      </c>
      <c r="H28" s="30"/>
      <c r="I28" s="36"/>
      <c r="J28" s="37"/>
      <c r="K28" s="30"/>
      <c r="L28" s="29"/>
      <c r="M28" s="30"/>
      <c r="N28" s="30"/>
      <c r="O28" s="30"/>
      <c r="P28" s="30"/>
      <c r="Q28" s="30"/>
      <c r="R28" s="30"/>
      <c r="S28" s="30"/>
      <c r="T28" s="30"/>
      <c r="U28" s="30"/>
      <c r="V28" s="31"/>
    </row>
    <row r="29" spans="1:22">
      <c r="A29" s="1" t="s">
        <v>50</v>
      </c>
      <c r="B29" s="29">
        <v>0</v>
      </c>
      <c r="C29" s="30">
        <v>0</v>
      </c>
      <c r="D29" s="30">
        <v>0</v>
      </c>
      <c r="E29" s="30">
        <v>0</v>
      </c>
      <c r="F29" s="30">
        <v>0</v>
      </c>
      <c r="G29" s="31">
        <f>SUM(MN_FINANCIAL)</f>
        <v>0</v>
      </c>
      <c r="H29" s="30"/>
      <c r="I29" s="30"/>
      <c r="J29" s="30"/>
      <c r="K29" s="30"/>
      <c r="L29" s="29"/>
      <c r="M29" s="30"/>
      <c r="N29" s="30"/>
      <c r="O29" s="30"/>
      <c r="P29" s="30"/>
      <c r="Q29" s="30"/>
      <c r="R29" s="30"/>
      <c r="S29" s="30"/>
      <c r="T29" s="30"/>
      <c r="U29" s="30"/>
      <c r="V29" s="31"/>
    </row>
    <row r="30" spans="1:22">
      <c r="A30" s="1" t="s">
        <v>51</v>
      </c>
      <c r="B30" s="29">
        <v>8303031.2425593389</v>
      </c>
      <c r="C30" s="30">
        <v>2996687.7993431687</v>
      </c>
      <c r="D30" s="30">
        <v>0</v>
      </c>
      <c r="E30" s="30">
        <v>0</v>
      </c>
      <c r="F30" s="30">
        <v>0</v>
      </c>
      <c r="G30" s="31">
        <f>SUM(MS_FINANCIAL)</f>
        <v>11299719.041902509</v>
      </c>
      <c r="H30" s="30"/>
      <c r="I30" s="30"/>
      <c r="J30" s="30"/>
      <c r="K30" s="30"/>
      <c r="L30" s="29">
        <v>4320000</v>
      </c>
      <c r="M30" s="30">
        <v>0</v>
      </c>
      <c r="N30" s="30"/>
      <c r="O30" s="30">
        <v>1680000</v>
      </c>
      <c r="P30" s="30">
        <v>0</v>
      </c>
      <c r="Q30" s="30"/>
      <c r="R30" s="30">
        <v>0</v>
      </c>
      <c r="S30" s="30">
        <v>0</v>
      </c>
      <c r="T30" s="30"/>
      <c r="U30" s="30">
        <v>0</v>
      </c>
      <c r="V30" s="31">
        <v>0</v>
      </c>
    </row>
    <row r="31" spans="1:22">
      <c r="A31" s="1" t="s">
        <v>52</v>
      </c>
      <c r="B31" s="29">
        <v>0</v>
      </c>
      <c r="C31" s="30">
        <v>0</v>
      </c>
      <c r="D31" s="30">
        <v>0</v>
      </c>
      <c r="E31" s="30">
        <v>0</v>
      </c>
      <c r="F31" s="30">
        <v>0</v>
      </c>
      <c r="G31" s="31">
        <f>SUM(MO_FINANCIAL)</f>
        <v>0</v>
      </c>
      <c r="H31" s="30"/>
      <c r="I31" s="30"/>
      <c r="J31" s="30"/>
      <c r="K31" s="30"/>
      <c r="L31" s="29"/>
      <c r="M31" s="30"/>
      <c r="N31" s="30"/>
      <c r="O31" s="30"/>
      <c r="P31" s="30"/>
      <c r="Q31" s="30"/>
      <c r="R31" s="30"/>
      <c r="S31" s="30"/>
      <c r="T31" s="30"/>
      <c r="U31" s="30"/>
      <c r="V31" s="31"/>
    </row>
    <row r="32" spans="1:22">
      <c r="A32" s="1" t="s">
        <v>53</v>
      </c>
      <c r="B32" s="29">
        <v>0</v>
      </c>
      <c r="C32" s="30">
        <v>0</v>
      </c>
      <c r="D32" s="30">
        <v>0</v>
      </c>
      <c r="E32" s="30">
        <v>0</v>
      </c>
      <c r="F32" s="30">
        <v>0</v>
      </c>
      <c r="G32" s="31">
        <f>SUM(MT_FINANCIAL)</f>
        <v>0</v>
      </c>
      <c r="H32" s="30"/>
      <c r="I32" s="30"/>
      <c r="J32" s="30"/>
      <c r="K32" s="30"/>
      <c r="L32" s="29"/>
      <c r="M32" s="30"/>
      <c r="N32" s="30"/>
      <c r="O32" s="30"/>
      <c r="P32" s="30"/>
      <c r="Q32" s="30"/>
      <c r="R32" s="30"/>
      <c r="S32" s="30"/>
      <c r="T32" s="30"/>
      <c r="U32" s="30"/>
      <c r="V32" s="31"/>
    </row>
    <row r="33" spans="1:22">
      <c r="A33" s="1" t="s">
        <v>54</v>
      </c>
      <c r="B33" s="29">
        <v>0</v>
      </c>
      <c r="C33" s="30">
        <v>0</v>
      </c>
      <c r="D33" s="30">
        <v>0</v>
      </c>
      <c r="E33" s="30">
        <v>0</v>
      </c>
      <c r="F33" s="30">
        <v>0</v>
      </c>
      <c r="G33" s="31">
        <f>SUM(NE_FINANCIAL)</f>
        <v>0</v>
      </c>
      <c r="H33" s="30"/>
      <c r="I33" s="30"/>
      <c r="J33" s="30"/>
      <c r="K33" s="30"/>
      <c r="L33" s="29"/>
      <c r="M33" s="30"/>
      <c r="N33" s="30"/>
      <c r="O33" s="30"/>
      <c r="P33" s="30"/>
      <c r="Q33" s="30"/>
      <c r="R33" s="30"/>
      <c r="S33" s="30"/>
      <c r="T33" s="30"/>
      <c r="U33" s="30"/>
      <c r="V33" s="31"/>
    </row>
    <row r="34" spans="1:22">
      <c r="A34" s="1" t="s">
        <v>55</v>
      </c>
      <c r="B34" s="29">
        <v>0</v>
      </c>
      <c r="C34" s="30">
        <v>0</v>
      </c>
      <c r="D34" s="30">
        <v>0</v>
      </c>
      <c r="E34" s="30">
        <v>0</v>
      </c>
      <c r="F34" s="30">
        <v>0</v>
      </c>
      <c r="G34" s="31">
        <f>SUM(NV_FINANCIAL)</f>
        <v>0</v>
      </c>
      <c r="H34" s="30"/>
      <c r="I34" s="30"/>
      <c r="J34" s="30"/>
      <c r="K34" s="30"/>
      <c r="L34" s="29"/>
      <c r="M34" s="30"/>
      <c r="N34" s="30"/>
      <c r="O34" s="30"/>
      <c r="P34" s="30"/>
      <c r="Q34" s="30"/>
      <c r="R34" s="30"/>
      <c r="S34" s="30"/>
      <c r="T34" s="30"/>
      <c r="U34" s="30"/>
      <c r="V34" s="31"/>
    </row>
    <row r="35" spans="1:22">
      <c r="A35" s="1" t="s">
        <v>56</v>
      </c>
      <c r="B35" s="29">
        <v>0</v>
      </c>
      <c r="C35" s="30">
        <v>0</v>
      </c>
      <c r="D35" s="30">
        <v>0</v>
      </c>
      <c r="E35" s="30">
        <v>0</v>
      </c>
      <c r="F35" s="30">
        <v>0</v>
      </c>
      <c r="G35" s="31">
        <f>SUM(NH_FINANCIAL)</f>
        <v>0</v>
      </c>
      <c r="H35" s="30"/>
      <c r="I35" s="30"/>
      <c r="J35" s="30"/>
      <c r="K35" s="30"/>
      <c r="L35" s="29"/>
      <c r="M35" s="30"/>
      <c r="N35" s="30"/>
      <c r="O35" s="30"/>
      <c r="P35" s="30"/>
      <c r="Q35" s="30"/>
      <c r="R35" s="30"/>
      <c r="S35" s="30"/>
      <c r="T35" s="30"/>
      <c r="U35" s="30"/>
      <c r="V35" s="31"/>
    </row>
    <row r="36" spans="1:22">
      <c r="A36" s="1" t="s">
        <v>57</v>
      </c>
      <c r="B36" s="29">
        <v>0</v>
      </c>
      <c r="C36" s="30">
        <v>0</v>
      </c>
      <c r="D36" s="30">
        <v>0</v>
      </c>
      <c r="E36" s="30">
        <v>0</v>
      </c>
      <c r="F36" s="30">
        <v>0</v>
      </c>
      <c r="G36" s="31">
        <f>SUM(NJ_FINANCIAL)</f>
        <v>0</v>
      </c>
      <c r="H36" s="30"/>
      <c r="I36" s="30"/>
      <c r="J36" s="30"/>
      <c r="K36" s="30"/>
      <c r="L36" s="29"/>
      <c r="M36" s="30"/>
      <c r="N36" s="30"/>
      <c r="O36" s="30"/>
      <c r="P36" s="30"/>
      <c r="Q36" s="30"/>
      <c r="R36" s="30"/>
      <c r="S36" s="30"/>
      <c r="T36" s="30"/>
      <c r="U36" s="30"/>
      <c r="V36" s="31"/>
    </row>
    <row r="37" spans="1:22">
      <c r="A37" s="1" t="s">
        <v>58</v>
      </c>
      <c r="B37" s="29">
        <v>-52293.741501748635</v>
      </c>
      <c r="C37" s="30">
        <v>0</v>
      </c>
      <c r="D37" s="30">
        <v>0</v>
      </c>
      <c r="E37" s="30">
        <v>0</v>
      </c>
      <c r="F37" s="30">
        <v>0</v>
      </c>
      <c r="G37" s="31">
        <f>SUM(NM_FINANCIAL)</f>
        <v>-52293.741501748635</v>
      </c>
      <c r="H37" s="30"/>
      <c r="I37" s="30"/>
      <c r="J37" s="30"/>
      <c r="K37" s="30"/>
      <c r="L37" s="29">
        <v>29979</v>
      </c>
      <c r="M37" s="30">
        <v>0</v>
      </c>
      <c r="N37" s="30"/>
      <c r="O37" s="30">
        <v>0</v>
      </c>
      <c r="P37" s="30">
        <v>0</v>
      </c>
      <c r="Q37" s="30"/>
      <c r="R37" s="30">
        <v>0</v>
      </c>
      <c r="S37" s="30">
        <v>0</v>
      </c>
      <c r="T37" s="30"/>
      <c r="U37" s="30">
        <v>0</v>
      </c>
      <c r="V37" s="31">
        <v>0</v>
      </c>
    </row>
    <row r="38" spans="1:22">
      <c r="A38" s="1" t="s">
        <v>59</v>
      </c>
      <c r="B38" s="29">
        <v>0</v>
      </c>
      <c r="C38" s="30">
        <v>0</v>
      </c>
      <c r="D38" s="30">
        <v>0</v>
      </c>
      <c r="E38" s="30">
        <v>0</v>
      </c>
      <c r="F38" s="30">
        <v>0</v>
      </c>
      <c r="G38" s="31">
        <f>SUM(NY_FINANCIAL)</f>
        <v>0</v>
      </c>
      <c r="H38" s="30"/>
      <c r="I38" s="30"/>
      <c r="J38" s="30"/>
      <c r="K38" s="30"/>
      <c r="L38" s="29"/>
      <c r="M38" s="30"/>
      <c r="N38" s="30"/>
      <c r="O38" s="30"/>
      <c r="P38" s="30"/>
      <c r="Q38" s="30"/>
      <c r="R38" s="30"/>
      <c r="S38" s="30"/>
      <c r="T38" s="30"/>
      <c r="U38" s="30"/>
      <c r="V38" s="31"/>
    </row>
    <row r="39" spans="1:22">
      <c r="A39" s="1" t="s">
        <v>60</v>
      </c>
      <c r="B39" s="29">
        <v>0</v>
      </c>
      <c r="C39" s="30">
        <v>0</v>
      </c>
      <c r="D39" s="30">
        <v>0</v>
      </c>
      <c r="E39" s="30">
        <v>0</v>
      </c>
      <c r="F39" s="30">
        <v>0</v>
      </c>
      <c r="G39" s="31">
        <f>SUM(NC_FINANCIAL)</f>
        <v>0</v>
      </c>
      <c r="H39" s="30"/>
      <c r="I39" s="30"/>
      <c r="J39" s="30"/>
      <c r="K39" s="30"/>
      <c r="L39" s="29"/>
      <c r="M39" s="30"/>
      <c r="N39" s="30"/>
      <c r="O39" s="30"/>
      <c r="P39" s="30"/>
      <c r="Q39" s="30"/>
      <c r="R39" s="30"/>
      <c r="S39" s="30"/>
      <c r="T39" s="30"/>
      <c r="U39" s="30"/>
      <c r="V39" s="31"/>
    </row>
    <row r="40" spans="1:22">
      <c r="A40" s="1" t="s">
        <v>61</v>
      </c>
      <c r="B40" s="29">
        <v>0</v>
      </c>
      <c r="C40" s="30">
        <v>0</v>
      </c>
      <c r="D40" s="30">
        <v>0</v>
      </c>
      <c r="E40" s="30">
        <v>0</v>
      </c>
      <c r="F40" s="30">
        <v>0</v>
      </c>
      <c r="G40" s="31">
        <f>SUM(ND_FINANCIAL)</f>
        <v>0</v>
      </c>
      <c r="H40" s="30"/>
      <c r="I40" s="30"/>
      <c r="J40" s="30"/>
      <c r="K40" s="30"/>
      <c r="L40" s="29"/>
      <c r="M40" s="30"/>
      <c r="N40" s="30"/>
      <c r="O40" s="30"/>
      <c r="P40" s="30"/>
      <c r="Q40" s="30"/>
      <c r="R40" s="30"/>
      <c r="S40" s="30"/>
      <c r="T40" s="30"/>
      <c r="U40" s="30"/>
      <c r="V40" s="31"/>
    </row>
    <row r="41" spans="1:22">
      <c r="A41" s="1" t="s">
        <v>62</v>
      </c>
      <c r="B41" s="29">
        <v>0</v>
      </c>
      <c r="C41" s="30">
        <v>0</v>
      </c>
      <c r="D41" s="30">
        <v>0</v>
      </c>
      <c r="E41" s="30">
        <v>0</v>
      </c>
      <c r="F41" s="30">
        <v>0</v>
      </c>
      <c r="G41" s="31">
        <f>SUM(OH_FINANCIAL)</f>
        <v>0</v>
      </c>
      <c r="H41" s="30"/>
      <c r="I41" s="30"/>
      <c r="J41" s="30"/>
      <c r="K41" s="30"/>
      <c r="L41" s="29"/>
      <c r="M41" s="30"/>
      <c r="N41" s="30"/>
      <c r="O41" s="30"/>
      <c r="P41" s="30"/>
      <c r="Q41" s="30"/>
      <c r="R41" s="30"/>
      <c r="S41" s="30"/>
      <c r="T41" s="30"/>
      <c r="U41" s="30"/>
      <c r="V41" s="31"/>
    </row>
    <row r="42" spans="1:22">
      <c r="A42" s="1" t="s">
        <v>63</v>
      </c>
      <c r="B42" s="29">
        <v>-31061.577407635617</v>
      </c>
      <c r="C42" s="30">
        <v>0</v>
      </c>
      <c r="D42" s="30">
        <v>0</v>
      </c>
      <c r="E42" s="30">
        <v>0</v>
      </c>
      <c r="F42" s="30">
        <v>0</v>
      </c>
      <c r="G42" s="31">
        <f>SUM(OK_FINANCIAL)</f>
        <v>-31061.577407635617</v>
      </c>
      <c r="H42" s="30"/>
      <c r="I42" s="30"/>
      <c r="J42" s="30"/>
      <c r="K42" s="30"/>
      <c r="L42" s="29">
        <v>100000</v>
      </c>
      <c r="M42" s="30">
        <v>0</v>
      </c>
      <c r="N42" s="30"/>
      <c r="O42" s="30">
        <v>0</v>
      </c>
      <c r="P42" s="30">
        <v>0</v>
      </c>
      <c r="Q42" s="30"/>
      <c r="R42" s="30">
        <v>0</v>
      </c>
      <c r="S42" s="30">
        <v>0</v>
      </c>
      <c r="T42" s="30"/>
      <c r="U42" s="30">
        <v>0</v>
      </c>
      <c r="V42" s="31">
        <v>0</v>
      </c>
    </row>
    <row r="43" spans="1:22">
      <c r="A43" s="1" t="s">
        <v>64</v>
      </c>
      <c r="B43" s="29">
        <v>0</v>
      </c>
      <c r="C43" s="30">
        <v>0</v>
      </c>
      <c r="D43" s="30">
        <v>0</v>
      </c>
      <c r="E43" s="30">
        <v>0</v>
      </c>
      <c r="F43" s="30">
        <v>0</v>
      </c>
      <c r="G43" s="31">
        <f>SUM(OR_FINANCIAL)</f>
        <v>0</v>
      </c>
      <c r="H43" s="30"/>
      <c r="I43" s="30"/>
      <c r="J43" s="30"/>
      <c r="K43" s="30"/>
      <c r="L43" s="29"/>
      <c r="M43" s="30"/>
      <c r="N43" s="30"/>
      <c r="O43" s="30"/>
      <c r="P43" s="30"/>
      <c r="Q43" s="30"/>
      <c r="R43" s="30"/>
      <c r="S43" s="30"/>
      <c r="T43" s="30"/>
      <c r="U43" s="30"/>
      <c r="V43" s="31"/>
    </row>
    <row r="44" spans="1:22">
      <c r="A44" s="1" t="s">
        <v>65</v>
      </c>
      <c r="B44" s="29">
        <v>0</v>
      </c>
      <c r="C44" s="30">
        <v>0</v>
      </c>
      <c r="D44" s="30">
        <v>0</v>
      </c>
      <c r="E44" s="30">
        <v>0</v>
      </c>
      <c r="F44" s="30">
        <v>0</v>
      </c>
      <c r="G44" s="31">
        <f>SUM(PA_FINANCIAL)</f>
        <v>0</v>
      </c>
      <c r="H44" s="30"/>
      <c r="I44" s="30"/>
      <c r="J44" s="30"/>
      <c r="K44" s="30"/>
      <c r="L44" s="29"/>
      <c r="M44" s="30"/>
      <c r="N44" s="30"/>
      <c r="O44" s="30"/>
      <c r="P44" s="30"/>
      <c r="Q44" s="30"/>
      <c r="R44" s="30"/>
      <c r="S44" s="30"/>
      <c r="T44" s="30"/>
      <c r="U44" s="30"/>
      <c r="V44" s="31"/>
    </row>
    <row r="45" spans="1:22">
      <c r="A45" s="1" t="s">
        <v>66</v>
      </c>
      <c r="B45" s="29">
        <v>0</v>
      </c>
      <c r="C45" s="30">
        <v>0</v>
      </c>
      <c r="D45" s="30">
        <v>0</v>
      </c>
      <c r="E45" s="30">
        <v>0</v>
      </c>
      <c r="F45" s="30">
        <v>0</v>
      </c>
      <c r="G45" s="31">
        <f>SUM(PR_FINANCIAL)</f>
        <v>0</v>
      </c>
      <c r="H45" s="30"/>
      <c r="I45" s="30"/>
      <c r="J45" s="30"/>
      <c r="K45" s="30"/>
      <c r="L45" s="29"/>
      <c r="M45" s="30"/>
      <c r="N45" s="30"/>
      <c r="O45" s="30"/>
      <c r="P45" s="30"/>
      <c r="Q45" s="30"/>
      <c r="R45" s="30"/>
      <c r="S45" s="30"/>
      <c r="T45" s="30"/>
      <c r="U45" s="30"/>
      <c r="V45" s="31"/>
    </row>
    <row r="46" spans="1:22">
      <c r="A46" s="1" t="s">
        <v>67</v>
      </c>
      <c r="B46" s="29">
        <v>0</v>
      </c>
      <c r="C46" s="30">
        <v>0</v>
      </c>
      <c r="D46" s="30">
        <v>0</v>
      </c>
      <c r="E46" s="30">
        <v>0</v>
      </c>
      <c r="F46" s="30">
        <v>0</v>
      </c>
      <c r="G46" s="31">
        <f>SUM(RI_FINANCIAL)</f>
        <v>0</v>
      </c>
      <c r="H46" s="30"/>
      <c r="I46" s="30"/>
      <c r="J46" s="30"/>
      <c r="K46" s="30"/>
      <c r="L46" s="29"/>
      <c r="M46" s="30"/>
      <c r="N46" s="30"/>
      <c r="O46" s="30"/>
      <c r="P46" s="30"/>
      <c r="Q46" s="30"/>
      <c r="R46" s="30"/>
      <c r="S46" s="30"/>
      <c r="T46" s="30"/>
      <c r="U46" s="30"/>
      <c r="V46" s="31"/>
    </row>
    <row r="47" spans="1:22">
      <c r="A47" s="1" t="s">
        <v>68</v>
      </c>
      <c r="B47" s="29">
        <v>0</v>
      </c>
      <c r="C47" s="30">
        <v>0</v>
      </c>
      <c r="D47" s="30">
        <v>0</v>
      </c>
      <c r="E47" s="30">
        <v>0</v>
      </c>
      <c r="F47" s="30">
        <v>0</v>
      </c>
      <c r="G47" s="31">
        <f>SUM(SC_FINANCIAL)</f>
        <v>0</v>
      </c>
      <c r="H47" s="30"/>
      <c r="I47" s="30"/>
      <c r="J47" s="30"/>
      <c r="K47" s="30"/>
      <c r="L47" s="29"/>
      <c r="M47" s="30"/>
      <c r="N47" s="30"/>
      <c r="O47" s="30"/>
      <c r="P47" s="30"/>
      <c r="Q47" s="30"/>
      <c r="R47" s="30"/>
      <c r="S47" s="30"/>
      <c r="T47" s="30"/>
      <c r="U47" s="30"/>
      <c r="V47" s="31"/>
    </row>
    <row r="48" spans="1:22">
      <c r="A48" s="1" t="s">
        <v>69</v>
      </c>
      <c r="B48" s="29">
        <v>0</v>
      </c>
      <c r="C48" s="30">
        <v>0</v>
      </c>
      <c r="D48" s="30">
        <v>0</v>
      </c>
      <c r="E48" s="30">
        <v>0</v>
      </c>
      <c r="F48" s="30">
        <v>0</v>
      </c>
      <c r="G48" s="31">
        <f>SUM(SD_FINANCIAL)</f>
        <v>0</v>
      </c>
      <c r="H48" s="30"/>
      <c r="I48" s="30"/>
      <c r="J48" s="30"/>
      <c r="K48" s="30"/>
      <c r="L48" s="29"/>
      <c r="M48" s="30"/>
      <c r="N48" s="30"/>
      <c r="O48" s="30"/>
      <c r="P48" s="30"/>
      <c r="Q48" s="30"/>
      <c r="R48" s="30"/>
      <c r="S48" s="30"/>
      <c r="T48" s="30"/>
      <c r="U48" s="30"/>
      <c r="V48" s="31"/>
    </row>
    <row r="49" spans="1:22">
      <c r="A49" s="1" t="s">
        <v>70</v>
      </c>
      <c r="B49" s="29">
        <v>0</v>
      </c>
      <c r="C49" s="30">
        <v>0</v>
      </c>
      <c r="D49" s="30">
        <v>0</v>
      </c>
      <c r="E49" s="30">
        <v>0</v>
      </c>
      <c r="F49" s="30">
        <v>0</v>
      </c>
      <c r="G49" s="31">
        <f>SUM(TN_FINANCIAL)</f>
        <v>0</v>
      </c>
      <c r="H49" s="30"/>
      <c r="I49" s="30"/>
      <c r="J49" s="30"/>
      <c r="K49" s="30"/>
      <c r="L49" s="29"/>
      <c r="M49" s="30"/>
      <c r="N49" s="30"/>
      <c r="O49" s="30"/>
      <c r="P49" s="30"/>
      <c r="Q49" s="30"/>
      <c r="R49" s="30"/>
      <c r="S49" s="30"/>
      <c r="T49" s="30"/>
      <c r="U49" s="30"/>
      <c r="V49" s="31"/>
    </row>
    <row r="50" spans="1:22">
      <c r="A50" s="1" t="s">
        <v>71</v>
      </c>
      <c r="B50" s="29">
        <v>294220.03212187003</v>
      </c>
      <c r="C50" s="30">
        <v>0</v>
      </c>
      <c r="D50" s="30">
        <v>0</v>
      </c>
      <c r="E50" s="30">
        <v>0</v>
      </c>
      <c r="F50" s="30">
        <v>0</v>
      </c>
      <c r="G50" s="31">
        <f>SUM(TX_FINANCIAL)</f>
        <v>294220.03212187003</v>
      </c>
      <c r="H50" s="30"/>
      <c r="I50" s="30"/>
      <c r="J50" s="30"/>
      <c r="K50" s="30"/>
      <c r="L50" s="29">
        <v>475086</v>
      </c>
      <c r="M50" s="30">
        <v>0</v>
      </c>
      <c r="N50" s="30"/>
      <c r="O50" s="30">
        <v>0</v>
      </c>
      <c r="P50" s="30">
        <v>0</v>
      </c>
      <c r="Q50" s="30"/>
      <c r="R50" s="30">
        <v>0</v>
      </c>
      <c r="S50" s="30">
        <v>0</v>
      </c>
      <c r="T50" s="30"/>
      <c r="U50" s="30">
        <v>0</v>
      </c>
      <c r="V50" s="31">
        <v>0</v>
      </c>
    </row>
    <row r="51" spans="1:22">
      <c r="A51" s="1" t="s">
        <v>72</v>
      </c>
      <c r="B51" s="29">
        <v>0</v>
      </c>
      <c r="C51" s="30">
        <v>0</v>
      </c>
      <c r="D51" s="30">
        <v>0</v>
      </c>
      <c r="E51" s="30">
        <v>0</v>
      </c>
      <c r="F51" s="30">
        <v>0</v>
      </c>
      <c r="G51" s="31">
        <f>SUM(UT_FINANCIAL)</f>
        <v>0</v>
      </c>
      <c r="H51" s="30"/>
      <c r="I51" s="30"/>
      <c r="J51" s="30"/>
      <c r="K51" s="30"/>
      <c r="L51" s="29"/>
      <c r="M51" s="30"/>
      <c r="N51" s="30"/>
      <c r="O51" s="30"/>
      <c r="P51" s="30"/>
      <c r="Q51" s="30"/>
      <c r="R51" s="30"/>
      <c r="S51" s="30"/>
      <c r="T51" s="30"/>
      <c r="U51" s="30"/>
      <c r="V51" s="31"/>
    </row>
    <row r="52" spans="1:22">
      <c r="A52" s="1" t="s">
        <v>73</v>
      </c>
      <c r="B52" s="29">
        <v>0</v>
      </c>
      <c r="C52" s="30">
        <v>0</v>
      </c>
      <c r="D52" s="30">
        <v>0</v>
      </c>
      <c r="E52" s="30">
        <v>0</v>
      </c>
      <c r="F52" s="30">
        <v>0</v>
      </c>
      <c r="G52" s="31">
        <f>SUM(VT_FINANCIAL)</f>
        <v>0</v>
      </c>
      <c r="H52" s="30"/>
      <c r="I52" s="30"/>
      <c r="J52" s="30"/>
      <c r="K52" s="30"/>
      <c r="L52" s="29"/>
      <c r="M52" s="30"/>
      <c r="N52" s="30"/>
      <c r="O52" s="30"/>
      <c r="P52" s="30"/>
      <c r="Q52" s="30"/>
      <c r="R52" s="30"/>
      <c r="S52" s="30"/>
      <c r="T52" s="30"/>
      <c r="U52" s="30"/>
      <c r="V52" s="31"/>
    </row>
    <row r="53" spans="1:22">
      <c r="A53" s="1" t="s">
        <v>74</v>
      </c>
      <c r="B53" s="29">
        <v>0</v>
      </c>
      <c r="C53" s="30">
        <v>0</v>
      </c>
      <c r="D53" s="30">
        <v>0</v>
      </c>
      <c r="E53" s="30">
        <v>0</v>
      </c>
      <c r="F53" s="30">
        <v>0</v>
      </c>
      <c r="G53" s="31">
        <f>SUM(VA_FINANCIAL)</f>
        <v>0</v>
      </c>
      <c r="H53" s="30"/>
      <c r="I53" s="30"/>
      <c r="J53" s="30"/>
      <c r="K53" s="30"/>
      <c r="L53" s="29"/>
      <c r="M53" s="30"/>
      <c r="N53" s="30"/>
      <c r="O53" s="30"/>
      <c r="P53" s="30"/>
      <c r="Q53" s="30"/>
      <c r="R53" s="30"/>
      <c r="S53" s="30"/>
      <c r="T53" s="30"/>
      <c r="U53" s="30"/>
      <c r="V53" s="31"/>
    </row>
    <row r="54" spans="1:22">
      <c r="A54" s="1" t="s">
        <v>75</v>
      </c>
      <c r="B54" s="29">
        <v>0</v>
      </c>
      <c r="C54" s="30">
        <v>0</v>
      </c>
      <c r="D54" s="30">
        <v>0</v>
      </c>
      <c r="E54" s="30">
        <v>0</v>
      </c>
      <c r="F54" s="30">
        <v>0</v>
      </c>
      <c r="G54" s="31">
        <f>SUM(WA_FINANCIAL)</f>
        <v>0</v>
      </c>
      <c r="H54" s="30"/>
      <c r="I54" s="30"/>
      <c r="J54" s="30"/>
      <c r="K54" s="30"/>
      <c r="L54" s="29"/>
      <c r="M54" s="30"/>
      <c r="N54" s="30"/>
      <c r="O54" s="30"/>
      <c r="P54" s="30"/>
      <c r="Q54" s="30"/>
      <c r="R54" s="30"/>
      <c r="S54" s="30"/>
      <c r="T54" s="30"/>
      <c r="U54" s="30"/>
      <c r="V54" s="31"/>
    </row>
    <row r="55" spans="1:22">
      <c r="A55" s="1" t="s">
        <v>76</v>
      </c>
      <c r="B55" s="29">
        <v>0</v>
      </c>
      <c r="C55" s="30">
        <v>0</v>
      </c>
      <c r="D55" s="30">
        <v>0</v>
      </c>
      <c r="E55" s="30">
        <v>0</v>
      </c>
      <c r="F55" s="30">
        <v>0</v>
      </c>
      <c r="G55" s="31">
        <f>SUM(WV_FINANCIAL)</f>
        <v>0</v>
      </c>
      <c r="H55" s="30"/>
      <c r="I55" s="30"/>
      <c r="J55" s="30"/>
      <c r="K55" s="30"/>
      <c r="L55" s="29"/>
      <c r="M55" s="30"/>
      <c r="N55" s="30"/>
      <c r="O55" s="30"/>
      <c r="P55" s="30"/>
      <c r="Q55" s="30"/>
      <c r="R55" s="30"/>
      <c r="S55" s="30"/>
      <c r="T55" s="30"/>
      <c r="U55" s="30"/>
      <c r="V55" s="31"/>
    </row>
    <row r="56" spans="1:22">
      <c r="A56" s="1" t="s">
        <v>77</v>
      </c>
      <c r="B56" s="29">
        <v>0</v>
      </c>
      <c r="C56" s="30">
        <v>0</v>
      </c>
      <c r="D56" s="30">
        <v>0</v>
      </c>
      <c r="E56" s="30">
        <v>0</v>
      </c>
      <c r="F56" s="30">
        <v>0</v>
      </c>
      <c r="G56" s="31">
        <f>SUM(WI_FINANCIAL)</f>
        <v>0</v>
      </c>
      <c r="H56" s="30"/>
      <c r="I56" s="30"/>
      <c r="J56" s="30"/>
      <c r="K56" s="30"/>
      <c r="L56" s="29"/>
      <c r="M56" s="30"/>
      <c r="N56" s="30"/>
      <c r="O56" s="30"/>
      <c r="P56" s="30"/>
      <c r="Q56" s="30"/>
      <c r="R56" s="30"/>
      <c r="S56" s="30"/>
      <c r="T56" s="30"/>
      <c r="U56" s="30"/>
      <c r="V56" s="31"/>
    </row>
    <row r="57" spans="1:22">
      <c r="A57" s="1" t="s">
        <v>78</v>
      </c>
      <c r="B57" s="29">
        <v>0</v>
      </c>
      <c r="C57" s="30">
        <v>0</v>
      </c>
      <c r="D57" s="30">
        <v>0</v>
      </c>
      <c r="E57" s="30">
        <v>0</v>
      </c>
      <c r="F57" s="30">
        <v>0</v>
      </c>
      <c r="G57" s="31">
        <f>SUM(WY_FINANCIAL)</f>
        <v>0</v>
      </c>
      <c r="H57" s="30"/>
      <c r="I57" s="30"/>
      <c r="J57" s="30"/>
      <c r="K57" s="30"/>
      <c r="L57" s="29"/>
      <c r="M57" s="30"/>
      <c r="N57" s="30"/>
      <c r="O57" s="30"/>
      <c r="P57" s="30"/>
      <c r="Q57" s="30"/>
      <c r="R57" s="30"/>
      <c r="S57" s="30"/>
      <c r="T57" s="30"/>
      <c r="U57" s="30"/>
      <c r="V57" s="31"/>
    </row>
    <row r="58" spans="1:22">
      <c r="A58" s="1" t="s">
        <v>79</v>
      </c>
      <c r="B58" s="29">
        <v>0</v>
      </c>
      <c r="C58" s="30">
        <v>0</v>
      </c>
      <c r="D58" s="30">
        <v>0</v>
      </c>
      <c r="E58" s="30">
        <v>0</v>
      </c>
      <c r="F58" s="30">
        <v>0</v>
      </c>
      <c r="G58" s="31">
        <f>SUM(OT_FINANCIAL)</f>
        <v>0</v>
      </c>
      <c r="H58" s="30"/>
      <c r="I58" s="30"/>
      <c r="J58" s="30"/>
      <c r="K58" s="30"/>
      <c r="L58" s="29"/>
      <c r="M58" s="30"/>
      <c r="N58" s="30"/>
      <c r="O58" s="30"/>
      <c r="P58" s="30"/>
      <c r="Q58" s="30"/>
      <c r="R58" s="30"/>
      <c r="S58" s="30"/>
      <c r="T58" s="30"/>
      <c r="U58" s="30"/>
      <c r="V58" s="31"/>
    </row>
    <row r="59" spans="1:22">
      <c r="B59" s="29"/>
      <c r="C59" s="30"/>
      <c r="D59" s="30"/>
      <c r="E59" s="30"/>
      <c r="F59" s="30"/>
      <c r="G59" s="31"/>
      <c r="H59" s="30"/>
      <c r="I59" s="30"/>
      <c r="J59" s="30"/>
      <c r="K59" s="30"/>
      <c r="L59" s="29"/>
      <c r="M59" s="30"/>
      <c r="N59" s="30"/>
      <c r="O59" s="30"/>
      <c r="P59" s="30"/>
      <c r="Q59" s="30"/>
      <c r="R59" s="30"/>
      <c r="S59" s="30"/>
      <c r="T59" s="30"/>
      <c r="U59" s="30"/>
      <c r="V59" s="31"/>
    </row>
    <row r="60" spans="1:22">
      <c r="A60" s="1" t="s">
        <v>8</v>
      </c>
      <c r="B60" s="29">
        <f>SUM(LIFE)</f>
        <v>9546426.6887206286</v>
      </c>
      <c r="C60" s="30">
        <f>SUM(ALLOCATED)</f>
        <v>3036995.4983911808</v>
      </c>
      <c r="D60" s="30">
        <f>SUM(HEALTH)</f>
        <v>0</v>
      </c>
      <c r="E60" s="30">
        <f>SUM(UNALLOCATED)</f>
        <v>0</v>
      </c>
      <c r="F60" s="30">
        <f>SUM(LTC)</f>
        <v>0</v>
      </c>
      <c r="G60" s="31">
        <f>SUM(ALL_BLOCKS)</f>
        <v>12583422.187111812</v>
      </c>
      <c r="H60" s="30"/>
      <c r="I60" s="30"/>
      <c r="J60" s="30"/>
      <c r="K60" s="30"/>
      <c r="L60" s="29">
        <f>SUM(LIFE_CALLED)</f>
        <v>5884152</v>
      </c>
      <c r="M60" s="30">
        <f>SUM(LIFE_REFUNDED)</f>
        <v>0</v>
      </c>
      <c r="N60" s="30"/>
      <c r="O60" s="30">
        <f>SUM(ALLOC_CALLED)</f>
        <v>2082992</v>
      </c>
      <c r="P60" s="30">
        <f>SUM(ALLOC_REFUNDED)</f>
        <v>0</v>
      </c>
      <c r="Q60" s="30"/>
      <c r="R60" s="30">
        <f>SUM(HEALTH_CALLED)</f>
        <v>52921</v>
      </c>
      <c r="S60" s="30">
        <f>SUM(HEALTH_REFUNDED)</f>
        <v>0</v>
      </c>
      <c r="T60" s="30"/>
      <c r="U60" s="30">
        <f>SUM(UNALLOC_CALLED)</f>
        <v>0</v>
      </c>
      <c r="V60" s="31">
        <f>SUM(UNALLOC_REFUNDED)</f>
        <v>0</v>
      </c>
    </row>
    <row r="61" spans="1:22" ht="5.0999999999999996" customHeight="1">
      <c r="B61" s="8"/>
      <c r="G61" s="11"/>
      <c r="L61" s="8"/>
      <c r="V61" s="11"/>
    </row>
    <row r="62" spans="1:22">
      <c r="B62" s="8"/>
      <c r="G62" s="11"/>
      <c r="L62" s="122" t="s">
        <v>80</v>
      </c>
      <c r="M62" s="123"/>
      <c r="N62" s="123"/>
      <c r="O62" s="123"/>
      <c r="P62" s="123"/>
      <c r="Q62" s="123"/>
      <c r="R62" s="123"/>
      <c r="S62" s="123"/>
      <c r="T62" s="123"/>
      <c r="U62" s="123"/>
      <c r="V62" s="124"/>
    </row>
    <row r="63" spans="1:22">
      <c r="B63" s="8"/>
      <c r="G63" s="11"/>
      <c r="L63" s="125"/>
      <c r="M63" s="123"/>
      <c r="N63" s="123"/>
      <c r="O63" s="123"/>
      <c r="P63" s="123"/>
      <c r="Q63" s="123"/>
      <c r="R63" s="123"/>
      <c r="S63" s="123"/>
      <c r="T63" s="123"/>
      <c r="U63" s="123"/>
      <c r="V63" s="124"/>
    </row>
    <row r="64" spans="1:22">
      <c r="B64" s="10"/>
      <c r="C64" s="7"/>
      <c r="D64" s="7"/>
      <c r="E64" s="7"/>
      <c r="F64" s="7"/>
      <c r="G64" s="13"/>
      <c r="L64" s="126"/>
      <c r="M64" s="127"/>
      <c r="N64" s="127"/>
      <c r="O64" s="127"/>
      <c r="P64" s="127"/>
      <c r="Q64" s="127"/>
      <c r="R64" s="127"/>
      <c r="S64" s="127"/>
      <c r="T64" s="127"/>
      <c r="U64" s="127"/>
      <c r="V64" s="128"/>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A1:V64"/>
  <sheetViews>
    <sheetView zoomScale="75" workbookViewId="0">
      <selection sqref="A1:XFD1048576"/>
    </sheetView>
  </sheetViews>
  <sheetFormatPr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129" t="s">
        <v>120</v>
      </c>
      <c r="B1" s="123"/>
      <c r="C1" s="123"/>
      <c r="D1" s="123"/>
      <c r="E1" s="123"/>
      <c r="F1" s="123"/>
      <c r="G1" s="123"/>
    </row>
    <row r="3" spans="1:22">
      <c r="B3" s="130" t="s">
        <v>1</v>
      </c>
      <c r="C3" s="131"/>
      <c r="D3" s="131"/>
      <c r="E3" s="131"/>
      <c r="F3" s="131"/>
      <c r="G3" s="132"/>
      <c r="L3" s="133" t="s">
        <v>2</v>
      </c>
      <c r="M3" s="134"/>
      <c r="N3" s="134"/>
      <c r="O3" s="134"/>
      <c r="P3" s="134"/>
      <c r="Q3" s="134"/>
      <c r="R3" s="134"/>
      <c r="S3" s="134"/>
      <c r="T3" s="134"/>
      <c r="U3" s="134"/>
      <c r="V3" s="135"/>
    </row>
    <row r="4" spans="1:22">
      <c r="B4" s="8"/>
      <c r="G4" s="11"/>
      <c r="L4" s="136" t="s">
        <v>3</v>
      </c>
      <c r="M4" s="137"/>
      <c r="N4" s="4"/>
      <c r="O4" s="138" t="s">
        <v>4</v>
      </c>
      <c r="P4" s="137"/>
      <c r="Q4" s="4"/>
      <c r="R4" s="138" t="s">
        <v>5</v>
      </c>
      <c r="S4" s="137"/>
      <c r="T4" s="4"/>
      <c r="U4" s="138" t="s">
        <v>6</v>
      </c>
      <c r="V4" s="139"/>
    </row>
    <row r="5" spans="1:22" ht="60" customHeight="1">
      <c r="B5" s="9" t="s">
        <v>3</v>
      </c>
      <c r="C5" s="5" t="s">
        <v>4</v>
      </c>
      <c r="D5" s="5" t="s">
        <v>5</v>
      </c>
      <c r="E5" s="5" t="s">
        <v>6</v>
      </c>
      <c r="F5" s="5" t="s">
        <v>7</v>
      </c>
      <c r="G5" s="12" t="s">
        <v>8</v>
      </c>
      <c r="L5" s="15" t="s">
        <v>9</v>
      </c>
      <c r="M5" s="14" t="s">
        <v>10</v>
      </c>
      <c r="N5" s="14"/>
      <c r="O5" s="14" t="s">
        <v>9</v>
      </c>
      <c r="P5" s="14" t="s">
        <v>10</v>
      </c>
      <c r="Q5" s="14"/>
      <c r="R5" s="14" t="s">
        <v>9</v>
      </c>
      <c r="S5" s="14" t="s">
        <v>10</v>
      </c>
      <c r="T5" s="14"/>
      <c r="U5" s="14" t="s">
        <v>9</v>
      </c>
      <c r="V5" s="16" t="s">
        <v>10</v>
      </c>
    </row>
    <row r="6" spans="1:22">
      <c r="A6" s="1" t="s">
        <v>11</v>
      </c>
      <c r="B6" s="29">
        <v>0</v>
      </c>
      <c r="C6" s="30">
        <v>0</v>
      </c>
      <c r="D6" s="30">
        <v>0</v>
      </c>
      <c r="E6" s="30">
        <v>0</v>
      </c>
      <c r="F6" s="30">
        <v>0</v>
      </c>
      <c r="G6" s="31">
        <f>SUM(AL_FINANCIAL)</f>
        <v>0</v>
      </c>
      <c r="H6" s="30"/>
      <c r="I6" s="30"/>
      <c r="J6" s="30"/>
      <c r="K6" s="30"/>
      <c r="L6" s="29"/>
      <c r="M6" s="30"/>
      <c r="N6" s="30"/>
      <c r="O6" s="30"/>
      <c r="P6" s="30"/>
      <c r="Q6" s="30"/>
      <c r="R6" s="30"/>
      <c r="S6" s="30"/>
      <c r="T6" s="30"/>
      <c r="U6" s="30"/>
      <c r="V6" s="31"/>
    </row>
    <row r="7" spans="1:22">
      <c r="A7" s="1" t="s">
        <v>12</v>
      </c>
      <c r="B7" s="29">
        <v>0</v>
      </c>
      <c r="C7" s="30">
        <v>0</v>
      </c>
      <c r="D7" s="30">
        <v>0</v>
      </c>
      <c r="E7" s="30">
        <v>0</v>
      </c>
      <c r="F7" s="30">
        <v>0</v>
      </c>
      <c r="G7" s="31">
        <f>SUM(AK_FINANCIAL)</f>
        <v>0</v>
      </c>
      <c r="H7" s="30"/>
      <c r="I7" s="32"/>
      <c r="J7" s="33"/>
      <c r="K7" s="30"/>
      <c r="L7" s="29"/>
      <c r="M7" s="30"/>
      <c r="N7" s="30"/>
      <c r="O7" s="30"/>
      <c r="P7" s="30"/>
      <c r="Q7" s="30"/>
      <c r="R7" s="30"/>
      <c r="S7" s="30"/>
      <c r="T7" s="30"/>
      <c r="U7" s="30"/>
      <c r="V7" s="31"/>
    </row>
    <row r="8" spans="1:22">
      <c r="A8" s="1" t="s">
        <v>13</v>
      </c>
      <c r="B8" s="29">
        <v>0</v>
      </c>
      <c r="C8" s="30">
        <v>0</v>
      </c>
      <c r="D8" s="30">
        <v>0</v>
      </c>
      <c r="E8" s="30">
        <v>0</v>
      </c>
      <c r="F8" s="30">
        <v>0</v>
      </c>
      <c r="G8" s="31">
        <f>SUM(AZ_FINANCIAL)</f>
        <v>0</v>
      </c>
      <c r="H8" s="30"/>
      <c r="I8" s="34" t="s">
        <v>14</v>
      </c>
      <c r="J8" s="35"/>
      <c r="K8" s="30"/>
      <c r="L8" s="29"/>
      <c r="M8" s="30"/>
      <c r="N8" s="30"/>
      <c r="O8" s="30"/>
      <c r="P8" s="30"/>
      <c r="Q8" s="30"/>
      <c r="R8" s="30"/>
      <c r="S8" s="30"/>
      <c r="T8" s="30"/>
      <c r="U8" s="30"/>
      <c r="V8" s="31"/>
    </row>
    <row r="9" spans="1:22">
      <c r="A9" s="1" t="s">
        <v>15</v>
      </c>
      <c r="B9" s="29">
        <v>0</v>
      </c>
      <c r="C9" s="30">
        <v>0</v>
      </c>
      <c r="D9" s="30">
        <v>0</v>
      </c>
      <c r="E9" s="30">
        <v>0</v>
      </c>
      <c r="F9" s="30">
        <v>0</v>
      </c>
      <c r="G9" s="31">
        <f>SUM(AR_FINANCIAL)</f>
        <v>0</v>
      </c>
      <c r="H9" s="30"/>
      <c r="I9" s="34"/>
      <c r="J9" s="35"/>
      <c r="K9" s="30"/>
      <c r="L9" s="29"/>
      <c r="M9" s="30"/>
      <c r="N9" s="30"/>
      <c r="O9" s="30"/>
      <c r="P9" s="30"/>
      <c r="Q9" s="30"/>
      <c r="R9" s="30"/>
      <c r="S9" s="30"/>
      <c r="T9" s="30"/>
      <c r="U9" s="30"/>
      <c r="V9" s="31"/>
    </row>
    <row r="10" spans="1:22">
      <c r="A10" s="1" t="s">
        <v>16</v>
      </c>
      <c r="B10" s="29">
        <v>0</v>
      </c>
      <c r="C10" s="30">
        <v>0</v>
      </c>
      <c r="D10" s="30">
        <v>0</v>
      </c>
      <c r="E10" s="30">
        <v>0</v>
      </c>
      <c r="F10" s="30">
        <v>0</v>
      </c>
      <c r="G10" s="31">
        <f>SUM(CA_FINANCIAL)</f>
        <v>0</v>
      </c>
      <c r="H10" s="30"/>
      <c r="I10" s="34" t="s">
        <v>17</v>
      </c>
      <c r="J10" s="35">
        <v>19475000</v>
      </c>
      <c r="K10" s="30"/>
      <c r="L10" s="29"/>
      <c r="M10" s="30"/>
      <c r="N10" s="30"/>
      <c r="O10" s="30"/>
      <c r="P10" s="30"/>
      <c r="Q10" s="30"/>
      <c r="R10" s="30"/>
      <c r="S10" s="30"/>
      <c r="T10" s="30"/>
      <c r="U10" s="30"/>
      <c r="V10" s="31"/>
    </row>
    <row r="11" spans="1:22">
      <c r="A11" s="1" t="s">
        <v>18</v>
      </c>
      <c r="B11" s="29">
        <v>0</v>
      </c>
      <c r="C11" s="30">
        <v>0</v>
      </c>
      <c r="D11" s="30">
        <v>0</v>
      </c>
      <c r="E11" s="30">
        <v>0</v>
      </c>
      <c r="F11" s="30">
        <v>0</v>
      </c>
      <c r="G11" s="31">
        <f>SUM(CO_FINANCIAL)</f>
        <v>0</v>
      </c>
      <c r="H11" s="30"/>
      <c r="I11" s="34"/>
      <c r="J11" s="35"/>
      <c r="K11" s="30"/>
      <c r="L11" s="29"/>
      <c r="M11" s="30"/>
      <c r="N11" s="30"/>
      <c r="O11" s="30"/>
      <c r="P11" s="30"/>
      <c r="Q11" s="30"/>
      <c r="R11" s="30"/>
      <c r="S11" s="30"/>
      <c r="T11" s="30"/>
      <c r="U11" s="30"/>
      <c r="V11" s="31"/>
    </row>
    <row r="12" spans="1:22">
      <c r="A12" s="1" t="s">
        <v>19</v>
      </c>
      <c r="B12" s="29">
        <v>0</v>
      </c>
      <c r="C12" s="30">
        <v>0</v>
      </c>
      <c r="D12" s="30">
        <v>0</v>
      </c>
      <c r="E12" s="30">
        <v>0</v>
      </c>
      <c r="F12" s="30">
        <v>0</v>
      </c>
      <c r="G12" s="31">
        <f>SUM(CT_FINANCIAL)</f>
        <v>0</v>
      </c>
      <c r="H12" s="30"/>
      <c r="I12" s="34" t="s">
        <v>20</v>
      </c>
      <c r="J12" s="35"/>
      <c r="K12" s="30"/>
      <c r="L12" s="29"/>
      <c r="M12" s="30"/>
      <c r="N12" s="30"/>
      <c r="O12" s="30"/>
      <c r="P12" s="30"/>
      <c r="Q12" s="30"/>
      <c r="R12" s="30"/>
      <c r="S12" s="30"/>
      <c r="T12" s="30"/>
      <c r="U12" s="30"/>
      <c r="V12" s="31"/>
    </row>
    <row r="13" spans="1:22">
      <c r="A13" s="1" t="s">
        <v>21</v>
      </c>
      <c r="B13" s="29">
        <v>0</v>
      </c>
      <c r="C13" s="30">
        <v>0</v>
      </c>
      <c r="D13" s="30">
        <v>0</v>
      </c>
      <c r="E13" s="30">
        <v>0</v>
      </c>
      <c r="F13" s="30">
        <v>0</v>
      </c>
      <c r="G13" s="31">
        <f>SUM(DE_FINANCIAL)</f>
        <v>0</v>
      </c>
      <c r="H13" s="30"/>
      <c r="I13" s="34" t="s">
        <v>22</v>
      </c>
      <c r="J13" s="35">
        <v>19475000</v>
      </c>
      <c r="K13" s="30"/>
      <c r="L13" s="29"/>
      <c r="M13" s="30"/>
      <c r="N13" s="30"/>
      <c r="O13" s="30"/>
      <c r="P13" s="30"/>
      <c r="Q13" s="30"/>
      <c r="R13" s="30"/>
      <c r="S13" s="30"/>
      <c r="T13" s="30"/>
      <c r="U13" s="30"/>
      <c r="V13" s="31"/>
    </row>
    <row r="14" spans="1:22">
      <c r="A14" s="1" t="s">
        <v>23</v>
      </c>
      <c r="B14" s="29">
        <v>0</v>
      </c>
      <c r="C14" s="30">
        <v>0</v>
      </c>
      <c r="D14" s="30">
        <v>0</v>
      </c>
      <c r="E14" s="30">
        <v>0</v>
      </c>
      <c r="F14" s="30">
        <v>0</v>
      </c>
      <c r="G14" s="31">
        <f>SUM(DC_FINANCIAL)</f>
        <v>0</v>
      </c>
      <c r="H14" s="30"/>
      <c r="I14" s="34" t="s">
        <v>24</v>
      </c>
      <c r="J14" s="35">
        <v>4100000</v>
      </c>
      <c r="K14" s="30"/>
      <c r="L14" s="29"/>
      <c r="M14" s="30"/>
      <c r="N14" s="30"/>
      <c r="O14" s="30"/>
      <c r="P14" s="30"/>
      <c r="Q14" s="30"/>
      <c r="R14" s="30"/>
      <c r="S14" s="30"/>
      <c r="T14" s="30"/>
      <c r="U14" s="30"/>
      <c r="V14" s="31"/>
    </row>
    <row r="15" spans="1:22">
      <c r="A15" s="1" t="s">
        <v>25</v>
      </c>
      <c r="B15" s="29">
        <v>0</v>
      </c>
      <c r="C15" s="30">
        <v>0</v>
      </c>
      <c r="D15" s="30">
        <v>0</v>
      </c>
      <c r="E15" s="30">
        <v>0</v>
      </c>
      <c r="F15" s="30">
        <v>0</v>
      </c>
      <c r="G15" s="31">
        <f>SUM(FL_FINANCIAL)</f>
        <v>0</v>
      </c>
      <c r="H15" s="30"/>
      <c r="I15" s="34" t="s">
        <v>26</v>
      </c>
      <c r="J15" s="35">
        <v>0</v>
      </c>
      <c r="K15" s="30"/>
      <c r="L15" s="29"/>
      <c r="M15" s="30"/>
      <c r="N15" s="30"/>
      <c r="O15" s="30"/>
      <c r="P15" s="30"/>
      <c r="Q15" s="30"/>
      <c r="R15" s="30"/>
      <c r="S15" s="30"/>
      <c r="T15" s="30"/>
      <c r="U15" s="30"/>
      <c r="V15" s="31"/>
    </row>
    <row r="16" spans="1:22">
      <c r="A16" s="1" t="s">
        <v>27</v>
      </c>
      <c r="B16" s="29">
        <v>0</v>
      </c>
      <c r="C16" s="30">
        <v>0</v>
      </c>
      <c r="D16" s="30">
        <v>0</v>
      </c>
      <c r="E16" s="30">
        <v>0</v>
      </c>
      <c r="F16" s="30">
        <v>0</v>
      </c>
      <c r="G16" s="31">
        <f>SUM(GA_FINANCIAL)</f>
        <v>0</v>
      </c>
      <c r="H16" s="30"/>
      <c r="I16" s="34" t="s">
        <v>28</v>
      </c>
      <c r="J16" s="35">
        <v>50000</v>
      </c>
      <c r="K16" s="30"/>
      <c r="L16" s="29"/>
      <c r="M16" s="30"/>
      <c r="N16" s="30"/>
      <c r="O16" s="30"/>
      <c r="P16" s="30"/>
      <c r="Q16" s="30"/>
      <c r="R16" s="30"/>
      <c r="S16" s="30"/>
      <c r="T16" s="30"/>
      <c r="U16" s="30"/>
      <c r="V16" s="31"/>
    </row>
    <row r="17" spans="1:22">
      <c r="A17" s="1" t="s">
        <v>29</v>
      </c>
      <c r="B17" s="29">
        <v>0</v>
      </c>
      <c r="C17" s="30">
        <v>0</v>
      </c>
      <c r="D17" s="30">
        <v>0</v>
      </c>
      <c r="E17" s="30">
        <v>0</v>
      </c>
      <c r="F17" s="30">
        <v>0</v>
      </c>
      <c r="G17" s="31">
        <f>SUM(HI_FINANCIAL)</f>
        <v>0</v>
      </c>
      <c r="H17" s="30"/>
      <c r="I17" s="34"/>
      <c r="J17" s="35"/>
      <c r="K17" s="30"/>
      <c r="L17" s="29"/>
      <c r="M17" s="30"/>
      <c r="N17" s="30"/>
      <c r="O17" s="30"/>
      <c r="P17" s="30"/>
      <c r="Q17" s="30"/>
      <c r="R17" s="30"/>
      <c r="S17" s="30"/>
      <c r="T17" s="30"/>
      <c r="U17" s="30"/>
      <c r="V17" s="31"/>
    </row>
    <row r="18" spans="1:22">
      <c r="A18" s="1" t="s">
        <v>30</v>
      </c>
      <c r="B18" s="29">
        <v>0</v>
      </c>
      <c r="C18" s="30">
        <v>0</v>
      </c>
      <c r="D18" s="30">
        <v>0</v>
      </c>
      <c r="E18" s="30">
        <v>0</v>
      </c>
      <c r="F18" s="30">
        <v>0</v>
      </c>
      <c r="G18" s="31">
        <f>SUM(ID_FINANCIAL)</f>
        <v>0</v>
      </c>
      <c r="H18" s="30"/>
      <c r="I18" s="34" t="s">
        <v>31</v>
      </c>
      <c r="J18" s="35"/>
      <c r="K18" s="30"/>
      <c r="L18" s="29"/>
      <c r="M18" s="30"/>
      <c r="N18" s="30"/>
      <c r="O18" s="30"/>
      <c r="P18" s="30"/>
      <c r="Q18" s="30"/>
      <c r="R18" s="30"/>
      <c r="S18" s="30"/>
      <c r="T18" s="30"/>
      <c r="U18" s="30"/>
      <c r="V18" s="31"/>
    </row>
    <row r="19" spans="1:22">
      <c r="A19" s="1" t="s">
        <v>32</v>
      </c>
      <c r="B19" s="29">
        <v>0</v>
      </c>
      <c r="C19" s="30">
        <v>0</v>
      </c>
      <c r="D19" s="30">
        <v>0</v>
      </c>
      <c r="E19" s="30">
        <v>0</v>
      </c>
      <c r="F19" s="30">
        <v>0</v>
      </c>
      <c r="G19" s="31">
        <f>SUM(IL_FINANCIAL)</f>
        <v>0</v>
      </c>
      <c r="H19" s="30"/>
      <c r="I19" s="34" t="s">
        <v>33</v>
      </c>
      <c r="J19" s="35">
        <v>0</v>
      </c>
      <c r="K19" s="30"/>
      <c r="L19" s="29"/>
      <c r="M19" s="30"/>
      <c r="N19" s="30"/>
      <c r="O19" s="30"/>
      <c r="P19" s="30"/>
      <c r="Q19" s="30"/>
      <c r="R19" s="30"/>
      <c r="S19" s="30"/>
      <c r="T19" s="30"/>
      <c r="U19" s="30"/>
      <c r="V19" s="31"/>
    </row>
    <row r="20" spans="1:22">
      <c r="A20" s="1" t="s">
        <v>34</v>
      </c>
      <c r="B20" s="29">
        <v>0</v>
      </c>
      <c r="C20" s="30">
        <v>0</v>
      </c>
      <c r="D20" s="30">
        <v>0</v>
      </c>
      <c r="E20" s="30">
        <v>0</v>
      </c>
      <c r="F20" s="30">
        <v>0</v>
      </c>
      <c r="G20" s="31">
        <f>SUM(IN_FINANCIAL)</f>
        <v>0</v>
      </c>
      <c r="H20" s="30"/>
      <c r="I20" s="34" t="s">
        <v>35</v>
      </c>
      <c r="J20" s="35">
        <v>19475000</v>
      </c>
      <c r="K20" s="30"/>
      <c r="L20" s="29"/>
      <c r="M20" s="30"/>
      <c r="N20" s="30"/>
      <c r="O20" s="30"/>
      <c r="P20" s="30"/>
      <c r="Q20" s="30"/>
      <c r="R20" s="30"/>
      <c r="S20" s="30"/>
      <c r="T20" s="30"/>
      <c r="U20" s="30"/>
      <c r="V20" s="31"/>
    </row>
    <row r="21" spans="1:22">
      <c r="A21" s="1" t="s">
        <v>36</v>
      </c>
      <c r="B21" s="29">
        <v>0</v>
      </c>
      <c r="C21" s="30">
        <v>0</v>
      </c>
      <c r="D21" s="30">
        <v>0</v>
      </c>
      <c r="E21" s="30">
        <v>0</v>
      </c>
      <c r="F21" s="30">
        <v>0</v>
      </c>
      <c r="G21" s="31">
        <f>SUM(IA_FINANCIAL)</f>
        <v>0</v>
      </c>
      <c r="H21" s="30"/>
      <c r="I21" s="34" t="s">
        <v>37</v>
      </c>
      <c r="J21" s="35"/>
      <c r="K21" s="30"/>
      <c r="L21" s="29"/>
      <c r="M21" s="30"/>
      <c r="N21" s="30"/>
      <c r="O21" s="30"/>
      <c r="P21" s="30"/>
      <c r="Q21" s="30"/>
      <c r="R21" s="30"/>
      <c r="S21" s="30"/>
      <c r="T21" s="30"/>
      <c r="U21" s="30"/>
      <c r="V21" s="31"/>
    </row>
    <row r="22" spans="1:22">
      <c r="A22" s="1" t="s">
        <v>38</v>
      </c>
      <c r="B22" s="29">
        <v>0</v>
      </c>
      <c r="C22" s="30">
        <v>0</v>
      </c>
      <c r="D22" s="30">
        <v>0</v>
      </c>
      <c r="E22" s="30">
        <v>0</v>
      </c>
      <c r="F22" s="30">
        <v>0</v>
      </c>
      <c r="G22" s="31">
        <f>SUM(KS_FINANCIAL)</f>
        <v>0</v>
      </c>
      <c r="H22" s="30"/>
      <c r="I22" s="34" t="s">
        <v>39</v>
      </c>
      <c r="J22" s="35">
        <v>0</v>
      </c>
      <c r="K22" s="30"/>
      <c r="L22" s="29"/>
      <c r="M22" s="30"/>
      <c r="N22" s="30"/>
      <c r="O22" s="30"/>
      <c r="P22" s="30"/>
      <c r="Q22" s="30"/>
      <c r="R22" s="30"/>
      <c r="S22" s="30"/>
      <c r="T22" s="30"/>
      <c r="U22" s="30"/>
      <c r="V22" s="31"/>
    </row>
    <row r="23" spans="1:22">
      <c r="A23" s="1" t="s">
        <v>40</v>
      </c>
      <c r="B23" s="29">
        <v>0</v>
      </c>
      <c r="C23" s="30">
        <v>0</v>
      </c>
      <c r="D23" s="30">
        <v>0</v>
      </c>
      <c r="E23" s="30">
        <v>0</v>
      </c>
      <c r="F23" s="30">
        <v>0</v>
      </c>
      <c r="G23" s="31">
        <f>SUM(KY_FINANCIAL)</f>
        <v>0</v>
      </c>
      <c r="H23" s="30"/>
      <c r="I23" s="34" t="s">
        <v>41</v>
      </c>
      <c r="J23" s="35"/>
      <c r="K23" s="30"/>
      <c r="L23" s="29"/>
      <c r="M23" s="30"/>
      <c r="N23" s="30"/>
      <c r="O23" s="30"/>
      <c r="P23" s="30"/>
      <c r="Q23" s="30"/>
      <c r="R23" s="30"/>
      <c r="S23" s="30"/>
      <c r="T23" s="30"/>
      <c r="U23" s="30"/>
      <c r="V23" s="31"/>
    </row>
    <row r="24" spans="1:22">
      <c r="A24" s="1" t="s">
        <v>42</v>
      </c>
      <c r="B24" s="29">
        <v>0</v>
      </c>
      <c r="C24" s="30">
        <v>0</v>
      </c>
      <c r="D24" s="30">
        <v>0</v>
      </c>
      <c r="E24" s="30">
        <v>0</v>
      </c>
      <c r="F24" s="30">
        <v>0</v>
      </c>
      <c r="G24" s="31">
        <f>SUM(LA_FINANCIAL)</f>
        <v>0</v>
      </c>
      <c r="H24" s="30"/>
      <c r="I24" s="34" t="s">
        <v>43</v>
      </c>
      <c r="J24" s="35">
        <v>0</v>
      </c>
      <c r="K24" s="30"/>
      <c r="L24" s="29"/>
      <c r="M24" s="30"/>
      <c r="N24" s="30"/>
      <c r="O24" s="30"/>
      <c r="P24" s="30"/>
      <c r="Q24" s="30"/>
      <c r="R24" s="30"/>
      <c r="S24" s="30"/>
      <c r="T24" s="30"/>
      <c r="U24" s="30"/>
      <c r="V24" s="31"/>
    </row>
    <row r="25" spans="1:22">
      <c r="A25" s="1" t="s">
        <v>44</v>
      </c>
      <c r="B25" s="29">
        <v>0</v>
      </c>
      <c r="C25" s="30">
        <v>0</v>
      </c>
      <c r="D25" s="30">
        <v>0</v>
      </c>
      <c r="E25" s="30">
        <v>0</v>
      </c>
      <c r="F25" s="30">
        <v>0</v>
      </c>
      <c r="G25" s="31">
        <f>SUM(ME_FINANCIAL)</f>
        <v>0</v>
      </c>
      <c r="H25" s="30"/>
      <c r="I25" s="34"/>
      <c r="J25" s="35"/>
      <c r="K25" s="30"/>
      <c r="L25" s="29"/>
      <c r="M25" s="30"/>
      <c r="N25" s="30"/>
      <c r="O25" s="30"/>
      <c r="P25" s="30"/>
      <c r="Q25" s="30"/>
      <c r="R25" s="30"/>
      <c r="S25" s="30"/>
      <c r="T25" s="30"/>
      <c r="U25" s="30"/>
      <c r="V25" s="31"/>
    </row>
    <row r="26" spans="1:22">
      <c r="A26" s="1" t="s">
        <v>45</v>
      </c>
      <c r="B26" s="29">
        <v>0</v>
      </c>
      <c r="C26" s="30">
        <v>0</v>
      </c>
      <c r="D26" s="30">
        <v>0</v>
      </c>
      <c r="E26" s="30">
        <v>0</v>
      </c>
      <c r="F26" s="30">
        <v>0</v>
      </c>
      <c r="G26" s="31">
        <f>SUM(MD_FINANCIAL)</f>
        <v>0</v>
      </c>
      <c r="H26" s="30"/>
      <c r="I26" s="34" t="s">
        <v>46</v>
      </c>
      <c r="J26" s="35">
        <f>SUM(ADD_FINANCIAL)-SUM(LESS_FINANCIAL)</f>
        <v>23625000</v>
      </c>
      <c r="K26" s="30"/>
      <c r="L26" s="29"/>
      <c r="M26" s="30"/>
      <c r="N26" s="30"/>
      <c r="O26" s="30"/>
      <c r="P26" s="30"/>
      <c r="Q26" s="30"/>
      <c r="R26" s="30"/>
      <c r="S26" s="30"/>
      <c r="T26" s="30"/>
      <c r="U26" s="30"/>
      <c r="V26" s="31"/>
    </row>
    <row r="27" spans="1:22">
      <c r="A27" s="1" t="s">
        <v>47</v>
      </c>
      <c r="B27" s="29">
        <v>0</v>
      </c>
      <c r="C27" s="30">
        <v>0</v>
      </c>
      <c r="D27" s="30">
        <v>0</v>
      </c>
      <c r="E27" s="30">
        <v>0</v>
      </c>
      <c r="F27" s="30">
        <v>0</v>
      </c>
      <c r="G27" s="31">
        <f>SUM(MA_FINANCIAL)</f>
        <v>0</v>
      </c>
      <c r="H27" s="30"/>
      <c r="I27" s="34" t="s">
        <v>48</v>
      </c>
      <c r="J27" s="35">
        <f>SUM(ALL_BLOCKS)</f>
        <v>23625000</v>
      </c>
      <c r="K27" s="30"/>
      <c r="L27" s="29"/>
      <c r="M27" s="30"/>
      <c r="N27" s="30"/>
      <c r="O27" s="30"/>
      <c r="P27" s="30"/>
      <c r="Q27" s="30"/>
      <c r="R27" s="30"/>
      <c r="S27" s="30"/>
      <c r="T27" s="30"/>
      <c r="U27" s="30"/>
      <c r="V27" s="31"/>
    </row>
    <row r="28" spans="1:22">
      <c r="A28" s="1" t="s">
        <v>49</v>
      </c>
      <c r="B28" s="29">
        <v>0</v>
      </c>
      <c r="C28" s="30">
        <v>0</v>
      </c>
      <c r="D28" s="30">
        <v>0</v>
      </c>
      <c r="E28" s="30">
        <v>0</v>
      </c>
      <c r="F28" s="30">
        <v>0</v>
      </c>
      <c r="G28" s="31">
        <f>SUM(MI_FINANCIAL)</f>
        <v>0</v>
      </c>
      <c r="H28" s="30"/>
      <c r="I28" s="36"/>
      <c r="J28" s="37"/>
      <c r="K28" s="30"/>
      <c r="L28" s="29"/>
      <c r="M28" s="30"/>
      <c r="N28" s="30"/>
      <c r="O28" s="30"/>
      <c r="P28" s="30"/>
      <c r="Q28" s="30"/>
      <c r="R28" s="30"/>
      <c r="S28" s="30"/>
      <c r="T28" s="30"/>
      <c r="U28" s="30"/>
      <c r="V28" s="31"/>
    </row>
    <row r="29" spans="1:22">
      <c r="A29" s="1" t="s">
        <v>50</v>
      </c>
      <c r="B29" s="29">
        <v>0</v>
      </c>
      <c r="C29" s="30">
        <v>0</v>
      </c>
      <c r="D29" s="30">
        <v>0</v>
      </c>
      <c r="E29" s="30">
        <v>0</v>
      </c>
      <c r="F29" s="30">
        <v>0</v>
      </c>
      <c r="G29" s="31">
        <f>SUM(MN_FINANCIAL)</f>
        <v>0</v>
      </c>
      <c r="H29" s="30"/>
      <c r="I29" s="30"/>
      <c r="J29" s="30"/>
      <c r="K29" s="30"/>
      <c r="L29" s="29"/>
      <c r="M29" s="30"/>
      <c r="N29" s="30"/>
      <c r="O29" s="30"/>
      <c r="P29" s="30"/>
      <c r="Q29" s="30"/>
      <c r="R29" s="30"/>
      <c r="S29" s="30"/>
      <c r="T29" s="30"/>
      <c r="U29" s="30"/>
      <c r="V29" s="31"/>
    </row>
    <row r="30" spans="1:22">
      <c r="A30" s="1" t="s">
        <v>51</v>
      </c>
      <c r="B30" s="29">
        <v>0</v>
      </c>
      <c r="C30" s="30">
        <v>0</v>
      </c>
      <c r="D30" s="30">
        <v>0</v>
      </c>
      <c r="E30" s="30">
        <v>0</v>
      </c>
      <c r="F30" s="30">
        <v>0</v>
      </c>
      <c r="G30" s="31">
        <f>SUM(MS_FINANCIAL)</f>
        <v>0</v>
      </c>
      <c r="H30" s="30"/>
      <c r="I30" s="30"/>
      <c r="J30" s="30"/>
      <c r="K30" s="30"/>
      <c r="L30" s="29"/>
      <c r="M30" s="30"/>
      <c r="N30" s="30"/>
      <c r="O30" s="30"/>
      <c r="P30" s="30"/>
      <c r="Q30" s="30"/>
      <c r="R30" s="30"/>
      <c r="S30" s="30"/>
      <c r="T30" s="30"/>
      <c r="U30" s="30"/>
      <c r="V30" s="31"/>
    </row>
    <row r="31" spans="1:22">
      <c r="A31" s="1" t="s">
        <v>52</v>
      </c>
      <c r="B31" s="29">
        <v>0</v>
      </c>
      <c r="C31" s="30">
        <v>0</v>
      </c>
      <c r="D31" s="30">
        <v>0</v>
      </c>
      <c r="E31" s="30">
        <v>0</v>
      </c>
      <c r="F31" s="30">
        <v>0</v>
      </c>
      <c r="G31" s="31">
        <f>SUM(MO_FINANCIAL)</f>
        <v>0</v>
      </c>
      <c r="H31" s="30"/>
      <c r="I31" s="30"/>
      <c r="J31" s="30"/>
      <c r="K31" s="30"/>
      <c r="L31" s="29"/>
      <c r="M31" s="30"/>
      <c r="N31" s="30"/>
      <c r="O31" s="30"/>
      <c r="P31" s="30"/>
      <c r="Q31" s="30"/>
      <c r="R31" s="30"/>
      <c r="S31" s="30"/>
      <c r="T31" s="30"/>
      <c r="U31" s="30"/>
      <c r="V31" s="31"/>
    </row>
    <row r="32" spans="1:22">
      <c r="A32" s="1" t="s">
        <v>53</v>
      </c>
      <c r="B32" s="29">
        <v>0</v>
      </c>
      <c r="C32" s="30">
        <v>0</v>
      </c>
      <c r="D32" s="30">
        <v>0</v>
      </c>
      <c r="E32" s="30">
        <v>0</v>
      </c>
      <c r="F32" s="30">
        <v>0</v>
      </c>
      <c r="G32" s="31">
        <f>SUM(MT_FINANCIAL)</f>
        <v>0</v>
      </c>
      <c r="H32" s="30"/>
      <c r="I32" s="30"/>
      <c r="J32" s="30"/>
      <c r="K32" s="30"/>
      <c r="L32" s="29"/>
      <c r="M32" s="30"/>
      <c r="N32" s="30"/>
      <c r="O32" s="30"/>
      <c r="P32" s="30"/>
      <c r="Q32" s="30"/>
      <c r="R32" s="30"/>
      <c r="S32" s="30"/>
      <c r="T32" s="30"/>
      <c r="U32" s="30"/>
      <c r="V32" s="31"/>
    </row>
    <row r="33" spans="1:22">
      <c r="A33" s="1" t="s">
        <v>54</v>
      </c>
      <c r="B33" s="29">
        <v>0</v>
      </c>
      <c r="C33" s="30">
        <v>0</v>
      </c>
      <c r="D33" s="30">
        <v>0</v>
      </c>
      <c r="E33" s="30">
        <v>0</v>
      </c>
      <c r="F33" s="30">
        <v>0</v>
      </c>
      <c r="G33" s="31">
        <f>SUM(NE_FINANCIAL)</f>
        <v>0</v>
      </c>
      <c r="H33" s="30"/>
      <c r="I33" s="30"/>
      <c r="J33" s="30"/>
      <c r="K33" s="30"/>
      <c r="L33" s="29"/>
      <c r="M33" s="30"/>
      <c r="N33" s="30"/>
      <c r="O33" s="30"/>
      <c r="P33" s="30"/>
      <c r="Q33" s="30"/>
      <c r="R33" s="30"/>
      <c r="S33" s="30"/>
      <c r="T33" s="30"/>
      <c r="U33" s="30"/>
      <c r="V33" s="31"/>
    </row>
    <row r="34" spans="1:22">
      <c r="A34" s="1" t="s">
        <v>55</v>
      </c>
      <c r="B34" s="29">
        <v>0</v>
      </c>
      <c r="C34" s="30">
        <v>0</v>
      </c>
      <c r="D34" s="30">
        <v>0</v>
      </c>
      <c r="E34" s="30">
        <v>0</v>
      </c>
      <c r="F34" s="30">
        <v>0</v>
      </c>
      <c r="G34" s="31">
        <f>SUM(NV_FINANCIAL)</f>
        <v>0</v>
      </c>
      <c r="H34" s="30"/>
      <c r="I34" s="30"/>
      <c r="J34" s="30"/>
      <c r="K34" s="30"/>
      <c r="L34" s="29"/>
      <c r="M34" s="30"/>
      <c r="N34" s="30"/>
      <c r="O34" s="30"/>
      <c r="P34" s="30"/>
      <c r="Q34" s="30"/>
      <c r="R34" s="30"/>
      <c r="S34" s="30"/>
      <c r="T34" s="30"/>
      <c r="U34" s="30"/>
      <c r="V34" s="31"/>
    </row>
    <row r="35" spans="1:22">
      <c r="A35" s="1" t="s">
        <v>56</v>
      </c>
      <c r="B35" s="29">
        <v>0</v>
      </c>
      <c r="C35" s="30">
        <v>0</v>
      </c>
      <c r="D35" s="30">
        <v>0</v>
      </c>
      <c r="E35" s="30">
        <v>0</v>
      </c>
      <c r="F35" s="30">
        <v>0</v>
      </c>
      <c r="G35" s="31">
        <f>SUM(NH_FINANCIAL)</f>
        <v>0</v>
      </c>
      <c r="H35" s="30"/>
      <c r="I35" s="30"/>
      <c r="J35" s="30"/>
      <c r="K35" s="30"/>
      <c r="L35" s="29"/>
      <c r="M35" s="30"/>
      <c r="N35" s="30"/>
      <c r="O35" s="30"/>
      <c r="P35" s="30"/>
      <c r="Q35" s="30"/>
      <c r="R35" s="30"/>
      <c r="S35" s="30"/>
      <c r="T35" s="30"/>
      <c r="U35" s="30"/>
      <c r="V35" s="31"/>
    </row>
    <row r="36" spans="1:22">
      <c r="A36" s="1" t="s">
        <v>57</v>
      </c>
      <c r="B36" s="29">
        <v>0</v>
      </c>
      <c r="C36" s="30">
        <v>0</v>
      </c>
      <c r="D36" s="30">
        <v>23625000</v>
      </c>
      <c r="E36" s="30">
        <v>0</v>
      </c>
      <c r="F36" s="30">
        <v>0</v>
      </c>
      <c r="G36" s="31">
        <f>SUM(NJ_FINANCIAL)</f>
        <v>23625000</v>
      </c>
      <c r="H36" s="30"/>
      <c r="I36" s="30"/>
      <c r="J36" s="30"/>
      <c r="K36" s="30"/>
      <c r="L36" s="29">
        <v>0</v>
      </c>
      <c r="M36" s="30">
        <v>0</v>
      </c>
      <c r="N36" s="30"/>
      <c r="O36" s="30">
        <v>0</v>
      </c>
      <c r="P36" s="30">
        <v>0</v>
      </c>
      <c r="Q36" s="30"/>
      <c r="R36" s="30">
        <v>26600000</v>
      </c>
      <c r="S36" s="30">
        <v>0</v>
      </c>
      <c r="T36" s="30"/>
      <c r="U36" s="30">
        <v>0</v>
      </c>
      <c r="V36" s="31">
        <v>0</v>
      </c>
    </row>
    <row r="37" spans="1:22">
      <c r="A37" s="1" t="s">
        <v>58</v>
      </c>
      <c r="B37" s="29">
        <v>0</v>
      </c>
      <c r="C37" s="30">
        <v>0</v>
      </c>
      <c r="D37" s="30">
        <v>0</v>
      </c>
      <c r="E37" s="30">
        <v>0</v>
      </c>
      <c r="F37" s="30">
        <v>0</v>
      </c>
      <c r="G37" s="31">
        <f>SUM(NM_FINANCIAL)</f>
        <v>0</v>
      </c>
      <c r="H37" s="30"/>
      <c r="I37" s="30"/>
      <c r="J37" s="30"/>
      <c r="K37" s="30"/>
      <c r="L37" s="29"/>
      <c r="M37" s="30"/>
      <c r="N37" s="30"/>
      <c r="O37" s="30"/>
      <c r="P37" s="30"/>
      <c r="Q37" s="30"/>
      <c r="R37" s="30"/>
      <c r="S37" s="30"/>
      <c r="T37" s="30"/>
      <c r="U37" s="30"/>
      <c r="V37" s="31"/>
    </row>
    <row r="38" spans="1:22">
      <c r="A38" s="1" t="s">
        <v>59</v>
      </c>
      <c r="B38" s="29">
        <v>0</v>
      </c>
      <c r="C38" s="30">
        <v>0</v>
      </c>
      <c r="D38" s="30">
        <v>0</v>
      </c>
      <c r="E38" s="30">
        <v>0</v>
      </c>
      <c r="F38" s="30">
        <v>0</v>
      </c>
      <c r="G38" s="31">
        <f>SUM(NY_FINANCIAL)</f>
        <v>0</v>
      </c>
      <c r="H38" s="30"/>
      <c r="I38" s="30"/>
      <c r="J38" s="30"/>
      <c r="K38" s="30"/>
      <c r="L38" s="29"/>
      <c r="M38" s="30"/>
      <c r="N38" s="30"/>
      <c r="O38" s="30"/>
      <c r="P38" s="30"/>
      <c r="Q38" s="30"/>
      <c r="R38" s="30"/>
      <c r="S38" s="30"/>
      <c r="T38" s="30"/>
      <c r="U38" s="30"/>
      <c r="V38" s="31"/>
    </row>
    <row r="39" spans="1:22">
      <c r="A39" s="1" t="s">
        <v>60</v>
      </c>
      <c r="B39" s="29">
        <v>0</v>
      </c>
      <c r="C39" s="30">
        <v>0</v>
      </c>
      <c r="D39" s="30">
        <v>0</v>
      </c>
      <c r="E39" s="30">
        <v>0</v>
      </c>
      <c r="F39" s="30">
        <v>0</v>
      </c>
      <c r="G39" s="31">
        <f>SUM(NC_FINANCIAL)</f>
        <v>0</v>
      </c>
      <c r="H39" s="30"/>
      <c r="I39" s="30"/>
      <c r="J39" s="30"/>
      <c r="K39" s="30"/>
      <c r="L39" s="29"/>
      <c r="M39" s="30"/>
      <c r="N39" s="30"/>
      <c r="O39" s="30"/>
      <c r="P39" s="30"/>
      <c r="Q39" s="30"/>
      <c r="R39" s="30"/>
      <c r="S39" s="30"/>
      <c r="T39" s="30"/>
      <c r="U39" s="30"/>
      <c r="V39" s="31"/>
    </row>
    <row r="40" spans="1:22">
      <c r="A40" s="1" t="s">
        <v>61</v>
      </c>
      <c r="B40" s="29">
        <v>0</v>
      </c>
      <c r="C40" s="30">
        <v>0</v>
      </c>
      <c r="D40" s="30">
        <v>0</v>
      </c>
      <c r="E40" s="30">
        <v>0</v>
      </c>
      <c r="F40" s="30">
        <v>0</v>
      </c>
      <c r="G40" s="31">
        <f>SUM(ND_FINANCIAL)</f>
        <v>0</v>
      </c>
      <c r="H40" s="30"/>
      <c r="I40" s="30"/>
      <c r="J40" s="30"/>
      <c r="K40" s="30"/>
      <c r="L40" s="29"/>
      <c r="M40" s="30"/>
      <c r="N40" s="30"/>
      <c r="O40" s="30"/>
      <c r="P40" s="30"/>
      <c r="Q40" s="30"/>
      <c r="R40" s="30"/>
      <c r="S40" s="30"/>
      <c r="T40" s="30"/>
      <c r="U40" s="30"/>
      <c r="V40" s="31"/>
    </row>
    <row r="41" spans="1:22">
      <c r="A41" s="1" t="s">
        <v>62</v>
      </c>
      <c r="B41" s="29">
        <v>0</v>
      </c>
      <c r="C41" s="30">
        <v>0</v>
      </c>
      <c r="D41" s="30">
        <v>0</v>
      </c>
      <c r="E41" s="30">
        <v>0</v>
      </c>
      <c r="F41" s="30">
        <v>0</v>
      </c>
      <c r="G41" s="31">
        <f>SUM(OH_FINANCIAL)</f>
        <v>0</v>
      </c>
      <c r="H41" s="30"/>
      <c r="I41" s="30"/>
      <c r="J41" s="30"/>
      <c r="K41" s="30"/>
      <c r="L41" s="29"/>
      <c r="M41" s="30"/>
      <c r="N41" s="30"/>
      <c r="O41" s="30"/>
      <c r="P41" s="30"/>
      <c r="Q41" s="30"/>
      <c r="R41" s="30"/>
      <c r="S41" s="30"/>
      <c r="T41" s="30"/>
      <c r="U41" s="30"/>
      <c r="V41" s="31"/>
    </row>
    <row r="42" spans="1:22">
      <c r="A42" s="1" t="s">
        <v>63</v>
      </c>
      <c r="B42" s="29">
        <v>0</v>
      </c>
      <c r="C42" s="30">
        <v>0</v>
      </c>
      <c r="D42" s="30">
        <v>0</v>
      </c>
      <c r="E42" s="30">
        <v>0</v>
      </c>
      <c r="F42" s="30">
        <v>0</v>
      </c>
      <c r="G42" s="31">
        <f>SUM(OK_FINANCIAL)</f>
        <v>0</v>
      </c>
      <c r="H42" s="30"/>
      <c r="I42" s="30"/>
      <c r="J42" s="30"/>
      <c r="K42" s="30"/>
      <c r="L42" s="29"/>
      <c r="M42" s="30"/>
      <c r="N42" s="30"/>
      <c r="O42" s="30"/>
      <c r="P42" s="30"/>
      <c r="Q42" s="30"/>
      <c r="R42" s="30"/>
      <c r="S42" s="30"/>
      <c r="T42" s="30"/>
      <c r="U42" s="30"/>
      <c r="V42" s="31"/>
    </row>
    <row r="43" spans="1:22">
      <c r="A43" s="1" t="s">
        <v>64</v>
      </c>
      <c r="B43" s="29">
        <v>0</v>
      </c>
      <c r="C43" s="30">
        <v>0</v>
      </c>
      <c r="D43" s="30">
        <v>0</v>
      </c>
      <c r="E43" s="30">
        <v>0</v>
      </c>
      <c r="F43" s="30">
        <v>0</v>
      </c>
      <c r="G43" s="31">
        <f>SUM(OR_FINANCIAL)</f>
        <v>0</v>
      </c>
      <c r="H43" s="30"/>
      <c r="I43" s="30"/>
      <c r="J43" s="30"/>
      <c r="K43" s="30"/>
      <c r="L43" s="29"/>
      <c r="M43" s="30"/>
      <c r="N43" s="30"/>
      <c r="O43" s="30"/>
      <c r="P43" s="30"/>
      <c r="Q43" s="30"/>
      <c r="R43" s="30"/>
      <c r="S43" s="30"/>
      <c r="T43" s="30"/>
      <c r="U43" s="30"/>
      <c r="V43" s="31"/>
    </row>
    <row r="44" spans="1:22">
      <c r="A44" s="1" t="s">
        <v>65</v>
      </c>
      <c r="B44" s="29">
        <v>0</v>
      </c>
      <c r="C44" s="30">
        <v>0</v>
      </c>
      <c r="D44" s="30">
        <v>0</v>
      </c>
      <c r="E44" s="30">
        <v>0</v>
      </c>
      <c r="F44" s="30">
        <v>0</v>
      </c>
      <c r="G44" s="31">
        <f>SUM(PA_FINANCIAL)</f>
        <v>0</v>
      </c>
      <c r="H44" s="30"/>
      <c r="I44" s="30"/>
      <c r="J44" s="30"/>
      <c r="K44" s="30"/>
      <c r="L44" s="29"/>
      <c r="M44" s="30"/>
      <c r="N44" s="30"/>
      <c r="O44" s="30"/>
      <c r="P44" s="30"/>
      <c r="Q44" s="30"/>
      <c r="R44" s="30"/>
      <c r="S44" s="30"/>
      <c r="T44" s="30"/>
      <c r="U44" s="30"/>
      <c r="V44" s="31"/>
    </row>
    <row r="45" spans="1:22">
      <c r="A45" s="1" t="s">
        <v>66</v>
      </c>
      <c r="B45" s="29">
        <v>0</v>
      </c>
      <c r="C45" s="30">
        <v>0</v>
      </c>
      <c r="D45" s="30">
        <v>0</v>
      </c>
      <c r="E45" s="30">
        <v>0</v>
      </c>
      <c r="F45" s="30">
        <v>0</v>
      </c>
      <c r="G45" s="31">
        <f>SUM(PR_FINANCIAL)</f>
        <v>0</v>
      </c>
      <c r="H45" s="30"/>
      <c r="I45" s="30"/>
      <c r="J45" s="30"/>
      <c r="K45" s="30"/>
      <c r="L45" s="29"/>
      <c r="M45" s="30"/>
      <c r="N45" s="30"/>
      <c r="O45" s="30"/>
      <c r="P45" s="30"/>
      <c r="Q45" s="30"/>
      <c r="R45" s="30"/>
      <c r="S45" s="30"/>
      <c r="T45" s="30"/>
      <c r="U45" s="30"/>
      <c r="V45" s="31"/>
    </row>
    <row r="46" spans="1:22">
      <c r="A46" s="1" t="s">
        <v>67</v>
      </c>
      <c r="B46" s="29">
        <v>0</v>
      </c>
      <c r="C46" s="30">
        <v>0</v>
      </c>
      <c r="D46" s="30">
        <v>0</v>
      </c>
      <c r="E46" s="30">
        <v>0</v>
      </c>
      <c r="F46" s="30">
        <v>0</v>
      </c>
      <c r="G46" s="31">
        <f>SUM(RI_FINANCIAL)</f>
        <v>0</v>
      </c>
      <c r="H46" s="30"/>
      <c r="I46" s="30"/>
      <c r="J46" s="30"/>
      <c r="K46" s="30"/>
      <c r="L46" s="29"/>
      <c r="M46" s="30"/>
      <c r="N46" s="30"/>
      <c r="O46" s="30"/>
      <c r="P46" s="30"/>
      <c r="Q46" s="30"/>
      <c r="R46" s="30"/>
      <c r="S46" s="30"/>
      <c r="T46" s="30"/>
      <c r="U46" s="30"/>
      <c r="V46" s="31"/>
    </row>
    <row r="47" spans="1:22">
      <c r="A47" s="1" t="s">
        <v>68</v>
      </c>
      <c r="B47" s="29">
        <v>0</v>
      </c>
      <c r="C47" s="30">
        <v>0</v>
      </c>
      <c r="D47" s="30">
        <v>0</v>
      </c>
      <c r="E47" s="30">
        <v>0</v>
      </c>
      <c r="F47" s="30">
        <v>0</v>
      </c>
      <c r="G47" s="31">
        <f>SUM(SC_FINANCIAL)</f>
        <v>0</v>
      </c>
      <c r="H47" s="30"/>
      <c r="I47" s="30"/>
      <c r="J47" s="30"/>
      <c r="K47" s="30"/>
      <c r="L47" s="29"/>
      <c r="M47" s="30"/>
      <c r="N47" s="30"/>
      <c r="O47" s="30"/>
      <c r="P47" s="30"/>
      <c r="Q47" s="30"/>
      <c r="R47" s="30"/>
      <c r="S47" s="30"/>
      <c r="T47" s="30"/>
      <c r="U47" s="30"/>
      <c r="V47" s="31"/>
    </row>
    <row r="48" spans="1:22">
      <c r="A48" s="1" t="s">
        <v>69</v>
      </c>
      <c r="B48" s="29">
        <v>0</v>
      </c>
      <c r="C48" s="30">
        <v>0</v>
      </c>
      <c r="D48" s="30">
        <v>0</v>
      </c>
      <c r="E48" s="30">
        <v>0</v>
      </c>
      <c r="F48" s="30">
        <v>0</v>
      </c>
      <c r="G48" s="31">
        <f>SUM(SD_FINANCIAL)</f>
        <v>0</v>
      </c>
      <c r="H48" s="30"/>
      <c r="I48" s="30"/>
      <c r="J48" s="30"/>
      <c r="K48" s="30"/>
      <c r="L48" s="29"/>
      <c r="M48" s="30"/>
      <c r="N48" s="30"/>
      <c r="O48" s="30"/>
      <c r="P48" s="30"/>
      <c r="Q48" s="30"/>
      <c r="R48" s="30"/>
      <c r="S48" s="30"/>
      <c r="T48" s="30"/>
      <c r="U48" s="30"/>
      <c r="V48" s="31"/>
    </row>
    <row r="49" spans="1:22">
      <c r="A49" s="1" t="s">
        <v>70</v>
      </c>
      <c r="B49" s="29">
        <v>0</v>
      </c>
      <c r="C49" s="30">
        <v>0</v>
      </c>
      <c r="D49" s="30">
        <v>0</v>
      </c>
      <c r="E49" s="30">
        <v>0</v>
      </c>
      <c r="F49" s="30">
        <v>0</v>
      </c>
      <c r="G49" s="31">
        <f>SUM(TN_FINANCIAL)</f>
        <v>0</v>
      </c>
      <c r="H49" s="30"/>
      <c r="I49" s="30"/>
      <c r="J49" s="30"/>
      <c r="K49" s="30"/>
      <c r="L49" s="29"/>
      <c r="M49" s="30"/>
      <c r="N49" s="30"/>
      <c r="O49" s="30"/>
      <c r="P49" s="30"/>
      <c r="Q49" s="30"/>
      <c r="R49" s="30"/>
      <c r="S49" s="30"/>
      <c r="T49" s="30"/>
      <c r="U49" s="30"/>
      <c r="V49" s="31"/>
    </row>
    <row r="50" spans="1:22">
      <c r="A50" s="1" t="s">
        <v>71</v>
      </c>
      <c r="B50" s="29">
        <v>0</v>
      </c>
      <c r="C50" s="30">
        <v>0</v>
      </c>
      <c r="D50" s="30">
        <v>0</v>
      </c>
      <c r="E50" s="30">
        <v>0</v>
      </c>
      <c r="F50" s="30">
        <v>0</v>
      </c>
      <c r="G50" s="31">
        <f>SUM(TX_FINANCIAL)</f>
        <v>0</v>
      </c>
      <c r="H50" s="30"/>
      <c r="I50" s="30"/>
      <c r="J50" s="30"/>
      <c r="K50" s="30"/>
      <c r="L50" s="29"/>
      <c r="M50" s="30"/>
      <c r="N50" s="30"/>
      <c r="O50" s="30"/>
      <c r="P50" s="30"/>
      <c r="Q50" s="30"/>
      <c r="R50" s="30"/>
      <c r="S50" s="30"/>
      <c r="T50" s="30"/>
      <c r="U50" s="30"/>
      <c r="V50" s="31"/>
    </row>
    <row r="51" spans="1:22">
      <c r="A51" s="1" t="s">
        <v>72</v>
      </c>
      <c r="B51" s="29">
        <v>0</v>
      </c>
      <c r="C51" s="30">
        <v>0</v>
      </c>
      <c r="D51" s="30">
        <v>0</v>
      </c>
      <c r="E51" s="30">
        <v>0</v>
      </c>
      <c r="F51" s="30">
        <v>0</v>
      </c>
      <c r="G51" s="31">
        <f>SUM(UT_FINANCIAL)</f>
        <v>0</v>
      </c>
      <c r="H51" s="30"/>
      <c r="I51" s="30"/>
      <c r="J51" s="30"/>
      <c r="K51" s="30"/>
      <c r="L51" s="29"/>
      <c r="M51" s="30"/>
      <c r="N51" s="30"/>
      <c r="O51" s="30"/>
      <c r="P51" s="30"/>
      <c r="Q51" s="30"/>
      <c r="R51" s="30"/>
      <c r="S51" s="30"/>
      <c r="T51" s="30"/>
      <c r="U51" s="30"/>
      <c r="V51" s="31"/>
    </row>
    <row r="52" spans="1:22">
      <c r="A52" s="1" t="s">
        <v>73</v>
      </c>
      <c r="B52" s="29">
        <v>0</v>
      </c>
      <c r="C52" s="30">
        <v>0</v>
      </c>
      <c r="D52" s="30">
        <v>0</v>
      </c>
      <c r="E52" s="30">
        <v>0</v>
      </c>
      <c r="F52" s="30">
        <v>0</v>
      </c>
      <c r="G52" s="31">
        <f>SUM(VT_FINANCIAL)</f>
        <v>0</v>
      </c>
      <c r="H52" s="30"/>
      <c r="I52" s="30"/>
      <c r="J52" s="30"/>
      <c r="K52" s="30"/>
      <c r="L52" s="29"/>
      <c r="M52" s="30"/>
      <c r="N52" s="30"/>
      <c r="O52" s="30"/>
      <c r="P52" s="30"/>
      <c r="Q52" s="30"/>
      <c r="R52" s="30"/>
      <c r="S52" s="30"/>
      <c r="T52" s="30"/>
      <c r="U52" s="30"/>
      <c r="V52" s="31"/>
    </row>
    <row r="53" spans="1:22">
      <c r="A53" s="1" t="s">
        <v>74</v>
      </c>
      <c r="B53" s="29">
        <v>0</v>
      </c>
      <c r="C53" s="30">
        <v>0</v>
      </c>
      <c r="D53" s="30">
        <v>0</v>
      </c>
      <c r="E53" s="30">
        <v>0</v>
      </c>
      <c r="F53" s="30">
        <v>0</v>
      </c>
      <c r="G53" s="31">
        <f>SUM(VA_FINANCIAL)</f>
        <v>0</v>
      </c>
      <c r="H53" s="30"/>
      <c r="I53" s="30"/>
      <c r="J53" s="30"/>
      <c r="K53" s="30"/>
      <c r="L53" s="29"/>
      <c r="M53" s="30"/>
      <c r="N53" s="30"/>
      <c r="O53" s="30"/>
      <c r="P53" s="30"/>
      <c r="Q53" s="30"/>
      <c r="R53" s="30"/>
      <c r="S53" s="30"/>
      <c r="T53" s="30"/>
      <c r="U53" s="30"/>
      <c r="V53" s="31"/>
    </row>
    <row r="54" spans="1:22">
      <c r="A54" s="1" t="s">
        <v>75</v>
      </c>
      <c r="B54" s="29">
        <v>0</v>
      </c>
      <c r="C54" s="30">
        <v>0</v>
      </c>
      <c r="D54" s="30">
        <v>0</v>
      </c>
      <c r="E54" s="30">
        <v>0</v>
      </c>
      <c r="F54" s="30">
        <v>0</v>
      </c>
      <c r="G54" s="31">
        <f>SUM(WA_FINANCIAL)</f>
        <v>0</v>
      </c>
      <c r="H54" s="30"/>
      <c r="I54" s="30"/>
      <c r="J54" s="30"/>
      <c r="K54" s="30"/>
      <c r="L54" s="29"/>
      <c r="M54" s="30"/>
      <c r="N54" s="30"/>
      <c r="O54" s="30"/>
      <c r="P54" s="30"/>
      <c r="Q54" s="30"/>
      <c r="R54" s="30"/>
      <c r="S54" s="30"/>
      <c r="T54" s="30"/>
      <c r="U54" s="30"/>
      <c r="V54" s="31"/>
    </row>
    <row r="55" spans="1:22">
      <c r="A55" s="1" t="s">
        <v>76</v>
      </c>
      <c r="B55" s="29">
        <v>0</v>
      </c>
      <c r="C55" s="30">
        <v>0</v>
      </c>
      <c r="D55" s="30">
        <v>0</v>
      </c>
      <c r="E55" s="30">
        <v>0</v>
      </c>
      <c r="F55" s="30">
        <v>0</v>
      </c>
      <c r="G55" s="31">
        <f>SUM(WV_FINANCIAL)</f>
        <v>0</v>
      </c>
      <c r="H55" s="30"/>
      <c r="I55" s="30"/>
      <c r="J55" s="30"/>
      <c r="K55" s="30"/>
      <c r="L55" s="29"/>
      <c r="M55" s="30"/>
      <c r="N55" s="30"/>
      <c r="O55" s="30"/>
      <c r="P55" s="30"/>
      <c r="Q55" s="30"/>
      <c r="R55" s="30"/>
      <c r="S55" s="30"/>
      <c r="T55" s="30"/>
      <c r="U55" s="30"/>
      <c r="V55" s="31"/>
    </row>
    <row r="56" spans="1:22">
      <c r="A56" s="1" t="s">
        <v>77</v>
      </c>
      <c r="B56" s="29">
        <v>0</v>
      </c>
      <c r="C56" s="30">
        <v>0</v>
      </c>
      <c r="D56" s="30">
        <v>0</v>
      </c>
      <c r="E56" s="30">
        <v>0</v>
      </c>
      <c r="F56" s="30">
        <v>0</v>
      </c>
      <c r="G56" s="31">
        <f>SUM(WI_FINANCIAL)</f>
        <v>0</v>
      </c>
      <c r="H56" s="30"/>
      <c r="I56" s="30"/>
      <c r="J56" s="30"/>
      <c r="K56" s="30"/>
      <c r="L56" s="29"/>
      <c r="M56" s="30"/>
      <c r="N56" s="30"/>
      <c r="O56" s="30"/>
      <c r="P56" s="30"/>
      <c r="Q56" s="30"/>
      <c r="R56" s="30"/>
      <c r="S56" s="30"/>
      <c r="T56" s="30"/>
      <c r="U56" s="30"/>
      <c r="V56" s="31"/>
    </row>
    <row r="57" spans="1:22">
      <c r="A57" s="1" t="s">
        <v>78</v>
      </c>
      <c r="B57" s="29">
        <v>0</v>
      </c>
      <c r="C57" s="30">
        <v>0</v>
      </c>
      <c r="D57" s="30">
        <v>0</v>
      </c>
      <c r="E57" s="30">
        <v>0</v>
      </c>
      <c r="F57" s="30">
        <v>0</v>
      </c>
      <c r="G57" s="31">
        <f>SUM(WY_FINANCIAL)</f>
        <v>0</v>
      </c>
      <c r="H57" s="30"/>
      <c r="I57" s="30"/>
      <c r="J57" s="30"/>
      <c r="K57" s="30"/>
      <c r="L57" s="29"/>
      <c r="M57" s="30"/>
      <c r="N57" s="30"/>
      <c r="O57" s="30"/>
      <c r="P57" s="30"/>
      <c r="Q57" s="30"/>
      <c r="R57" s="30"/>
      <c r="S57" s="30"/>
      <c r="T57" s="30"/>
      <c r="U57" s="30"/>
      <c r="V57" s="31"/>
    </row>
    <row r="58" spans="1:22">
      <c r="A58" s="1" t="s">
        <v>79</v>
      </c>
      <c r="B58" s="29">
        <v>0</v>
      </c>
      <c r="C58" s="30">
        <v>0</v>
      </c>
      <c r="D58" s="30">
        <v>0</v>
      </c>
      <c r="E58" s="30">
        <v>0</v>
      </c>
      <c r="F58" s="30">
        <v>0</v>
      </c>
      <c r="G58" s="31">
        <f>SUM(OT_FINANCIAL)</f>
        <v>0</v>
      </c>
      <c r="H58" s="30"/>
      <c r="I58" s="30"/>
      <c r="J58" s="30"/>
      <c r="K58" s="30"/>
      <c r="L58" s="29"/>
      <c r="M58" s="30"/>
      <c r="N58" s="30"/>
      <c r="O58" s="30"/>
      <c r="P58" s="30"/>
      <c r="Q58" s="30"/>
      <c r="R58" s="30"/>
      <c r="S58" s="30"/>
      <c r="T58" s="30"/>
      <c r="U58" s="30"/>
      <c r="V58" s="31"/>
    </row>
    <row r="59" spans="1:22">
      <c r="B59" s="29"/>
      <c r="C59" s="30"/>
      <c r="D59" s="30"/>
      <c r="E59" s="30"/>
      <c r="F59" s="30"/>
      <c r="G59" s="31"/>
      <c r="H59" s="30"/>
      <c r="I59" s="30"/>
      <c r="J59" s="30"/>
      <c r="K59" s="30"/>
      <c r="L59" s="29"/>
      <c r="M59" s="30"/>
      <c r="N59" s="30"/>
      <c r="O59" s="30"/>
      <c r="P59" s="30"/>
      <c r="Q59" s="30"/>
      <c r="R59" s="30"/>
      <c r="S59" s="30"/>
      <c r="T59" s="30"/>
      <c r="U59" s="30"/>
      <c r="V59" s="31"/>
    </row>
    <row r="60" spans="1:22">
      <c r="A60" s="1" t="s">
        <v>8</v>
      </c>
      <c r="B60" s="29">
        <f>SUM(LIFE)</f>
        <v>0</v>
      </c>
      <c r="C60" s="30">
        <f>SUM(ALLOCATED)</f>
        <v>0</v>
      </c>
      <c r="D60" s="30">
        <f>SUM(HEALTH)</f>
        <v>23625000</v>
      </c>
      <c r="E60" s="30">
        <f>SUM(UNALLOCATED)</f>
        <v>0</v>
      </c>
      <c r="F60" s="30">
        <f>SUM(LTC)</f>
        <v>0</v>
      </c>
      <c r="G60" s="31">
        <f>SUM(ALL_BLOCKS)</f>
        <v>23625000</v>
      </c>
      <c r="H60" s="30"/>
      <c r="I60" s="30"/>
      <c r="J60" s="30"/>
      <c r="K60" s="30"/>
      <c r="L60" s="29">
        <f>SUM(LIFE_CALLED)</f>
        <v>0</v>
      </c>
      <c r="M60" s="30">
        <f>SUM(LIFE_REFUNDED)</f>
        <v>0</v>
      </c>
      <c r="N60" s="30"/>
      <c r="O60" s="30">
        <f>SUM(ALLOC_CALLED)</f>
        <v>0</v>
      </c>
      <c r="P60" s="30">
        <f>SUM(ALLOC_REFUNDED)</f>
        <v>0</v>
      </c>
      <c r="Q60" s="30"/>
      <c r="R60" s="30">
        <f>SUM(HEALTH_CALLED)</f>
        <v>26600000</v>
      </c>
      <c r="S60" s="30">
        <f>SUM(HEALTH_REFUNDED)</f>
        <v>0</v>
      </c>
      <c r="T60" s="30"/>
      <c r="U60" s="30">
        <f>SUM(UNALLOC_CALLED)</f>
        <v>0</v>
      </c>
      <c r="V60" s="31">
        <f>SUM(UNALLOC_REFUNDED)</f>
        <v>0</v>
      </c>
    </row>
    <row r="61" spans="1:22" ht="5.0999999999999996" customHeight="1">
      <c r="B61" s="8"/>
      <c r="G61" s="11"/>
      <c r="L61" s="8"/>
      <c r="V61" s="11"/>
    </row>
    <row r="62" spans="1:22">
      <c r="B62" s="8"/>
      <c r="G62" s="11"/>
      <c r="L62" s="122" t="s">
        <v>80</v>
      </c>
      <c r="M62" s="123"/>
      <c r="N62" s="123"/>
      <c r="O62" s="123"/>
      <c r="P62" s="123"/>
      <c r="Q62" s="123"/>
      <c r="R62" s="123"/>
      <c r="S62" s="123"/>
      <c r="T62" s="123"/>
      <c r="U62" s="123"/>
      <c r="V62" s="124"/>
    </row>
    <row r="63" spans="1:22">
      <c r="B63" s="8"/>
      <c r="G63" s="11"/>
      <c r="L63" s="125"/>
      <c r="M63" s="123"/>
      <c r="N63" s="123"/>
      <c r="O63" s="123"/>
      <c r="P63" s="123"/>
      <c r="Q63" s="123"/>
      <c r="R63" s="123"/>
      <c r="S63" s="123"/>
      <c r="T63" s="123"/>
      <c r="U63" s="123"/>
      <c r="V63" s="124"/>
    </row>
    <row r="64" spans="1:22">
      <c r="B64" s="10"/>
      <c r="C64" s="7"/>
      <c r="D64" s="7"/>
      <c r="E64" s="7"/>
      <c r="F64" s="7"/>
      <c r="G64" s="13"/>
      <c r="L64" s="126"/>
      <c r="M64" s="127"/>
      <c r="N64" s="127"/>
      <c r="O64" s="127"/>
      <c r="P64" s="127"/>
      <c r="Q64" s="127"/>
      <c r="R64" s="127"/>
      <c r="S64" s="127"/>
      <c r="T64" s="127"/>
      <c r="U64" s="127"/>
      <c r="V64" s="128"/>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A1:V64"/>
  <sheetViews>
    <sheetView zoomScale="75" workbookViewId="0">
      <selection sqref="A1:XFD1048576"/>
    </sheetView>
  </sheetViews>
  <sheetFormatPr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129" t="s">
        <v>121</v>
      </c>
      <c r="B1" s="123"/>
      <c r="C1" s="123"/>
      <c r="D1" s="123"/>
      <c r="E1" s="123"/>
      <c r="F1" s="123"/>
      <c r="G1" s="123"/>
    </row>
    <row r="3" spans="1:22">
      <c r="B3" s="130" t="s">
        <v>1</v>
      </c>
      <c r="C3" s="131"/>
      <c r="D3" s="131"/>
      <c r="E3" s="131"/>
      <c r="F3" s="131"/>
      <c r="G3" s="132"/>
      <c r="L3" s="133" t="s">
        <v>2</v>
      </c>
      <c r="M3" s="134"/>
      <c r="N3" s="134"/>
      <c r="O3" s="134"/>
      <c r="P3" s="134"/>
      <c r="Q3" s="134"/>
      <c r="R3" s="134"/>
      <c r="S3" s="134"/>
      <c r="T3" s="134"/>
      <c r="U3" s="134"/>
      <c r="V3" s="135"/>
    </row>
    <row r="4" spans="1:22">
      <c r="B4" s="8"/>
      <c r="G4" s="11"/>
      <c r="L4" s="136" t="s">
        <v>3</v>
      </c>
      <c r="M4" s="137"/>
      <c r="N4" s="4"/>
      <c r="O4" s="138" t="s">
        <v>4</v>
      </c>
      <c r="P4" s="137"/>
      <c r="Q4" s="4"/>
      <c r="R4" s="138" t="s">
        <v>5</v>
      </c>
      <c r="S4" s="137"/>
      <c r="T4" s="4"/>
      <c r="U4" s="138" t="s">
        <v>6</v>
      </c>
      <c r="V4" s="139"/>
    </row>
    <row r="5" spans="1:22" ht="60" customHeight="1">
      <c r="B5" s="9" t="s">
        <v>3</v>
      </c>
      <c r="C5" s="5" t="s">
        <v>4</v>
      </c>
      <c r="D5" s="5" t="s">
        <v>5</v>
      </c>
      <c r="E5" s="5" t="s">
        <v>6</v>
      </c>
      <c r="F5" s="5" t="s">
        <v>7</v>
      </c>
      <c r="G5" s="12" t="s">
        <v>8</v>
      </c>
      <c r="L5" s="15" t="s">
        <v>9</v>
      </c>
      <c r="M5" s="14" t="s">
        <v>10</v>
      </c>
      <c r="N5" s="14"/>
      <c r="O5" s="14" t="s">
        <v>9</v>
      </c>
      <c r="P5" s="14" t="s">
        <v>10</v>
      </c>
      <c r="Q5" s="14"/>
      <c r="R5" s="14" t="s">
        <v>9</v>
      </c>
      <c r="S5" s="14" t="s">
        <v>10</v>
      </c>
      <c r="T5" s="14"/>
      <c r="U5" s="14" t="s">
        <v>9</v>
      </c>
      <c r="V5" s="16" t="s">
        <v>10</v>
      </c>
    </row>
    <row r="6" spans="1:22">
      <c r="A6" s="1" t="s">
        <v>11</v>
      </c>
      <c r="B6" s="29">
        <v>15569.216092486691</v>
      </c>
      <c r="C6" s="30">
        <v>0</v>
      </c>
      <c r="D6" s="30">
        <v>2773.9725376302958</v>
      </c>
      <c r="E6" s="30">
        <v>0</v>
      </c>
      <c r="F6" s="30">
        <v>0</v>
      </c>
      <c r="G6" s="31">
        <f>SUM(AL_FINANCIAL)</f>
        <v>18343.188630116987</v>
      </c>
      <c r="H6" s="30"/>
      <c r="I6" s="30"/>
      <c r="J6" s="30"/>
      <c r="K6" s="30"/>
      <c r="L6" s="29">
        <v>0</v>
      </c>
      <c r="M6" s="30">
        <v>0</v>
      </c>
      <c r="N6" s="30"/>
      <c r="O6" s="30">
        <v>0</v>
      </c>
      <c r="P6" s="30">
        <v>0</v>
      </c>
      <c r="Q6" s="30"/>
      <c r="R6" s="30">
        <v>202000</v>
      </c>
      <c r="S6" s="30">
        <v>0</v>
      </c>
      <c r="T6" s="30"/>
      <c r="U6" s="30">
        <v>0</v>
      </c>
      <c r="V6" s="31">
        <v>0</v>
      </c>
    </row>
    <row r="7" spans="1:22">
      <c r="A7" s="1" t="s">
        <v>12</v>
      </c>
      <c r="B7" s="29">
        <v>0</v>
      </c>
      <c r="C7" s="30">
        <v>0</v>
      </c>
      <c r="D7" s="30">
        <v>0</v>
      </c>
      <c r="E7" s="30">
        <v>0</v>
      </c>
      <c r="F7" s="30">
        <v>0</v>
      </c>
      <c r="G7" s="31">
        <f>SUM(AK_FINANCIAL)</f>
        <v>0</v>
      </c>
      <c r="H7" s="30"/>
      <c r="I7" s="32"/>
      <c r="J7" s="33"/>
      <c r="K7" s="30"/>
      <c r="L7" s="29"/>
      <c r="M7" s="30"/>
      <c r="N7" s="30"/>
      <c r="O7" s="30"/>
      <c r="P7" s="30"/>
      <c r="Q7" s="30"/>
      <c r="R7" s="30"/>
      <c r="S7" s="30"/>
      <c r="T7" s="30"/>
      <c r="U7" s="30"/>
      <c r="V7" s="31"/>
    </row>
    <row r="8" spans="1:22">
      <c r="A8" s="1" t="s">
        <v>13</v>
      </c>
      <c r="B8" s="29">
        <v>0</v>
      </c>
      <c r="C8" s="30">
        <v>0</v>
      </c>
      <c r="D8" s="30">
        <v>574</v>
      </c>
      <c r="E8" s="30">
        <v>0</v>
      </c>
      <c r="F8" s="30">
        <v>0</v>
      </c>
      <c r="G8" s="31">
        <f>SUM(AZ_FINANCIAL)</f>
        <v>574</v>
      </c>
      <c r="H8" s="30"/>
      <c r="I8" s="34" t="s">
        <v>14</v>
      </c>
      <c r="J8" s="35"/>
      <c r="K8" s="30"/>
      <c r="L8" s="29"/>
      <c r="M8" s="30"/>
      <c r="N8" s="30"/>
      <c r="O8" s="30"/>
      <c r="P8" s="30"/>
      <c r="Q8" s="30"/>
      <c r="R8" s="30"/>
      <c r="S8" s="30"/>
      <c r="T8" s="30"/>
      <c r="U8" s="30"/>
      <c r="V8" s="31"/>
    </row>
    <row r="9" spans="1:22">
      <c r="A9" s="1" t="s">
        <v>15</v>
      </c>
      <c r="B9" s="29">
        <v>0</v>
      </c>
      <c r="C9" s="30">
        <v>0</v>
      </c>
      <c r="D9" s="30">
        <v>2890</v>
      </c>
      <c r="E9" s="30">
        <v>0</v>
      </c>
      <c r="F9" s="30">
        <v>0</v>
      </c>
      <c r="G9" s="31">
        <f>SUM(AR_FINANCIAL)</f>
        <v>2890</v>
      </c>
      <c r="H9" s="30"/>
      <c r="I9" s="34"/>
      <c r="J9" s="35"/>
      <c r="K9" s="30"/>
      <c r="L9" s="29"/>
      <c r="M9" s="30"/>
      <c r="N9" s="30"/>
      <c r="O9" s="30"/>
      <c r="P9" s="30"/>
      <c r="Q9" s="30"/>
      <c r="R9" s="30"/>
      <c r="S9" s="30"/>
      <c r="T9" s="30"/>
      <c r="U9" s="30"/>
      <c r="V9" s="31"/>
    </row>
    <row r="10" spans="1:22">
      <c r="A10" s="1" t="s">
        <v>16</v>
      </c>
      <c r="B10" s="29">
        <v>0</v>
      </c>
      <c r="C10" s="30">
        <v>0</v>
      </c>
      <c r="D10" s="30">
        <v>334</v>
      </c>
      <c r="E10" s="30">
        <v>0</v>
      </c>
      <c r="F10" s="30">
        <v>0</v>
      </c>
      <c r="G10" s="31">
        <f>SUM(CA_FINANCIAL)</f>
        <v>334</v>
      </c>
      <c r="H10" s="30"/>
      <c r="I10" s="34" t="s">
        <v>17</v>
      </c>
      <c r="J10" s="35">
        <v>16205681.249743802</v>
      </c>
      <c r="K10" s="30"/>
      <c r="L10" s="29"/>
      <c r="M10" s="30"/>
      <c r="N10" s="30"/>
      <c r="O10" s="30"/>
      <c r="P10" s="30"/>
      <c r="Q10" s="30"/>
      <c r="R10" s="30"/>
      <c r="S10" s="30"/>
      <c r="T10" s="30"/>
      <c r="U10" s="30"/>
      <c r="V10" s="31"/>
    </row>
    <row r="11" spans="1:22">
      <c r="A11" s="1" t="s">
        <v>18</v>
      </c>
      <c r="B11" s="29">
        <v>0</v>
      </c>
      <c r="C11" s="30">
        <v>0</v>
      </c>
      <c r="D11" s="30">
        <v>0</v>
      </c>
      <c r="E11" s="30">
        <v>0</v>
      </c>
      <c r="F11" s="30">
        <v>0</v>
      </c>
      <c r="G11" s="31">
        <f>SUM(CO_FINANCIAL)</f>
        <v>0</v>
      </c>
      <c r="H11" s="30"/>
      <c r="I11" s="34"/>
      <c r="J11" s="35"/>
      <c r="K11" s="30"/>
      <c r="L11" s="29"/>
      <c r="M11" s="30"/>
      <c r="N11" s="30"/>
      <c r="O11" s="30"/>
      <c r="P11" s="30"/>
      <c r="Q11" s="30"/>
      <c r="R11" s="30"/>
      <c r="S11" s="30"/>
      <c r="T11" s="30"/>
      <c r="U11" s="30"/>
      <c r="V11" s="31"/>
    </row>
    <row r="12" spans="1:22">
      <c r="A12" s="1" t="s">
        <v>19</v>
      </c>
      <c r="B12" s="29">
        <v>0</v>
      </c>
      <c r="C12" s="30">
        <v>0</v>
      </c>
      <c r="D12" s="30">
        <v>-1789</v>
      </c>
      <c r="E12" s="30">
        <v>0</v>
      </c>
      <c r="F12" s="30">
        <v>0</v>
      </c>
      <c r="G12" s="31">
        <f>SUM(CT_FINANCIAL)</f>
        <v>-1789</v>
      </c>
      <c r="H12" s="30"/>
      <c r="I12" s="34" t="s">
        <v>20</v>
      </c>
      <c r="J12" s="35"/>
      <c r="K12" s="30"/>
      <c r="L12" s="29"/>
      <c r="M12" s="30"/>
      <c r="N12" s="30"/>
      <c r="O12" s="30"/>
      <c r="P12" s="30"/>
      <c r="Q12" s="30"/>
      <c r="R12" s="30"/>
      <c r="S12" s="30"/>
      <c r="T12" s="30"/>
      <c r="U12" s="30"/>
      <c r="V12" s="31"/>
    </row>
    <row r="13" spans="1:22">
      <c r="A13" s="1" t="s">
        <v>21</v>
      </c>
      <c r="B13" s="29">
        <v>6800.1539339442315</v>
      </c>
      <c r="C13" s="30">
        <v>0</v>
      </c>
      <c r="D13" s="30">
        <v>0</v>
      </c>
      <c r="E13" s="30">
        <v>0</v>
      </c>
      <c r="F13" s="30">
        <v>0</v>
      </c>
      <c r="G13" s="31">
        <f>SUM(DE_FINANCIAL)</f>
        <v>6800.1539339442315</v>
      </c>
      <c r="H13" s="30"/>
      <c r="I13" s="34" t="s">
        <v>22</v>
      </c>
      <c r="J13" s="35">
        <v>10602029</v>
      </c>
      <c r="K13" s="30"/>
      <c r="L13" s="29">
        <v>0</v>
      </c>
      <c r="M13" s="30">
        <v>0</v>
      </c>
      <c r="N13" s="30"/>
      <c r="O13" s="30">
        <v>0</v>
      </c>
      <c r="P13" s="30">
        <v>0</v>
      </c>
      <c r="Q13" s="30"/>
      <c r="R13" s="30">
        <v>100000</v>
      </c>
      <c r="S13" s="30">
        <v>0</v>
      </c>
      <c r="T13" s="30"/>
      <c r="U13" s="30">
        <v>0</v>
      </c>
      <c r="V13" s="31">
        <v>0</v>
      </c>
    </row>
    <row r="14" spans="1:22">
      <c r="A14" s="1" t="s">
        <v>23</v>
      </c>
      <c r="B14" s="29">
        <v>0</v>
      </c>
      <c r="C14" s="30">
        <v>0</v>
      </c>
      <c r="D14" s="30">
        <v>0</v>
      </c>
      <c r="E14" s="30">
        <v>0</v>
      </c>
      <c r="F14" s="30">
        <v>0</v>
      </c>
      <c r="G14" s="31">
        <f>SUM(DC_FINANCIAL)</f>
        <v>0</v>
      </c>
      <c r="H14" s="30"/>
      <c r="I14" s="34" t="s">
        <v>24</v>
      </c>
      <c r="J14" s="35">
        <v>3311759.0000000009</v>
      </c>
      <c r="K14" s="30"/>
      <c r="L14" s="29"/>
      <c r="M14" s="30"/>
      <c r="N14" s="30"/>
      <c r="O14" s="30"/>
      <c r="P14" s="30"/>
      <c r="Q14" s="30"/>
      <c r="R14" s="30"/>
      <c r="S14" s="30"/>
      <c r="T14" s="30"/>
      <c r="U14" s="30"/>
      <c r="V14" s="31"/>
    </row>
    <row r="15" spans="1:22">
      <c r="A15" s="1" t="s">
        <v>25</v>
      </c>
      <c r="B15" s="29">
        <v>117323.42673982983</v>
      </c>
      <c r="C15" s="30">
        <v>15297.90363812953</v>
      </c>
      <c r="D15" s="30">
        <v>140443.01369553013</v>
      </c>
      <c r="E15" s="30">
        <v>0</v>
      </c>
      <c r="F15" s="30">
        <v>0</v>
      </c>
      <c r="G15" s="31">
        <f>SUM(FL_FINANCIAL)</f>
        <v>273064.34407348948</v>
      </c>
      <c r="H15" s="30"/>
      <c r="I15" s="34" t="s">
        <v>26</v>
      </c>
      <c r="J15" s="35">
        <v>376931.1</v>
      </c>
      <c r="K15" s="30"/>
      <c r="L15" s="29">
        <v>535000</v>
      </c>
      <c r="M15" s="30">
        <v>0</v>
      </c>
      <c r="N15" s="30"/>
      <c r="O15" s="30">
        <v>65000</v>
      </c>
      <c r="P15" s="30">
        <v>0</v>
      </c>
      <c r="Q15" s="30"/>
      <c r="R15" s="30">
        <v>4900000</v>
      </c>
      <c r="S15" s="30">
        <v>0</v>
      </c>
      <c r="T15" s="30"/>
      <c r="U15" s="30">
        <v>0</v>
      </c>
      <c r="V15" s="31">
        <v>0</v>
      </c>
    </row>
    <row r="16" spans="1:22">
      <c r="A16" s="1" t="s">
        <v>27</v>
      </c>
      <c r="B16" s="29">
        <v>57188.136317366036</v>
      </c>
      <c r="C16" s="30">
        <v>23635.274632298475</v>
      </c>
      <c r="D16" s="30">
        <v>25693.177272457862</v>
      </c>
      <c r="E16" s="30">
        <v>0</v>
      </c>
      <c r="F16" s="30">
        <v>0</v>
      </c>
      <c r="G16" s="31">
        <f>SUM(GA_FINANCIAL)</f>
        <v>106516.58822212237</v>
      </c>
      <c r="H16" s="30"/>
      <c r="I16" s="34" t="s">
        <v>28</v>
      </c>
      <c r="J16" s="35">
        <v>0</v>
      </c>
      <c r="K16" s="30"/>
      <c r="L16" s="29">
        <v>172000</v>
      </c>
      <c r="M16" s="30">
        <v>0</v>
      </c>
      <c r="N16" s="30"/>
      <c r="O16" s="30">
        <v>72000</v>
      </c>
      <c r="P16" s="30">
        <v>739.16</v>
      </c>
      <c r="Q16" s="30"/>
      <c r="R16" s="30">
        <v>1200000</v>
      </c>
      <c r="S16" s="30">
        <v>0</v>
      </c>
      <c r="T16" s="30"/>
      <c r="U16" s="30">
        <v>0</v>
      </c>
      <c r="V16" s="31">
        <v>0</v>
      </c>
    </row>
    <row r="17" spans="1:22">
      <c r="A17" s="1" t="s">
        <v>29</v>
      </c>
      <c r="B17" s="29">
        <v>0</v>
      </c>
      <c r="C17" s="30">
        <v>0</v>
      </c>
      <c r="D17" s="30">
        <v>-41</v>
      </c>
      <c r="E17" s="30">
        <v>0</v>
      </c>
      <c r="F17" s="30">
        <v>0</v>
      </c>
      <c r="G17" s="31">
        <f>SUM(HI_FINANCIAL)</f>
        <v>-41</v>
      </c>
      <c r="H17" s="30"/>
      <c r="I17" s="34"/>
      <c r="J17" s="35"/>
      <c r="K17" s="30"/>
      <c r="L17" s="29"/>
      <c r="M17" s="30"/>
      <c r="N17" s="30"/>
      <c r="O17" s="30"/>
      <c r="P17" s="30"/>
      <c r="Q17" s="30"/>
      <c r="R17" s="30"/>
      <c r="S17" s="30"/>
      <c r="T17" s="30"/>
      <c r="U17" s="30"/>
      <c r="V17" s="31"/>
    </row>
    <row r="18" spans="1:22">
      <c r="A18" s="1" t="s">
        <v>30</v>
      </c>
      <c r="B18" s="29">
        <v>0</v>
      </c>
      <c r="C18" s="30">
        <v>0</v>
      </c>
      <c r="D18" s="30">
        <v>1731</v>
      </c>
      <c r="E18" s="30">
        <v>0</v>
      </c>
      <c r="F18" s="30">
        <v>0</v>
      </c>
      <c r="G18" s="31">
        <f>SUM(ID_FINANCIAL)</f>
        <v>1731</v>
      </c>
      <c r="H18" s="30"/>
      <c r="I18" s="34" t="s">
        <v>31</v>
      </c>
      <c r="J18" s="35"/>
      <c r="K18" s="30"/>
      <c r="L18" s="29"/>
      <c r="M18" s="30"/>
      <c r="N18" s="30"/>
      <c r="O18" s="30"/>
      <c r="P18" s="30"/>
      <c r="Q18" s="30"/>
      <c r="R18" s="30"/>
      <c r="S18" s="30"/>
      <c r="T18" s="30"/>
      <c r="U18" s="30"/>
      <c r="V18" s="31"/>
    </row>
    <row r="19" spans="1:22">
      <c r="A19" s="1" t="s">
        <v>32</v>
      </c>
      <c r="B19" s="29">
        <v>0</v>
      </c>
      <c r="C19" s="30">
        <v>0</v>
      </c>
      <c r="D19" s="30">
        <v>1481</v>
      </c>
      <c r="E19" s="30">
        <v>0</v>
      </c>
      <c r="F19" s="30">
        <v>0</v>
      </c>
      <c r="G19" s="31">
        <f>SUM(IL_FINANCIAL)</f>
        <v>1481</v>
      </c>
      <c r="H19" s="30"/>
      <c r="I19" s="34" t="s">
        <v>33</v>
      </c>
      <c r="J19" s="35">
        <v>858110</v>
      </c>
      <c r="K19" s="30"/>
      <c r="L19" s="29"/>
      <c r="M19" s="30"/>
      <c r="N19" s="30"/>
      <c r="O19" s="30"/>
      <c r="P19" s="30"/>
      <c r="Q19" s="30"/>
      <c r="R19" s="30"/>
      <c r="S19" s="30"/>
      <c r="T19" s="30"/>
      <c r="U19" s="30"/>
      <c r="V19" s="31"/>
    </row>
    <row r="20" spans="1:22">
      <c r="A20" s="1" t="s">
        <v>34</v>
      </c>
      <c r="B20" s="29">
        <v>28063.624257193005</v>
      </c>
      <c r="C20" s="30">
        <v>0</v>
      </c>
      <c r="D20" s="30">
        <v>10965.162655968248</v>
      </c>
      <c r="E20" s="30">
        <v>0</v>
      </c>
      <c r="F20" s="30">
        <v>0</v>
      </c>
      <c r="G20" s="31">
        <f>SUM(IN_FINANCIAL)</f>
        <v>39028.786913161253</v>
      </c>
      <c r="H20" s="30"/>
      <c r="I20" s="34" t="s">
        <v>35</v>
      </c>
      <c r="J20" s="35">
        <v>10356665.249743806</v>
      </c>
      <c r="K20" s="30"/>
      <c r="L20" s="29">
        <v>0</v>
      </c>
      <c r="M20" s="30">
        <v>0</v>
      </c>
      <c r="N20" s="30"/>
      <c r="O20" s="30">
        <v>0</v>
      </c>
      <c r="P20" s="30">
        <v>0</v>
      </c>
      <c r="Q20" s="30"/>
      <c r="R20" s="30">
        <v>590456</v>
      </c>
      <c r="S20" s="30">
        <v>0</v>
      </c>
      <c r="T20" s="30"/>
      <c r="U20" s="30">
        <v>0</v>
      </c>
      <c r="V20" s="31">
        <v>0</v>
      </c>
    </row>
    <row r="21" spans="1:22">
      <c r="A21" s="1" t="s">
        <v>36</v>
      </c>
      <c r="B21" s="29">
        <v>0</v>
      </c>
      <c r="C21" s="30">
        <v>0</v>
      </c>
      <c r="D21" s="30">
        <v>54</v>
      </c>
      <c r="E21" s="30">
        <v>0</v>
      </c>
      <c r="F21" s="30">
        <v>0</v>
      </c>
      <c r="G21" s="31">
        <f>SUM(IA_FINANCIAL)</f>
        <v>54</v>
      </c>
      <c r="H21" s="30"/>
      <c r="I21" s="34" t="s">
        <v>37</v>
      </c>
      <c r="J21" s="35"/>
      <c r="K21" s="30"/>
      <c r="L21" s="29"/>
      <c r="M21" s="30"/>
      <c r="N21" s="30"/>
      <c r="O21" s="30"/>
      <c r="P21" s="30"/>
      <c r="Q21" s="30"/>
      <c r="R21" s="30"/>
      <c r="S21" s="30"/>
      <c r="T21" s="30"/>
      <c r="U21" s="30"/>
      <c r="V21" s="31"/>
    </row>
    <row r="22" spans="1:22">
      <c r="A22" s="1" t="s">
        <v>38</v>
      </c>
      <c r="B22" s="29">
        <v>0</v>
      </c>
      <c r="C22" s="30">
        <v>0</v>
      </c>
      <c r="D22" s="30">
        <v>379</v>
      </c>
      <c r="E22" s="30">
        <v>0</v>
      </c>
      <c r="F22" s="30">
        <v>0</v>
      </c>
      <c r="G22" s="31">
        <f>SUM(KS_FINANCIAL)</f>
        <v>379</v>
      </c>
      <c r="H22" s="30"/>
      <c r="I22" s="34" t="s">
        <v>39</v>
      </c>
      <c r="J22" s="35">
        <v>418260</v>
      </c>
      <c r="K22" s="30"/>
      <c r="L22" s="29"/>
      <c r="M22" s="30"/>
      <c r="N22" s="30"/>
      <c r="O22" s="30"/>
      <c r="P22" s="30"/>
      <c r="Q22" s="30"/>
      <c r="R22" s="30"/>
      <c r="S22" s="30"/>
      <c r="T22" s="30"/>
      <c r="U22" s="30"/>
      <c r="V22" s="31"/>
    </row>
    <row r="23" spans="1:22">
      <c r="A23" s="1" t="s">
        <v>40</v>
      </c>
      <c r="B23" s="29">
        <v>0</v>
      </c>
      <c r="C23" s="30">
        <v>0</v>
      </c>
      <c r="D23" s="30">
        <v>80646.268806073815</v>
      </c>
      <c r="E23" s="30">
        <v>0</v>
      </c>
      <c r="F23" s="30">
        <v>0</v>
      </c>
      <c r="G23" s="31">
        <f>SUM(KY_FINANCIAL)</f>
        <v>80646.268806073815</v>
      </c>
      <c r="H23" s="30"/>
      <c r="I23" s="34" t="s">
        <v>41</v>
      </c>
      <c r="J23" s="35"/>
      <c r="K23" s="30"/>
      <c r="L23" s="29">
        <v>2378202</v>
      </c>
      <c r="M23" s="30">
        <v>1606905.95</v>
      </c>
      <c r="N23" s="30"/>
      <c r="O23" s="30">
        <v>0</v>
      </c>
      <c r="P23" s="30">
        <v>0</v>
      </c>
      <c r="Q23" s="30"/>
      <c r="R23" s="30">
        <v>374000</v>
      </c>
      <c r="S23" s="30">
        <v>175940</v>
      </c>
      <c r="T23" s="30"/>
      <c r="U23" s="30">
        <v>0</v>
      </c>
      <c r="V23" s="31">
        <v>0</v>
      </c>
    </row>
    <row r="24" spans="1:22">
      <c r="A24" s="1" t="s">
        <v>42</v>
      </c>
      <c r="B24" s="29">
        <v>0</v>
      </c>
      <c r="C24" s="30">
        <v>0</v>
      </c>
      <c r="D24" s="30">
        <v>0</v>
      </c>
      <c r="E24" s="30">
        <v>0</v>
      </c>
      <c r="F24" s="30">
        <v>0</v>
      </c>
      <c r="G24" s="31">
        <f>SUM(LA_FINANCIAL)</f>
        <v>0</v>
      </c>
      <c r="H24" s="30"/>
      <c r="I24" s="34" t="s">
        <v>43</v>
      </c>
      <c r="J24" s="35">
        <v>17058382.000000004</v>
      </c>
      <c r="K24" s="30"/>
      <c r="L24" s="29"/>
      <c r="M24" s="30"/>
      <c r="N24" s="30"/>
      <c r="O24" s="30"/>
      <c r="P24" s="30"/>
      <c r="Q24" s="30"/>
      <c r="R24" s="30"/>
      <c r="S24" s="30"/>
      <c r="T24" s="30"/>
      <c r="U24" s="30"/>
      <c r="V24" s="31"/>
    </row>
    <row r="25" spans="1:22">
      <c r="A25" s="1" t="s">
        <v>44</v>
      </c>
      <c r="B25" s="29">
        <v>0</v>
      </c>
      <c r="C25" s="30">
        <v>0</v>
      </c>
      <c r="D25" s="30">
        <v>0</v>
      </c>
      <c r="E25" s="30">
        <v>0</v>
      </c>
      <c r="F25" s="30">
        <v>0</v>
      </c>
      <c r="G25" s="31">
        <f>SUM(ME_FINANCIAL)</f>
        <v>0</v>
      </c>
      <c r="H25" s="30"/>
      <c r="I25" s="34"/>
      <c r="J25" s="35"/>
      <c r="K25" s="30"/>
      <c r="L25" s="29"/>
      <c r="M25" s="30"/>
      <c r="N25" s="30"/>
      <c r="O25" s="30"/>
      <c r="P25" s="30"/>
      <c r="Q25" s="30"/>
      <c r="R25" s="30"/>
      <c r="S25" s="30"/>
      <c r="T25" s="30"/>
      <c r="U25" s="30"/>
      <c r="V25" s="31"/>
    </row>
    <row r="26" spans="1:22">
      <c r="A26" s="1" t="s">
        <v>45</v>
      </c>
      <c r="B26" s="29">
        <v>24110.003987351927</v>
      </c>
      <c r="C26" s="30">
        <v>0</v>
      </c>
      <c r="D26" s="30">
        <v>554.59020213100348</v>
      </c>
      <c r="E26" s="30">
        <v>0</v>
      </c>
      <c r="F26" s="30">
        <v>0</v>
      </c>
      <c r="G26" s="31">
        <f>SUM(MD_FINANCIAL)</f>
        <v>24664.59418948293</v>
      </c>
      <c r="H26" s="30"/>
      <c r="I26" s="34" t="s">
        <v>46</v>
      </c>
      <c r="J26" s="35">
        <f>SUM(ADD_FINANCIAL)-SUM(LESS_FINANCIAL)</f>
        <v>1804983.099999994</v>
      </c>
      <c r="K26" s="30"/>
      <c r="L26" s="29">
        <v>400000</v>
      </c>
      <c r="M26" s="30">
        <v>0</v>
      </c>
      <c r="N26" s="30"/>
      <c r="O26" s="30">
        <v>0</v>
      </c>
      <c r="P26" s="30">
        <v>0</v>
      </c>
      <c r="Q26" s="30"/>
      <c r="R26" s="30">
        <v>0</v>
      </c>
      <c r="S26" s="30">
        <v>0</v>
      </c>
      <c r="T26" s="30"/>
      <c r="U26" s="30">
        <v>0</v>
      </c>
      <c r="V26" s="31">
        <v>0</v>
      </c>
    </row>
    <row r="27" spans="1:22">
      <c r="A27" s="1" t="s">
        <v>47</v>
      </c>
      <c r="B27" s="29">
        <v>0</v>
      </c>
      <c r="C27" s="30">
        <v>0</v>
      </c>
      <c r="D27" s="30">
        <v>1377</v>
      </c>
      <c r="E27" s="30">
        <v>0</v>
      </c>
      <c r="F27" s="30">
        <v>0</v>
      </c>
      <c r="G27" s="31">
        <f>SUM(MA_FINANCIAL)</f>
        <v>1377</v>
      </c>
      <c r="H27" s="30"/>
      <c r="I27" s="34" t="s">
        <v>48</v>
      </c>
      <c r="J27" s="35">
        <f>SUM(ALL_BLOCKS)</f>
        <v>1804983.0999999994</v>
      </c>
      <c r="K27" s="30"/>
      <c r="L27" s="29"/>
      <c r="M27" s="30"/>
      <c r="N27" s="30"/>
      <c r="O27" s="30"/>
      <c r="P27" s="30"/>
      <c r="Q27" s="30"/>
      <c r="R27" s="30"/>
      <c r="S27" s="30"/>
      <c r="T27" s="30"/>
      <c r="U27" s="30"/>
      <c r="V27" s="31"/>
    </row>
    <row r="28" spans="1:22">
      <c r="A28" s="1" t="s">
        <v>49</v>
      </c>
      <c r="B28" s="29">
        <v>0</v>
      </c>
      <c r="C28" s="30">
        <v>0</v>
      </c>
      <c r="D28" s="30">
        <v>4098</v>
      </c>
      <c r="E28" s="30">
        <v>0</v>
      </c>
      <c r="F28" s="30">
        <v>0</v>
      </c>
      <c r="G28" s="31">
        <f>SUM(MI_FINANCIAL)</f>
        <v>4098</v>
      </c>
      <c r="H28" s="30"/>
      <c r="I28" s="36"/>
      <c r="J28" s="37"/>
      <c r="K28" s="30"/>
      <c r="L28" s="29"/>
      <c r="M28" s="30"/>
      <c r="N28" s="30"/>
      <c r="O28" s="30"/>
      <c r="P28" s="30"/>
      <c r="Q28" s="30"/>
      <c r="R28" s="30"/>
      <c r="S28" s="30"/>
      <c r="T28" s="30"/>
      <c r="U28" s="30"/>
      <c r="V28" s="31"/>
    </row>
    <row r="29" spans="1:22">
      <c r="A29" s="1" t="s">
        <v>50</v>
      </c>
      <c r="B29" s="29">
        <v>0</v>
      </c>
      <c r="C29" s="30">
        <v>0</v>
      </c>
      <c r="D29" s="30">
        <v>1811</v>
      </c>
      <c r="E29" s="30">
        <v>0</v>
      </c>
      <c r="F29" s="30">
        <v>0</v>
      </c>
      <c r="G29" s="31">
        <f>SUM(MN_FINANCIAL)</f>
        <v>1811</v>
      </c>
      <c r="H29" s="30"/>
      <c r="I29" s="30"/>
      <c r="J29" s="30"/>
      <c r="K29" s="30"/>
      <c r="L29" s="29"/>
      <c r="M29" s="30"/>
      <c r="N29" s="30"/>
      <c r="O29" s="30"/>
      <c r="P29" s="30"/>
      <c r="Q29" s="30"/>
      <c r="R29" s="30"/>
      <c r="S29" s="30"/>
      <c r="T29" s="30"/>
      <c r="U29" s="30"/>
      <c r="V29" s="31"/>
    </row>
    <row r="30" spans="1:22">
      <c r="A30" s="1" t="s">
        <v>51</v>
      </c>
      <c r="B30" s="29">
        <v>0</v>
      </c>
      <c r="C30" s="30">
        <v>0</v>
      </c>
      <c r="D30" s="30">
        <v>849</v>
      </c>
      <c r="E30" s="30">
        <v>0</v>
      </c>
      <c r="F30" s="30">
        <v>0</v>
      </c>
      <c r="G30" s="31">
        <f>SUM(MS_FINANCIAL)</f>
        <v>849</v>
      </c>
      <c r="H30" s="30"/>
      <c r="I30" s="30"/>
      <c r="J30" s="30"/>
      <c r="K30" s="30"/>
      <c r="L30" s="29"/>
      <c r="M30" s="30"/>
      <c r="N30" s="30"/>
      <c r="O30" s="30"/>
      <c r="P30" s="30"/>
      <c r="Q30" s="30"/>
      <c r="R30" s="30"/>
      <c r="S30" s="30"/>
      <c r="T30" s="30"/>
      <c r="U30" s="30"/>
      <c r="V30" s="31"/>
    </row>
    <row r="31" spans="1:22">
      <c r="A31" s="1" t="s">
        <v>52</v>
      </c>
      <c r="B31" s="29">
        <v>6523.0186946637696</v>
      </c>
      <c r="C31" s="30">
        <v>1063.6274260439714</v>
      </c>
      <c r="D31" s="30">
        <v>1134.9039395584368</v>
      </c>
      <c r="E31" s="30">
        <v>0</v>
      </c>
      <c r="F31" s="30">
        <v>0</v>
      </c>
      <c r="G31" s="31">
        <f>SUM(MO_FINANCIAL)</f>
        <v>8721.5500602661778</v>
      </c>
      <c r="H31" s="30"/>
      <c r="I31" s="30"/>
      <c r="J31" s="30"/>
      <c r="K31" s="30"/>
      <c r="L31" s="29">
        <v>25000</v>
      </c>
      <c r="M31" s="30">
        <v>0</v>
      </c>
      <c r="N31" s="30"/>
      <c r="O31" s="30">
        <v>0</v>
      </c>
      <c r="P31" s="30">
        <v>0</v>
      </c>
      <c r="Q31" s="30"/>
      <c r="R31" s="30">
        <v>25000</v>
      </c>
      <c r="S31" s="30">
        <v>0</v>
      </c>
      <c r="T31" s="30"/>
      <c r="U31" s="30">
        <v>0</v>
      </c>
      <c r="V31" s="31">
        <v>0</v>
      </c>
    </row>
    <row r="32" spans="1:22">
      <c r="A32" s="1" t="s">
        <v>53</v>
      </c>
      <c r="B32" s="29">
        <v>0</v>
      </c>
      <c r="C32" s="30">
        <v>0</v>
      </c>
      <c r="D32" s="30">
        <v>0</v>
      </c>
      <c r="E32" s="30">
        <v>0</v>
      </c>
      <c r="F32" s="30">
        <v>0</v>
      </c>
      <c r="G32" s="31">
        <f>SUM(MT_FINANCIAL)</f>
        <v>0</v>
      </c>
      <c r="H32" s="30"/>
      <c r="I32" s="30"/>
      <c r="J32" s="30"/>
      <c r="K32" s="30"/>
      <c r="L32" s="29"/>
      <c r="M32" s="30"/>
      <c r="N32" s="30"/>
      <c r="O32" s="30"/>
      <c r="P32" s="30"/>
      <c r="Q32" s="30"/>
      <c r="R32" s="30"/>
      <c r="S32" s="30"/>
      <c r="T32" s="30"/>
      <c r="U32" s="30"/>
      <c r="V32" s="31"/>
    </row>
    <row r="33" spans="1:22">
      <c r="A33" s="1" t="s">
        <v>54</v>
      </c>
      <c r="B33" s="29">
        <v>0</v>
      </c>
      <c r="C33" s="30">
        <v>0</v>
      </c>
      <c r="D33" s="30">
        <v>0</v>
      </c>
      <c r="E33" s="30">
        <v>0</v>
      </c>
      <c r="F33" s="30">
        <v>0</v>
      </c>
      <c r="G33" s="31">
        <f>SUM(NE_FINANCIAL)</f>
        <v>0</v>
      </c>
      <c r="H33" s="30"/>
      <c r="I33" s="30"/>
      <c r="J33" s="30"/>
      <c r="K33" s="30"/>
      <c r="L33" s="29"/>
      <c r="M33" s="30"/>
      <c r="N33" s="30"/>
      <c r="O33" s="30"/>
      <c r="P33" s="30"/>
      <c r="Q33" s="30"/>
      <c r="R33" s="30"/>
      <c r="S33" s="30"/>
      <c r="T33" s="30"/>
      <c r="U33" s="30"/>
      <c r="V33" s="31"/>
    </row>
    <row r="34" spans="1:22">
      <c r="A34" s="1" t="s">
        <v>55</v>
      </c>
      <c r="B34" s="29">
        <v>0</v>
      </c>
      <c r="C34" s="30">
        <v>0</v>
      </c>
      <c r="D34" s="30">
        <v>0</v>
      </c>
      <c r="E34" s="30">
        <v>0</v>
      </c>
      <c r="F34" s="30">
        <v>0</v>
      </c>
      <c r="G34" s="31">
        <f>SUM(NV_FINANCIAL)</f>
        <v>0</v>
      </c>
      <c r="H34" s="30"/>
      <c r="I34" s="30"/>
      <c r="J34" s="30"/>
      <c r="K34" s="30"/>
      <c r="L34" s="29"/>
      <c r="M34" s="30"/>
      <c r="N34" s="30"/>
      <c r="O34" s="30"/>
      <c r="P34" s="30"/>
      <c r="Q34" s="30"/>
      <c r="R34" s="30"/>
      <c r="S34" s="30"/>
      <c r="T34" s="30"/>
      <c r="U34" s="30"/>
      <c r="V34" s="31"/>
    </row>
    <row r="35" spans="1:22">
      <c r="A35" s="1" t="s">
        <v>56</v>
      </c>
      <c r="B35" s="29">
        <v>0</v>
      </c>
      <c r="C35" s="30">
        <v>0</v>
      </c>
      <c r="D35" s="30">
        <v>1051</v>
      </c>
      <c r="E35" s="30">
        <v>0</v>
      </c>
      <c r="F35" s="30">
        <v>0</v>
      </c>
      <c r="G35" s="31">
        <f>SUM(NH_FINANCIAL)</f>
        <v>1051</v>
      </c>
      <c r="H35" s="30"/>
      <c r="I35" s="30"/>
      <c r="J35" s="30"/>
      <c r="K35" s="30"/>
      <c r="L35" s="29"/>
      <c r="M35" s="30"/>
      <c r="N35" s="30"/>
      <c r="O35" s="30"/>
      <c r="P35" s="30"/>
      <c r="Q35" s="30"/>
      <c r="R35" s="30"/>
      <c r="S35" s="30"/>
      <c r="T35" s="30"/>
      <c r="U35" s="30"/>
      <c r="V35" s="31"/>
    </row>
    <row r="36" spans="1:22">
      <c r="A36" s="1" t="s">
        <v>57</v>
      </c>
      <c r="B36" s="29">
        <v>0</v>
      </c>
      <c r="C36" s="30">
        <v>0</v>
      </c>
      <c r="D36" s="30">
        <v>0</v>
      </c>
      <c r="E36" s="30">
        <v>0</v>
      </c>
      <c r="F36" s="30">
        <v>0</v>
      </c>
      <c r="G36" s="31">
        <f>SUM(NJ_FINANCIAL)</f>
        <v>0</v>
      </c>
      <c r="H36" s="30"/>
      <c r="I36" s="30"/>
      <c r="J36" s="30"/>
      <c r="K36" s="30"/>
      <c r="L36" s="29"/>
      <c r="M36" s="30"/>
      <c r="N36" s="30"/>
      <c r="O36" s="30"/>
      <c r="P36" s="30"/>
      <c r="Q36" s="30"/>
      <c r="R36" s="30"/>
      <c r="S36" s="30"/>
      <c r="T36" s="30"/>
      <c r="U36" s="30"/>
      <c r="V36" s="31"/>
    </row>
    <row r="37" spans="1:22">
      <c r="A37" s="1" t="s">
        <v>58</v>
      </c>
      <c r="B37" s="29">
        <v>0</v>
      </c>
      <c r="C37" s="30">
        <v>0</v>
      </c>
      <c r="D37" s="30">
        <v>0</v>
      </c>
      <c r="E37" s="30">
        <v>0</v>
      </c>
      <c r="F37" s="30">
        <v>0</v>
      </c>
      <c r="G37" s="31">
        <f>SUM(NM_FINANCIAL)</f>
        <v>0</v>
      </c>
      <c r="H37" s="30"/>
      <c r="I37" s="30"/>
      <c r="J37" s="30"/>
      <c r="K37" s="30"/>
      <c r="L37" s="29"/>
      <c r="M37" s="30"/>
      <c r="N37" s="30"/>
      <c r="O37" s="30"/>
      <c r="P37" s="30"/>
      <c r="Q37" s="30"/>
      <c r="R37" s="30"/>
      <c r="S37" s="30"/>
      <c r="T37" s="30"/>
      <c r="U37" s="30"/>
      <c r="V37" s="31"/>
    </row>
    <row r="38" spans="1:22">
      <c r="A38" s="1" t="s">
        <v>59</v>
      </c>
      <c r="B38" s="29">
        <v>0</v>
      </c>
      <c r="C38" s="30">
        <v>0</v>
      </c>
      <c r="D38" s="30">
        <v>3814</v>
      </c>
      <c r="E38" s="30">
        <v>0</v>
      </c>
      <c r="F38" s="30">
        <v>0</v>
      </c>
      <c r="G38" s="31">
        <f>SUM(NY_FINANCIAL)</f>
        <v>3814</v>
      </c>
      <c r="H38" s="30"/>
      <c r="I38" s="30"/>
      <c r="J38" s="30"/>
      <c r="K38" s="30"/>
      <c r="L38" s="29"/>
      <c r="M38" s="30"/>
      <c r="N38" s="30"/>
      <c r="O38" s="30"/>
      <c r="P38" s="30"/>
      <c r="Q38" s="30"/>
      <c r="R38" s="30"/>
      <c r="S38" s="30"/>
      <c r="T38" s="30"/>
      <c r="U38" s="30"/>
      <c r="V38" s="31"/>
    </row>
    <row r="39" spans="1:22">
      <c r="A39" s="1" t="s">
        <v>60</v>
      </c>
      <c r="B39" s="29">
        <v>-5479.290048263385</v>
      </c>
      <c r="C39" s="30">
        <v>0</v>
      </c>
      <c r="D39" s="30">
        <v>0</v>
      </c>
      <c r="E39" s="30">
        <v>0</v>
      </c>
      <c r="F39" s="30">
        <v>0</v>
      </c>
      <c r="G39" s="31">
        <f>SUM(NC_FINANCIAL)</f>
        <v>-5479.290048263385</v>
      </c>
      <c r="H39" s="30"/>
      <c r="I39" s="30"/>
      <c r="J39" s="30"/>
      <c r="K39" s="30"/>
      <c r="L39" s="29"/>
      <c r="M39" s="30"/>
      <c r="N39" s="30"/>
      <c r="O39" s="30"/>
      <c r="P39" s="30"/>
      <c r="Q39" s="30"/>
      <c r="R39" s="30"/>
      <c r="S39" s="30"/>
      <c r="T39" s="30"/>
      <c r="U39" s="30"/>
      <c r="V39" s="31"/>
    </row>
    <row r="40" spans="1:22">
      <c r="A40" s="1" t="s">
        <v>61</v>
      </c>
      <c r="B40" s="29">
        <v>0</v>
      </c>
      <c r="C40" s="30">
        <v>0</v>
      </c>
      <c r="D40" s="30">
        <v>0</v>
      </c>
      <c r="E40" s="30">
        <v>0</v>
      </c>
      <c r="F40" s="30">
        <v>0</v>
      </c>
      <c r="G40" s="31">
        <f>SUM(ND_FINANCIAL)</f>
        <v>0</v>
      </c>
      <c r="H40" s="30"/>
      <c r="I40" s="30"/>
      <c r="J40" s="30"/>
      <c r="K40" s="30"/>
      <c r="L40" s="29"/>
      <c r="M40" s="30"/>
      <c r="N40" s="30"/>
      <c r="O40" s="30"/>
      <c r="P40" s="30"/>
      <c r="Q40" s="30"/>
      <c r="R40" s="30"/>
      <c r="S40" s="30"/>
      <c r="T40" s="30"/>
      <c r="U40" s="30"/>
      <c r="V40" s="31"/>
    </row>
    <row r="41" spans="1:22">
      <c r="A41" s="1" t="s">
        <v>62</v>
      </c>
      <c r="B41" s="29">
        <v>0</v>
      </c>
      <c r="C41" s="30">
        <v>0</v>
      </c>
      <c r="D41" s="30">
        <v>2817</v>
      </c>
      <c r="E41" s="30">
        <v>0</v>
      </c>
      <c r="F41" s="30">
        <v>0</v>
      </c>
      <c r="G41" s="31">
        <f>SUM(OH_FINANCIAL)</f>
        <v>2817</v>
      </c>
      <c r="H41" s="30"/>
      <c r="I41" s="30"/>
      <c r="J41" s="30"/>
      <c r="K41" s="30"/>
      <c r="L41" s="29"/>
      <c r="M41" s="30"/>
      <c r="N41" s="30"/>
      <c r="O41" s="30"/>
      <c r="P41" s="30"/>
      <c r="Q41" s="30"/>
      <c r="R41" s="30"/>
      <c r="S41" s="30"/>
      <c r="T41" s="30"/>
      <c r="U41" s="30"/>
      <c r="V41" s="31"/>
    </row>
    <row r="42" spans="1:22">
      <c r="A42" s="1" t="s">
        <v>63</v>
      </c>
      <c r="B42" s="29">
        <v>20582.119561954081</v>
      </c>
      <c r="C42" s="30">
        <v>1118.7967510752405</v>
      </c>
      <c r="D42" s="30">
        <v>1701.9993128059486</v>
      </c>
      <c r="E42" s="30">
        <v>0</v>
      </c>
      <c r="F42" s="30">
        <v>0</v>
      </c>
      <c r="G42" s="31">
        <f>SUM(OK_FINANCIAL)</f>
        <v>23402.915625835274</v>
      </c>
      <c r="H42" s="30"/>
      <c r="I42" s="30"/>
      <c r="J42" s="30"/>
      <c r="K42" s="30"/>
      <c r="L42" s="29">
        <v>40000</v>
      </c>
      <c r="M42" s="30">
        <v>17600</v>
      </c>
      <c r="N42" s="30"/>
      <c r="O42" s="30">
        <v>0</v>
      </c>
      <c r="P42" s="30">
        <v>0</v>
      </c>
      <c r="Q42" s="30"/>
      <c r="R42" s="30">
        <v>210000</v>
      </c>
      <c r="S42" s="30">
        <v>92400</v>
      </c>
      <c r="T42" s="30"/>
      <c r="U42" s="30">
        <v>0</v>
      </c>
      <c r="V42" s="31">
        <v>0</v>
      </c>
    </row>
    <row r="43" spans="1:22">
      <c r="A43" s="1" t="s">
        <v>64</v>
      </c>
      <c r="B43" s="29">
        <v>0</v>
      </c>
      <c r="C43" s="30">
        <v>0</v>
      </c>
      <c r="D43" s="30">
        <v>62</v>
      </c>
      <c r="E43" s="30">
        <v>0</v>
      </c>
      <c r="F43" s="30">
        <v>0</v>
      </c>
      <c r="G43" s="31">
        <f>SUM(OR_FINANCIAL)</f>
        <v>62</v>
      </c>
      <c r="H43" s="30"/>
      <c r="I43" s="30"/>
      <c r="J43" s="30"/>
      <c r="K43" s="30"/>
      <c r="L43" s="29"/>
      <c r="M43" s="30"/>
      <c r="N43" s="30"/>
      <c r="O43" s="30"/>
      <c r="P43" s="30"/>
      <c r="Q43" s="30"/>
      <c r="R43" s="30"/>
      <c r="S43" s="30"/>
      <c r="T43" s="30"/>
      <c r="U43" s="30"/>
      <c r="V43" s="31"/>
    </row>
    <row r="44" spans="1:22">
      <c r="A44" s="1" t="s">
        <v>65</v>
      </c>
      <c r="B44" s="29">
        <v>42271.624010259926</v>
      </c>
      <c r="C44" s="30">
        <v>383.89373805976311</v>
      </c>
      <c r="D44" s="30">
        <v>922.93536408814907</v>
      </c>
      <c r="E44" s="30">
        <v>0</v>
      </c>
      <c r="F44" s="30">
        <v>0</v>
      </c>
      <c r="G44" s="31">
        <f>SUM(PA_FINANCIAL)</f>
        <v>43578.453112407835</v>
      </c>
      <c r="H44" s="30"/>
      <c r="I44" s="30"/>
      <c r="J44" s="30"/>
      <c r="K44" s="30"/>
      <c r="L44" s="29">
        <v>249570</v>
      </c>
      <c r="M44" s="30">
        <v>0</v>
      </c>
      <c r="N44" s="30"/>
      <c r="O44" s="30">
        <v>0</v>
      </c>
      <c r="P44" s="30">
        <v>0</v>
      </c>
      <c r="Q44" s="30"/>
      <c r="R44" s="30">
        <v>750420</v>
      </c>
      <c r="S44" s="30">
        <v>0</v>
      </c>
      <c r="T44" s="30"/>
      <c r="U44" s="30">
        <v>0</v>
      </c>
      <c r="V44" s="31">
        <v>0</v>
      </c>
    </row>
    <row r="45" spans="1:22">
      <c r="A45" s="1" t="s">
        <v>66</v>
      </c>
      <c r="B45" s="29">
        <v>0</v>
      </c>
      <c r="C45" s="30">
        <v>0</v>
      </c>
      <c r="D45" s="30">
        <v>0</v>
      </c>
      <c r="E45" s="30">
        <v>0</v>
      </c>
      <c r="F45" s="30">
        <v>0</v>
      </c>
      <c r="G45" s="31">
        <f>SUM(PR_FINANCIAL)</f>
        <v>0</v>
      </c>
      <c r="H45" s="30"/>
      <c r="I45" s="30"/>
      <c r="J45" s="30"/>
      <c r="K45" s="30"/>
      <c r="L45" s="29"/>
      <c r="M45" s="30"/>
      <c r="N45" s="30"/>
      <c r="O45" s="30"/>
      <c r="P45" s="30"/>
      <c r="Q45" s="30"/>
      <c r="R45" s="30"/>
      <c r="S45" s="30"/>
      <c r="T45" s="30"/>
      <c r="U45" s="30"/>
      <c r="V45" s="31"/>
    </row>
    <row r="46" spans="1:22">
      <c r="A46" s="1" t="s">
        <v>67</v>
      </c>
      <c r="B46" s="29">
        <v>0</v>
      </c>
      <c r="C46" s="30">
        <v>0</v>
      </c>
      <c r="D46" s="30">
        <v>5</v>
      </c>
      <c r="E46" s="30">
        <v>0</v>
      </c>
      <c r="F46" s="30">
        <v>0</v>
      </c>
      <c r="G46" s="31">
        <f>SUM(RI_FINANCIAL)</f>
        <v>5</v>
      </c>
      <c r="H46" s="30"/>
      <c r="I46" s="30"/>
      <c r="J46" s="30"/>
      <c r="K46" s="30"/>
      <c r="L46" s="29"/>
      <c r="M46" s="30"/>
      <c r="N46" s="30"/>
      <c r="O46" s="30"/>
      <c r="P46" s="30"/>
      <c r="Q46" s="30"/>
      <c r="R46" s="30"/>
      <c r="S46" s="30"/>
      <c r="T46" s="30"/>
      <c r="U46" s="30"/>
      <c r="V46" s="31"/>
    </row>
    <row r="47" spans="1:22">
      <c r="A47" s="1" t="s">
        <v>68</v>
      </c>
      <c r="B47" s="29">
        <v>213441.95142118959</v>
      </c>
      <c r="C47" s="30">
        <v>10440.076605862218</v>
      </c>
      <c r="D47" s="30">
        <v>0</v>
      </c>
      <c r="E47" s="30">
        <v>0</v>
      </c>
      <c r="F47" s="30">
        <v>0</v>
      </c>
      <c r="G47" s="31">
        <f>SUM(SC_FINANCIAL)</f>
        <v>223882.0280270518</v>
      </c>
      <c r="H47" s="30"/>
      <c r="I47" s="30"/>
      <c r="J47" s="30"/>
      <c r="K47" s="30"/>
      <c r="L47" s="29"/>
      <c r="M47" s="30"/>
      <c r="N47" s="30"/>
      <c r="O47" s="30"/>
      <c r="P47" s="30"/>
      <c r="Q47" s="30"/>
      <c r="R47" s="30"/>
      <c r="S47" s="30"/>
      <c r="T47" s="30"/>
      <c r="U47" s="30"/>
      <c r="V47" s="31"/>
    </row>
    <row r="48" spans="1:22">
      <c r="A48" s="1" t="s">
        <v>69</v>
      </c>
      <c r="B48" s="29">
        <v>0</v>
      </c>
      <c r="C48" s="30">
        <v>0</v>
      </c>
      <c r="D48" s="30">
        <v>0</v>
      </c>
      <c r="E48" s="30">
        <v>0</v>
      </c>
      <c r="F48" s="30">
        <v>0</v>
      </c>
      <c r="G48" s="31">
        <f>SUM(SD_FINANCIAL)</f>
        <v>0</v>
      </c>
      <c r="H48" s="30"/>
      <c r="I48" s="30"/>
      <c r="J48" s="30"/>
      <c r="K48" s="30"/>
      <c r="L48" s="29"/>
      <c r="M48" s="30"/>
      <c r="N48" s="30"/>
      <c r="O48" s="30"/>
      <c r="P48" s="30"/>
      <c r="Q48" s="30"/>
      <c r="R48" s="30"/>
      <c r="S48" s="30"/>
      <c r="T48" s="30"/>
      <c r="U48" s="30"/>
      <c r="V48" s="31"/>
    </row>
    <row r="49" spans="1:22">
      <c r="A49" s="1" t="s">
        <v>70</v>
      </c>
      <c r="B49" s="29">
        <v>15968.545206963638</v>
      </c>
      <c r="C49" s="30">
        <v>0</v>
      </c>
      <c r="D49" s="30">
        <v>1085.6888401498763</v>
      </c>
      <c r="E49" s="30">
        <v>0</v>
      </c>
      <c r="F49" s="30">
        <v>0</v>
      </c>
      <c r="G49" s="31">
        <f>SUM(TN_FINANCIAL)</f>
        <v>17054.234047113514</v>
      </c>
      <c r="H49" s="30"/>
      <c r="I49" s="30"/>
      <c r="J49" s="30"/>
      <c r="K49" s="30"/>
      <c r="L49" s="29">
        <v>200000</v>
      </c>
      <c r="M49" s="30">
        <v>0</v>
      </c>
      <c r="N49" s="30"/>
      <c r="O49" s="30">
        <v>0</v>
      </c>
      <c r="P49" s="30">
        <v>0</v>
      </c>
      <c r="Q49" s="30"/>
      <c r="R49" s="30">
        <v>53000</v>
      </c>
      <c r="S49" s="30">
        <v>0</v>
      </c>
      <c r="T49" s="30"/>
      <c r="U49" s="30">
        <v>0</v>
      </c>
      <c r="V49" s="31">
        <v>0</v>
      </c>
    </row>
    <row r="50" spans="1:22">
      <c r="A50" s="1" t="s">
        <v>71</v>
      </c>
      <c r="B50" s="29">
        <v>92655.276825762587</v>
      </c>
      <c r="C50" s="30">
        <v>0</v>
      </c>
      <c r="D50" s="30">
        <v>0</v>
      </c>
      <c r="E50" s="30">
        <v>0</v>
      </c>
      <c r="F50" s="30">
        <v>0</v>
      </c>
      <c r="G50" s="31">
        <f>SUM(TX_FINANCIAL)</f>
        <v>92655.276825762587</v>
      </c>
      <c r="H50" s="30"/>
      <c r="I50" s="30"/>
      <c r="J50" s="30"/>
      <c r="K50" s="30"/>
      <c r="L50" s="29">
        <v>65397</v>
      </c>
      <c r="M50" s="30">
        <v>151779.33250000002</v>
      </c>
      <c r="N50" s="30"/>
      <c r="O50" s="30">
        <v>0</v>
      </c>
      <c r="P50" s="30">
        <v>0</v>
      </c>
      <c r="Q50" s="30"/>
      <c r="R50" s="30">
        <v>1359712</v>
      </c>
      <c r="S50" s="30">
        <v>1266259.6675</v>
      </c>
      <c r="T50" s="30"/>
      <c r="U50" s="30">
        <v>0</v>
      </c>
      <c r="V50" s="31">
        <v>0</v>
      </c>
    </row>
    <row r="51" spans="1:22">
      <c r="A51" s="1" t="s">
        <v>72</v>
      </c>
      <c r="B51" s="29">
        <v>0</v>
      </c>
      <c r="C51" s="30">
        <v>0</v>
      </c>
      <c r="D51" s="30">
        <v>96</v>
      </c>
      <c r="E51" s="30">
        <v>0</v>
      </c>
      <c r="F51" s="30">
        <v>0</v>
      </c>
      <c r="G51" s="31">
        <f>SUM(UT_FINANCIAL)</f>
        <v>96</v>
      </c>
      <c r="H51" s="30"/>
      <c r="I51" s="30"/>
      <c r="J51" s="30"/>
      <c r="K51" s="30"/>
      <c r="L51" s="29"/>
      <c r="M51" s="30"/>
      <c r="N51" s="30"/>
      <c r="O51" s="30"/>
      <c r="P51" s="30"/>
      <c r="Q51" s="30"/>
      <c r="R51" s="30"/>
      <c r="S51" s="30"/>
      <c r="T51" s="30"/>
      <c r="U51" s="30"/>
      <c r="V51" s="31"/>
    </row>
    <row r="52" spans="1:22">
      <c r="A52" s="1" t="s">
        <v>73</v>
      </c>
      <c r="B52" s="29">
        <v>0</v>
      </c>
      <c r="C52" s="30">
        <v>0</v>
      </c>
      <c r="D52" s="30">
        <v>0</v>
      </c>
      <c r="E52" s="30">
        <v>0</v>
      </c>
      <c r="F52" s="30">
        <v>0</v>
      </c>
      <c r="G52" s="31">
        <f>SUM(VT_FINANCIAL)</f>
        <v>0</v>
      </c>
      <c r="H52" s="30"/>
      <c r="I52" s="30"/>
      <c r="J52" s="30"/>
      <c r="K52" s="30"/>
      <c r="L52" s="29"/>
      <c r="M52" s="30"/>
      <c r="N52" s="30"/>
      <c r="O52" s="30"/>
      <c r="P52" s="30"/>
      <c r="Q52" s="30"/>
      <c r="R52" s="30"/>
      <c r="S52" s="30"/>
      <c r="T52" s="30"/>
      <c r="U52" s="30"/>
      <c r="V52" s="31"/>
    </row>
    <row r="53" spans="1:22">
      <c r="A53" s="1" t="s">
        <v>74</v>
      </c>
      <c r="B53" s="29">
        <v>58905.095809094142</v>
      </c>
      <c r="C53" s="30">
        <v>455.35940917175139</v>
      </c>
      <c r="D53" s="30">
        <v>2837.1994439155824</v>
      </c>
      <c r="E53" s="30">
        <v>0</v>
      </c>
      <c r="F53" s="30">
        <v>0</v>
      </c>
      <c r="G53" s="31">
        <f>SUM(VA_FINANCIAL)</f>
        <v>62197.654662181478</v>
      </c>
      <c r="H53" s="30"/>
      <c r="I53" s="30"/>
      <c r="J53" s="30"/>
      <c r="K53" s="30"/>
      <c r="L53" s="29">
        <v>560269</v>
      </c>
      <c r="M53" s="30">
        <v>382889</v>
      </c>
      <c r="N53" s="30"/>
      <c r="O53" s="30">
        <v>4588</v>
      </c>
      <c r="P53" s="30">
        <v>13137</v>
      </c>
      <c r="Q53" s="30"/>
      <c r="R53" s="30">
        <v>333201</v>
      </c>
      <c r="S53" s="30">
        <v>383000</v>
      </c>
      <c r="T53" s="30"/>
      <c r="U53" s="30">
        <v>0</v>
      </c>
      <c r="V53" s="31">
        <v>0</v>
      </c>
    </row>
    <row r="54" spans="1:22">
      <c r="A54" s="1" t="s">
        <v>75</v>
      </c>
      <c r="B54" s="29">
        <v>0</v>
      </c>
      <c r="C54" s="30">
        <v>0</v>
      </c>
      <c r="D54" s="30">
        <v>0</v>
      </c>
      <c r="E54" s="30">
        <v>0</v>
      </c>
      <c r="F54" s="30">
        <v>0</v>
      </c>
      <c r="G54" s="31">
        <f>SUM(WA_FINANCIAL)</f>
        <v>0</v>
      </c>
      <c r="H54" s="30"/>
      <c r="I54" s="30"/>
      <c r="J54" s="30"/>
      <c r="K54" s="30"/>
      <c r="L54" s="29"/>
      <c r="M54" s="30"/>
      <c r="N54" s="30"/>
      <c r="O54" s="30"/>
      <c r="P54" s="30"/>
      <c r="Q54" s="30"/>
      <c r="R54" s="30"/>
      <c r="S54" s="30"/>
      <c r="T54" s="30"/>
      <c r="U54" s="30"/>
      <c r="V54" s="31"/>
    </row>
    <row r="55" spans="1:22">
      <c r="A55" s="1" t="s">
        <v>76</v>
      </c>
      <c r="B55" s="29">
        <v>643266.17274909467</v>
      </c>
      <c r="C55" s="30">
        <v>24884.348575252181</v>
      </c>
      <c r="D55" s="30">
        <v>100162.83159490593</v>
      </c>
      <c r="E55" s="30">
        <v>0</v>
      </c>
      <c r="F55" s="30">
        <v>0</v>
      </c>
      <c r="G55" s="31">
        <f>SUM(WV_FINANCIAL)</f>
        <v>768313.35291925282</v>
      </c>
      <c r="H55" s="30"/>
      <c r="I55" s="30"/>
      <c r="J55" s="30"/>
      <c r="K55" s="30"/>
      <c r="L55" s="29">
        <v>606438</v>
      </c>
      <c r="M55" s="30">
        <v>128826</v>
      </c>
      <c r="N55" s="30"/>
      <c r="O55" s="30">
        <v>73076</v>
      </c>
      <c r="P55" s="30">
        <v>140773</v>
      </c>
      <c r="Q55" s="30"/>
      <c r="R55" s="30">
        <v>3240504</v>
      </c>
      <c r="S55" s="30">
        <v>3765849</v>
      </c>
      <c r="T55" s="30"/>
      <c r="U55" s="30">
        <v>0</v>
      </c>
      <c r="V55" s="31">
        <v>0</v>
      </c>
    </row>
    <row r="56" spans="1:22">
      <c r="A56" s="1" t="s">
        <v>77</v>
      </c>
      <c r="B56" s="29">
        <v>0</v>
      </c>
      <c r="C56" s="30">
        <v>0</v>
      </c>
      <c r="D56" s="30">
        <v>0</v>
      </c>
      <c r="E56" s="30">
        <v>0</v>
      </c>
      <c r="F56" s="30">
        <v>0</v>
      </c>
      <c r="G56" s="31">
        <f>SUM(WI_FINANCIAL)</f>
        <v>0</v>
      </c>
      <c r="H56" s="30"/>
      <c r="I56" s="30"/>
      <c r="J56" s="30"/>
      <c r="K56" s="30"/>
      <c r="L56" s="29"/>
      <c r="M56" s="30"/>
      <c r="N56" s="30"/>
      <c r="O56" s="30"/>
      <c r="P56" s="30"/>
      <c r="Q56" s="30"/>
      <c r="R56" s="30"/>
      <c r="S56" s="30"/>
      <c r="T56" s="30"/>
      <c r="U56" s="30"/>
      <c r="V56" s="31"/>
    </row>
    <row r="57" spans="1:22">
      <c r="A57" s="1" t="s">
        <v>78</v>
      </c>
      <c r="B57" s="29">
        <v>0</v>
      </c>
      <c r="C57" s="30">
        <v>0</v>
      </c>
      <c r="D57" s="30">
        <v>0</v>
      </c>
      <c r="E57" s="30">
        <v>0</v>
      </c>
      <c r="F57" s="30">
        <v>0</v>
      </c>
      <c r="G57" s="31">
        <f>SUM(WY_FINANCIAL)</f>
        <v>0</v>
      </c>
      <c r="H57" s="30"/>
      <c r="I57" s="30"/>
      <c r="J57" s="30"/>
      <c r="K57" s="30"/>
      <c r="L57" s="29"/>
      <c r="M57" s="30"/>
      <c r="N57" s="30"/>
      <c r="O57" s="30"/>
      <c r="P57" s="30"/>
      <c r="Q57" s="30"/>
      <c r="R57" s="30"/>
      <c r="S57" s="30"/>
      <c r="T57" s="30"/>
      <c r="U57" s="30"/>
      <c r="V57" s="31"/>
    </row>
    <row r="58" spans="1:22">
      <c r="A58" s="1" t="s">
        <v>79</v>
      </c>
      <c r="B58" s="29">
        <v>0</v>
      </c>
      <c r="C58" s="30">
        <v>0</v>
      </c>
      <c r="D58" s="30">
        <v>0</v>
      </c>
      <c r="E58" s="30">
        <v>0</v>
      </c>
      <c r="F58" s="30">
        <v>0</v>
      </c>
      <c r="G58" s="31">
        <f>SUM(OT_FINANCIAL)</f>
        <v>0</v>
      </c>
      <c r="H58" s="30"/>
      <c r="I58" s="30"/>
      <c r="J58" s="30"/>
      <c r="K58" s="30"/>
      <c r="L58" s="29"/>
      <c r="M58" s="30"/>
      <c r="N58" s="30"/>
      <c r="O58" s="30"/>
      <c r="P58" s="30"/>
      <c r="Q58" s="30"/>
      <c r="R58" s="30"/>
      <c r="S58" s="30"/>
      <c r="T58" s="30"/>
      <c r="U58" s="30"/>
      <c r="V58" s="31"/>
    </row>
    <row r="59" spans="1:22">
      <c r="B59" s="29"/>
      <c r="C59" s="30"/>
      <c r="D59" s="30"/>
      <c r="E59" s="30"/>
      <c r="F59" s="30"/>
      <c r="G59" s="31"/>
      <c r="H59" s="30"/>
      <c r="I59" s="30"/>
      <c r="J59" s="30"/>
      <c r="K59" s="30"/>
      <c r="L59" s="29"/>
      <c r="M59" s="30"/>
      <c r="N59" s="30"/>
      <c r="O59" s="30"/>
      <c r="P59" s="30"/>
      <c r="Q59" s="30"/>
      <c r="R59" s="30"/>
      <c r="S59" s="30"/>
      <c r="T59" s="30"/>
      <c r="U59" s="30"/>
      <c r="V59" s="31"/>
    </row>
    <row r="60" spans="1:22">
      <c r="A60" s="1" t="s">
        <v>8</v>
      </c>
      <c r="B60" s="29">
        <f>SUM(LIFE)</f>
        <v>1337189.0755588906</v>
      </c>
      <c r="C60" s="30">
        <f>SUM(ALLOCATED)</f>
        <v>77279.28077589313</v>
      </c>
      <c r="D60" s="30">
        <f>SUM(HEALTH)</f>
        <v>390514.74366521533</v>
      </c>
      <c r="E60" s="30">
        <f>SUM(UNALLOCATED)</f>
        <v>0</v>
      </c>
      <c r="F60" s="30">
        <f>SUM(LTC)</f>
        <v>0</v>
      </c>
      <c r="G60" s="31">
        <f>SUM(ALL_BLOCKS)</f>
        <v>1804983.0999999994</v>
      </c>
      <c r="H60" s="30"/>
      <c r="I60" s="30"/>
      <c r="J60" s="30"/>
      <c r="K60" s="30"/>
      <c r="L60" s="29">
        <f>SUM(LIFE_CALLED)</f>
        <v>5231876</v>
      </c>
      <c r="M60" s="30">
        <f>SUM(LIFE_REFUNDED)</f>
        <v>2288000.2824999997</v>
      </c>
      <c r="N60" s="30"/>
      <c r="O60" s="30">
        <f>SUM(ALLOC_CALLED)</f>
        <v>214664</v>
      </c>
      <c r="P60" s="30">
        <f>SUM(ALLOC_REFUNDED)</f>
        <v>154649.16</v>
      </c>
      <c r="Q60" s="30"/>
      <c r="R60" s="30">
        <f>SUM(HEALTH_CALLED)</f>
        <v>13338293</v>
      </c>
      <c r="S60" s="30">
        <f>SUM(HEALTH_REFUNDED)</f>
        <v>5683448.6675000004</v>
      </c>
      <c r="T60" s="30"/>
      <c r="U60" s="30">
        <f>SUM(UNALLOC_CALLED)</f>
        <v>0</v>
      </c>
      <c r="V60" s="31">
        <f>SUM(UNALLOC_REFUNDED)</f>
        <v>0</v>
      </c>
    </row>
    <row r="61" spans="1:22" ht="5.0999999999999996" customHeight="1">
      <c r="B61" s="8"/>
      <c r="G61" s="11"/>
      <c r="L61" s="8"/>
      <c r="V61" s="11"/>
    </row>
    <row r="62" spans="1:22">
      <c r="B62" s="8"/>
      <c r="G62" s="11"/>
      <c r="L62" s="122" t="s">
        <v>80</v>
      </c>
      <c r="M62" s="123"/>
      <c r="N62" s="123"/>
      <c r="O62" s="123"/>
      <c r="P62" s="123"/>
      <c r="Q62" s="123"/>
      <c r="R62" s="123"/>
      <c r="S62" s="123"/>
      <c r="T62" s="123"/>
      <c r="U62" s="123"/>
      <c r="V62" s="124"/>
    </row>
    <row r="63" spans="1:22">
      <c r="B63" s="8"/>
      <c r="G63" s="11"/>
      <c r="L63" s="125"/>
      <c r="M63" s="123"/>
      <c r="N63" s="123"/>
      <c r="O63" s="123"/>
      <c r="P63" s="123"/>
      <c r="Q63" s="123"/>
      <c r="R63" s="123"/>
      <c r="S63" s="123"/>
      <c r="T63" s="123"/>
      <c r="U63" s="123"/>
      <c r="V63" s="124"/>
    </row>
    <row r="64" spans="1:22">
      <c r="B64" s="10"/>
      <c r="C64" s="7"/>
      <c r="D64" s="7"/>
      <c r="E64" s="7"/>
      <c r="F64" s="7"/>
      <c r="G64" s="13"/>
      <c r="L64" s="126"/>
      <c r="M64" s="127"/>
      <c r="N64" s="127"/>
      <c r="O64" s="127"/>
      <c r="P64" s="127"/>
      <c r="Q64" s="127"/>
      <c r="R64" s="127"/>
      <c r="S64" s="127"/>
      <c r="T64" s="127"/>
      <c r="U64" s="127"/>
      <c r="V64" s="128"/>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A1:V64"/>
  <sheetViews>
    <sheetView zoomScale="75" workbookViewId="0">
      <selection sqref="A1:XFD1048576"/>
    </sheetView>
  </sheetViews>
  <sheetFormatPr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129" t="s">
        <v>122</v>
      </c>
      <c r="B1" s="123"/>
      <c r="C1" s="123"/>
      <c r="D1" s="123"/>
      <c r="E1" s="123"/>
      <c r="F1" s="123"/>
      <c r="G1" s="123"/>
    </row>
    <row r="3" spans="1:22">
      <c r="B3" s="130" t="s">
        <v>1</v>
      </c>
      <c r="C3" s="131"/>
      <c r="D3" s="131"/>
      <c r="E3" s="131"/>
      <c r="F3" s="131"/>
      <c r="G3" s="132"/>
      <c r="L3" s="133" t="s">
        <v>2</v>
      </c>
      <c r="M3" s="134"/>
      <c r="N3" s="134"/>
      <c r="O3" s="134"/>
      <c r="P3" s="134"/>
      <c r="Q3" s="134"/>
      <c r="R3" s="134"/>
      <c r="S3" s="134"/>
      <c r="T3" s="134"/>
      <c r="U3" s="134"/>
      <c r="V3" s="135"/>
    </row>
    <row r="4" spans="1:22">
      <c r="B4" s="8"/>
      <c r="G4" s="11"/>
      <c r="L4" s="136" t="s">
        <v>3</v>
      </c>
      <c r="M4" s="137"/>
      <c r="N4" s="4"/>
      <c r="O4" s="138" t="s">
        <v>4</v>
      </c>
      <c r="P4" s="137"/>
      <c r="Q4" s="4"/>
      <c r="R4" s="138" t="s">
        <v>5</v>
      </c>
      <c r="S4" s="137"/>
      <c r="T4" s="4"/>
      <c r="U4" s="138" t="s">
        <v>6</v>
      </c>
      <c r="V4" s="139"/>
    </row>
    <row r="5" spans="1:22" ht="60" customHeight="1">
      <c r="B5" s="9" t="s">
        <v>3</v>
      </c>
      <c r="C5" s="5" t="s">
        <v>4</v>
      </c>
      <c r="D5" s="5" t="s">
        <v>5</v>
      </c>
      <c r="E5" s="5" t="s">
        <v>6</v>
      </c>
      <c r="F5" s="5" t="s">
        <v>7</v>
      </c>
      <c r="G5" s="12" t="s">
        <v>8</v>
      </c>
      <c r="L5" s="15" t="s">
        <v>9</v>
      </c>
      <c r="M5" s="14" t="s">
        <v>10</v>
      </c>
      <c r="N5" s="14"/>
      <c r="O5" s="14" t="s">
        <v>9</v>
      </c>
      <c r="P5" s="14" t="s">
        <v>10</v>
      </c>
      <c r="Q5" s="14"/>
      <c r="R5" s="14" t="s">
        <v>9</v>
      </c>
      <c r="S5" s="14" t="s">
        <v>10</v>
      </c>
      <c r="T5" s="14"/>
      <c r="U5" s="14" t="s">
        <v>9</v>
      </c>
      <c r="V5" s="16" t="s">
        <v>10</v>
      </c>
    </row>
    <row r="6" spans="1:22">
      <c r="A6" s="1" t="s">
        <v>11</v>
      </c>
      <c r="B6" s="29">
        <v>0</v>
      </c>
      <c r="C6" s="30">
        <v>0</v>
      </c>
      <c r="D6" s="30">
        <v>0</v>
      </c>
      <c r="E6" s="30">
        <v>0</v>
      </c>
      <c r="F6" s="30">
        <v>0</v>
      </c>
      <c r="G6" s="31">
        <f>SUM(AL_FINANCIAL)</f>
        <v>0</v>
      </c>
      <c r="H6" s="30"/>
      <c r="I6" s="30"/>
      <c r="J6" s="30"/>
      <c r="K6" s="30"/>
      <c r="L6" s="29"/>
      <c r="M6" s="30"/>
      <c r="N6" s="30"/>
      <c r="O6" s="30"/>
      <c r="P6" s="30"/>
      <c r="Q6" s="30"/>
      <c r="R6" s="30"/>
      <c r="S6" s="30"/>
      <c r="T6" s="30"/>
      <c r="U6" s="30"/>
      <c r="V6" s="31"/>
    </row>
    <row r="7" spans="1:22">
      <c r="A7" s="1" t="s">
        <v>12</v>
      </c>
      <c r="B7" s="29">
        <v>0</v>
      </c>
      <c r="C7" s="30">
        <v>0</v>
      </c>
      <c r="D7" s="30">
        <v>0</v>
      </c>
      <c r="E7" s="30">
        <v>0</v>
      </c>
      <c r="F7" s="30">
        <v>0</v>
      </c>
      <c r="G7" s="31">
        <f>SUM(AK_FINANCIAL)</f>
        <v>0</v>
      </c>
      <c r="H7" s="30"/>
      <c r="I7" s="32"/>
      <c r="J7" s="33"/>
      <c r="K7" s="30"/>
      <c r="L7" s="29"/>
      <c r="M7" s="30"/>
      <c r="N7" s="30"/>
      <c r="O7" s="30"/>
      <c r="P7" s="30"/>
      <c r="Q7" s="30"/>
      <c r="R7" s="30"/>
      <c r="S7" s="30"/>
      <c r="T7" s="30"/>
      <c r="U7" s="30"/>
      <c r="V7" s="31"/>
    </row>
    <row r="8" spans="1:22">
      <c r="A8" s="1" t="s">
        <v>13</v>
      </c>
      <c r="B8" s="29">
        <v>0</v>
      </c>
      <c r="C8" s="30">
        <v>0</v>
      </c>
      <c r="D8" s="30">
        <v>0</v>
      </c>
      <c r="E8" s="30">
        <v>0</v>
      </c>
      <c r="F8" s="30">
        <v>0</v>
      </c>
      <c r="G8" s="31">
        <f>SUM(AZ_FINANCIAL)</f>
        <v>0</v>
      </c>
      <c r="H8" s="30"/>
      <c r="I8" s="34" t="s">
        <v>14</v>
      </c>
      <c r="J8" s="35"/>
      <c r="K8" s="30"/>
      <c r="L8" s="29"/>
      <c r="M8" s="30"/>
      <c r="N8" s="30"/>
      <c r="O8" s="30"/>
      <c r="P8" s="30"/>
      <c r="Q8" s="30"/>
      <c r="R8" s="30"/>
      <c r="S8" s="30"/>
      <c r="T8" s="30"/>
      <c r="U8" s="30"/>
      <c r="V8" s="31"/>
    </row>
    <row r="9" spans="1:22">
      <c r="A9" s="1" t="s">
        <v>15</v>
      </c>
      <c r="B9" s="29">
        <v>0</v>
      </c>
      <c r="C9" s="30">
        <v>0</v>
      </c>
      <c r="D9" s="30">
        <v>0</v>
      </c>
      <c r="E9" s="30">
        <v>0</v>
      </c>
      <c r="F9" s="30">
        <v>0</v>
      </c>
      <c r="G9" s="31">
        <f>SUM(AR_FINANCIAL)</f>
        <v>0</v>
      </c>
      <c r="H9" s="30"/>
      <c r="I9" s="34"/>
      <c r="J9" s="35"/>
      <c r="K9" s="30"/>
      <c r="L9" s="29"/>
      <c r="M9" s="30"/>
      <c r="N9" s="30"/>
      <c r="O9" s="30"/>
      <c r="P9" s="30"/>
      <c r="Q9" s="30"/>
      <c r="R9" s="30"/>
      <c r="S9" s="30"/>
      <c r="T9" s="30"/>
      <c r="U9" s="30"/>
      <c r="V9" s="31"/>
    </row>
    <row r="10" spans="1:22">
      <c r="A10" s="1" t="s">
        <v>16</v>
      </c>
      <c r="B10" s="29">
        <v>727983.87554992689</v>
      </c>
      <c r="C10" s="30">
        <v>0</v>
      </c>
      <c r="D10" s="30">
        <v>59498.78</v>
      </c>
      <c r="E10" s="30">
        <v>0</v>
      </c>
      <c r="F10" s="30">
        <v>0</v>
      </c>
      <c r="G10" s="31">
        <f>SUM(CA_FINANCIAL)</f>
        <v>787482.65554992692</v>
      </c>
      <c r="H10" s="30"/>
      <c r="I10" s="34" t="s">
        <v>17</v>
      </c>
      <c r="J10" s="35">
        <v>319462.36400000006</v>
      </c>
      <c r="K10" s="30"/>
      <c r="L10" s="29"/>
      <c r="M10" s="30"/>
      <c r="N10" s="30"/>
      <c r="O10" s="30"/>
      <c r="P10" s="30"/>
      <c r="Q10" s="30"/>
      <c r="R10" s="30"/>
      <c r="S10" s="30"/>
      <c r="T10" s="30"/>
      <c r="U10" s="30"/>
      <c r="V10" s="31"/>
    </row>
    <row r="11" spans="1:22">
      <c r="A11" s="1" t="s">
        <v>18</v>
      </c>
      <c r="B11" s="29">
        <v>0</v>
      </c>
      <c r="C11" s="30">
        <v>0</v>
      </c>
      <c r="D11" s="30">
        <v>0</v>
      </c>
      <c r="E11" s="30">
        <v>0</v>
      </c>
      <c r="F11" s="30">
        <v>0</v>
      </c>
      <c r="G11" s="31">
        <f>SUM(CO_FINANCIAL)</f>
        <v>0</v>
      </c>
      <c r="H11" s="30"/>
      <c r="I11" s="34"/>
      <c r="J11" s="35"/>
      <c r="K11" s="30"/>
      <c r="L11" s="29"/>
      <c r="M11" s="30"/>
      <c r="N11" s="30"/>
      <c r="O11" s="30"/>
      <c r="P11" s="30"/>
      <c r="Q11" s="30"/>
      <c r="R11" s="30"/>
      <c r="S11" s="30"/>
      <c r="T11" s="30"/>
      <c r="U11" s="30"/>
      <c r="V11" s="31"/>
    </row>
    <row r="12" spans="1:22">
      <c r="A12" s="1" t="s">
        <v>19</v>
      </c>
      <c r="B12" s="29">
        <v>0</v>
      </c>
      <c r="C12" s="30">
        <v>0</v>
      </c>
      <c r="D12" s="30">
        <v>0</v>
      </c>
      <c r="E12" s="30">
        <v>0</v>
      </c>
      <c r="F12" s="30">
        <v>0</v>
      </c>
      <c r="G12" s="31">
        <f>SUM(CT_FINANCIAL)</f>
        <v>0</v>
      </c>
      <c r="H12" s="30"/>
      <c r="I12" s="34" t="s">
        <v>20</v>
      </c>
      <c r="J12" s="35"/>
      <c r="K12" s="30"/>
      <c r="L12" s="29"/>
      <c r="M12" s="30"/>
      <c r="N12" s="30"/>
      <c r="O12" s="30"/>
      <c r="P12" s="30"/>
      <c r="Q12" s="30"/>
      <c r="R12" s="30"/>
      <c r="S12" s="30"/>
      <c r="T12" s="30"/>
      <c r="U12" s="30"/>
      <c r="V12" s="31"/>
    </row>
    <row r="13" spans="1:22">
      <c r="A13" s="1" t="s">
        <v>21</v>
      </c>
      <c r="B13" s="29">
        <v>0</v>
      </c>
      <c r="C13" s="30">
        <v>0</v>
      </c>
      <c r="D13" s="30">
        <v>0</v>
      </c>
      <c r="E13" s="30">
        <v>0</v>
      </c>
      <c r="F13" s="30">
        <v>0</v>
      </c>
      <c r="G13" s="31">
        <f>SUM(DE_FINANCIAL)</f>
        <v>0</v>
      </c>
      <c r="H13" s="30"/>
      <c r="I13" s="34" t="s">
        <v>22</v>
      </c>
      <c r="J13" s="35">
        <v>272265.99</v>
      </c>
      <c r="K13" s="30"/>
      <c r="L13" s="29"/>
      <c r="M13" s="30"/>
      <c r="N13" s="30"/>
      <c r="O13" s="30"/>
      <c r="P13" s="30"/>
      <c r="Q13" s="30"/>
      <c r="R13" s="30"/>
      <c r="S13" s="30"/>
      <c r="T13" s="30"/>
      <c r="U13" s="30"/>
      <c r="V13" s="31"/>
    </row>
    <row r="14" spans="1:22">
      <c r="A14" s="1" t="s">
        <v>23</v>
      </c>
      <c r="B14" s="29">
        <v>1460.999409344782</v>
      </c>
      <c r="C14" s="30">
        <v>0</v>
      </c>
      <c r="D14" s="30">
        <v>0</v>
      </c>
      <c r="E14" s="30">
        <v>0</v>
      </c>
      <c r="F14" s="30">
        <v>0</v>
      </c>
      <c r="G14" s="31">
        <f>SUM(DC_FINANCIAL)</f>
        <v>1460.999409344782</v>
      </c>
      <c r="H14" s="30"/>
      <c r="I14" s="34" t="s">
        <v>24</v>
      </c>
      <c r="J14" s="35">
        <v>323349.86</v>
      </c>
      <c r="K14" s="30"/>
      <c r="L14" s="29"/>
      <c r="M14" s="30"/>
      <c r="N14" s="30"/>
      <c r="O14" s="30"/>
      <c r="P14" s="30"/>
      <c r="Q14" s="30"/>
      <c r="R14" s="30"/>
      <c r="S14" s="30"/>
      <c r="T14" s="30"/>
      <c r="U14" s="30"/>
      <c r="V14" s="31"/>
    </row>
    <row r="15" spans="1:22">
      <c r="A15" s="1" t="s">
        <v>25</v>
      </c>
      <c r="B15" s="29">
        <v>0</v>
      </c>
      <c r="C15" s="30">
        <v>0</v>
      </c>
      <c r="D15" s="30">
        <v>0</v>
      </c>
      <c r="E15" s="30">
        <v>0</v>
      </c>
      <c r="F15" s="30">
        <v>0</v>
      </c>
      <c r="G15" s="31">
        <f>SUM(FL_FINANCIAL)</f>
        <v>0</v>
      </c>
      <c r="H15" s="30"/>
      <c r="I15" s="34" t="s">
        <v>26</v>
      </c>
      <c r="J15" s="35">
        <v>816262.66999999993</v>
      </c>
      <c r="K15" s="30"/>
      <c r="L15" s="29"/>
      <c r="M15" s="30"/>
      <c r="N15" s="30"/>
      <c r="O15" s="30"/>
      <c r="P15" s="30"/>
      <c r="Q15" s="30"/>
      <c r="R15" s="30"/>
      <c r="S15" s="30"/>
      <c r="T15" s="30"/>
      <c r="U15" s="30"/>
      <c r="V15" s="31"/>
    </row>
    <row r="16" spans="1:22">
      <c r="A16" s="1" t="s">
        <v>27</v>
      </c>
      <c r="B16" s="29">
        <v>28156.129738025618</v>
      </c>
      <c r="C16" s="30">
        <v>0</v>
      </c>
      <c r="D16" s="30">
        <v>0</v>
      </c>
      <c r="E16" s="30">
        <v>0</v>
      </c>
      <c r="F16" s="30">
        <v>0</v>
      </c>
      <c r="G16" s="31">
        <f>SUM(GA_FINANCIAL)</f>
        <v>28156.129738025618</v>
      </c>
      <c r="H16" s="30"/>
      <c r="I16" s="34" t="s">
        <v>28</v>
      </c>
      <c r="J16" s="35">
        <v>0</v>
      </c>
      <c r="K16" s="30"/>
      <c r="L16" s="29"/>
      <c r="M16" s="30"/>
      <c r="N16" s="30"/>
      <c r="O16" s="30"/>
      <c r="P16" s="30"/>
      <c r="Q16" s="30"/>
      <c r="R16" s="30"/>
      <c r="S16" s="30"/>
      <c r="T16" s="30"/>
      <c r="U16" s="30"/>
      <c r="V16" s="31"/>
    </row>
    <row r="17" spans="1:22">
      <c r="A17" s="1" t="s">
        <v>29</v>
      </c>
      <c r="B17" s="29">
        <v>0</v>
      </c>
      <c r="C17" s="30">
        <v>0</v>
      </c>
      <c r="D17" s="30">
        <v>0</v>
      </c>
      <c r="E17" s="30">
        <v>0</v>
      </c>
      <c r="F17" s="30">
        <v>0</v>
      </c>
      <c r="G17" s="31">
        <f>SUM(HI_FINANCIAL)</f>
        <v>0</v>
      </c>
      <c r="H17" s="30"/>
      <c r="I17" s="34"/>
      <c r="J17" s="35"/>
      <c r="K17" s="30"/>
      <c r="L17" s="29"/>
      <c r="M17" s="30"/>
      <c r="N17" s="30"/>
      <c r="O17" s="30"/>
      <c r="P17" s="30"/>
      <c r="Q17" s="30"/>
      <c r="R17" s="30"/>
      <c r="S17" s="30"/>
      <c r="T17" s="30"/>
      <c r="U17" s="30"/>
      <c r="V17" s="31"/>
    </row>
    <row r="18" spans="1:22">
      <c r="A18" s="1" t="s">
        <v>30</v>
      </c>
      <c r="B18" s="29">
        <v>0</v>
      </c>
      <c r="C18" s="30">
        <v>0</v>
      </c>
      <c r="D18" s="30">
        <v>0</v>
      </c>
      <c r="E18" s="30">
        <v>0</v>
      </c>
      <c r="F18" s="30">
        <v>0</v>
      </c>
      <c r="G18" s="31">
        <f>SUM(ID_FINANCIAL)</f>
        <v>0</v>
      </c>
      <c r="H18" s="30"/>
      <c r="I18" s="34" t="s">
        <v>31</v>
      </c>
      <c r="J18" s="35"/>
      <c r="K18" s="30"/>
      <c r="L18" s="29"/>
      <c r="M18" s="30"/>
      <c r="N18" s="30"/>
      <c r="O18" s="30"/>
      <c r="P18" s="30"/>
      <c r="Q18" s="30"/>
      <c r="R18" s="30"/>
      <c r="S18" s="30"/>
      <c r="T18" s="30"/>
      <c r="U18" s="30"/>
      <c r="V18" s="31"/>
    </row>
    <row r="19" spans="1:22">
      <c r="A19" s="1" t="s">
        <v>32</v>
      </c>
      <c r="B19" s="29">
        <v>167995.43102726695</v>
      </c>
      <c r="C19" s="30">
        <v>12328.5</v>
      </c>
      <c r="D19" s="30">
        <v>0</v>
      </c>
      <c r="E19" s="30">
        <v>0</v>
      </c>
      <c r="F19" s="30">
        <v>0</v>
      </c>
      <c r="G19" s="31">
        <f>SUM(IL_FINANCIAL)</f>
        <v>180323.93102726695</v>
      </c>
      <c r="H19" s="30"/>
      <c r="I19" s="34" t="s">
        <v>33</v>
      </c>
      <c r="J19" s="35">
        <v>0</v>
      </c>
      <c r="K19" s="30"/>
      <c r="L19" s="29">
        <v>200000</v>
      </c>
      <c r="M19" s="30">
        <v>0</v>
      </c>
      <c r="N19" s="30"/>
      <c r="O19" s="30">
        <v>100000</v>
      </c>
      <c r="P19" s="30">
        <v>0</v>
      </c>
      <c r="Q19" s="30"/>
      <c r="R19" s="30">
        <v>0</v>
      </c>
      <c r="S19" s="30">
        <v>0</v>
      </c>
      <c r="T19" s="30"/>
      <c r="U19" s="30">
        <v>0</v>
      </c>
      <c r="V19" s="31">
        <v>0</v>
      </c>
    </row>
    <row r="20" spans="1:22">
      <c r="A20" s="1" t="s">
        <v>34</v>
      </c>
      <c r="B20" s="29">
        <v>0</v>
      </c>
      <c r="C20" s="30">
        <v>0</v>
      </c>
      <c r="D20" s="30">
        <v>0</v>
      </c>
      <c r="E20" s="30">
        <v>0</v>
      </c>
      <c r="F20" s="30">
        <v>0</v>
      </c>
      <c r="G20" s="31">
        <f>SUM(IN_FINANCIAL)</f>
        <v>0</v>
      </c>
      <c r="H20" s="30"/>
      <c r="I20" s="34" t="s">
        <v>35</v>
      </c>
      <c r="J20" s="35">
        <v>0</v>
      </c>
      <c r="K20" s="30"/>
      <c r="L20" s="29"/>
      <c r="M20" s="30"/>
      <c r="N20" s="30"/>
      <c r="O20" s="30"/>
      <c r="P20" s="30"/>
      <c r="Q20" s="30"/>
      <c r="R20" s="30"/>
      <c r="S20" s="30"/>
      <c r="T20" s="30"/>
      <c r="U20" s="30"/>
      <c r="V20" s="31"/>
    </row>
    <row r="21" spans="1:22">
      <c r="A21" s="1" t="s">
        <v>36</v>
      </c>
      <c r="B21" s="29">
        <v>0</v>
      </c>
      <c r="C21" s="30">
        <v>0</v>
      </c>
      <c r="D21" s="30">
        <v>0</v>
      </c>
      <c r="E21" s="30">
        <v>0</v>
      </c>
      <c r="F21" s="30">
        <v>0</v>
      </c>
      <c r="G21" s="31">
        <f>SUM(IA_FINANCIAL)</f>
        <v>0</v>
      </c>
      <c r="H21" s="30"/>
      <c r="I21" s="34" t="s">
        <v>37</v>
      </c>
      <c r="J21" s="35"/>
      <c r="K21" s="30"/>
      <c r="L21" s="29"/>
      <c r="M21" s="30"/>
      <c r="N21" s="30"/>
      <c r="O21" s="30"/>
      <c r="P21" s="30"/>
      <c r="Q21" s="30"/>
      <c r="R21" s="30"/>
      <c r="S21" s="30"/>
      <c r="T21" s="30"/>
      <c r="U21" s="30"/>
      <c r="V21" s="31"/>
    </row>
    <row r="22" spans="1:22">
      <c r="A22" s="1" t="s">
        <v>38</v>
      </c>
      <c r="B22" s="29">
        <v>0</v>
      </c>
      <c r="C22" s="30">
        <v>0</v>
      </c>
      <c r="D22" s="30">
        <v>0</v>
      </c>
      <c r="E22" s="30">
        <v>0</v>
      </c>
      <c r="F22" s="30">
        <v>0</v>
      </c>
      <c r="G22" s="31">
        <f>SUM(KS_FINANCIAL)</f>
        <v>0</v>
      </c>
      <c r="H22" s="30"/>
      <c r="I22" s="34" t="s">
        <v>39</v>
      </c>
      <c r="J22" s="35">
        <v>-23500</v>
      </c>
      <c r="K22" s="30"/>
      <c r="L22" s="29"/>
      <c r="M22" s="30"/>
      <c r="N22" s="30"/>
      <c r="O22" s="30"/>
      <c r="P22" s="30"/>
      <c r="Q22" s="30"/>
      <c r="R22" s="30"/>
      <c r="S22" s="30"/>
      <c r="T22" s="30"/>
      <c r="U22" s="30"/>
      <c r="V22" s="31"/>
    </row>
    <row r="23" spans="1:22">
      <c r="A23" s="1" t="s">
        <v>40</v>
      </c>
      <c r="B23" s="29">
        <v>0</v>
      </c>
      <c r="C23" s="30">
        <v>0</v>
      </c>
      <c r="D23" s="30">
        <v>0</v>
      </c>
      <c r="E23" s="30">
        <v>0</v>
      </c>
      <c r="F23" s="30">
        <v>0</v>
      </c>
      <c r="G23" s="31">
        <f>SUM(KY_FINANCIAL)</f>
        <v>0</v>
      </c>
      <c r="H23" s="30"/>
      <c r="I23" s="34" t="s">
        <v>41</v>
      </c>
      <c r="J23" s="35"/>
      <c r="K23" s="30"/>
      <c r="L23" s="29"/>
      <c r="M23" s="30"/>
      <c r="N23" s="30"/>
      <c r="O23" s="30"/>
      <c r="P23" s="30"/>
      <c r="Q23" s="30"/>
      <c r="R23" s="30"/>
      <c r="S23" s="30"/>
      <c r="T23" s="30"/>
      <c r="U23" s="30"/>
      <c r="V23" s="31"/>
    </row>
    <row r="24" spans="1:22">
      <c r="A24" s="1" t="s">
        <v>42</v>
      </c>
      <c r="B24" s="29">
        <v>15823.636426960427</v>
      </c>
      <c r="C24" s="30">
        <v>0</v>
      </c>
      <c r="D24" s="30">
        <v>0</v>
      </c>
      <c r="E24" s="30">
        <v>0</v>
      </c>
      <c r="F24" s="30">
        <v>0</v>
      </c>
      <c r="G24" s="31">
        <f>SUM(LA_FINANCIAL)</f>
        <v>15823.636426960427</v>
      </c>
      <c r="H24" s="30"/>
      <c r="I24" s="34" t="s">
        <v>43</v>
      </c>
      <c r="J24" s="35">
        <v>154160.03</v>
      </c>
      <c r="K24" s="30"/>
      <c r="L24" s="29"/>
      <c r="M24" s="30"/>
      <c r="N24" s="30"/>
      <c r="O24" s="30"/>
      <c r="P24" s="30"/>
      <c r="Q24" s="30"/>
      <c r="R24" s="30"/>
      <c r="S24" s="30"/>
      <c r="T24" s="30"/>
      <c r="U24" s="30"/>
      <c r="V24" s="31"/>
    </row>
    <row r="25" spans="1:22">
      <c r="A25" s="1" t="s">
        <v>44</v>
      </c>
      <c r="B25" s="29">
        <v>0</v>
      </c>
      <c r="C25" s="30">
        <v>0</v>
      </c>
      <c r="D25" s="30">
        <v>0</v>
      </c>
      <c r="E25" s="30">
        <v>0</v>
      </c>
      <c r="F25" s="30">
        <v>0</v>
      </c>
      <c r="G25" s="31">
        <f>SUM(ME_FINANCIAL)</f>
        <v>0</v>
      </c>
      <c r="H25" s="30"/>
      <c r="I25" s="34"/>
      <c r="J25" s="35"/>
      <c r="K25" s="30"/>
      <c r="L25" s="29"/>
      <c r="M25" s="30"/>
      <c r="N25" s="30"/>
      <c r="O25" s="30"/>
      <c r="P25" s="30"/>
      <c r="Q25" s="30"/>
      <c r="R25" s="30"/>
      <c r="S25" s="30"/>
      <c r="T25" s="30"/>
      <c r="U25" s="30"/>
      <c r="V25" s="31"/>
    </row>
    <row r="26" spans="1:22">
      <c r="A26" s="1" t="s">
        <v>45</v>
      </c>
      <c r="B26" s="29">
        <v>85.999965231794135</v>
      </c>
      <c r="C26" s="30">
        <v>0</v>
      </c>
      <c r="D26" s="30">
        <v>0</v>
      </c>
      <c r="E26" s="30">
        <v>0</v>
      </c>
      <c r="F26" s="30">
        <v>0</v>
      </c>
      <c r="G26" s="31">
        <f>SUM(MD_FINANCIAL)</f>
        <v>85.999965231794135</v>
      </c>
      <c r="H26" s="30"/>
      <c r="I26" s="34" t="s">
        <v>46</v>
      </c>
      <c r="J26" s="35">
        <f>SUM(ADD_FINANCIAL)-SUM(LESS_FINANCIAL)</f>
        <v>1600680.8540000001</v>
      </c>
      <c r="K26" s="30"/>
      <c r="L26" s="29"/>
      <c r="M26" s="30"/>
      <c r="N26" s="30"/>
      <c r="O26" s="30"/>
      <c r="P26" s="30"/>
      <c r="Q26" s="30"/>
      <c r="R26" s="30"/>
      <c r="S26" s="30"/>
      <c r="T26" s="30"/>
      <c r="U26" s="30"/>
      <c r="V26" s="31"/>
    </row>
    <row r="27" spans="1:22">
      <c r="A27" s="1" t="s">
        <v>47</v>
      </c>
      <c r="B27" s="29">
        <v>0</v>
      </c>
      <c r="C27" s="30">
        <v>0</v>
      </c>
      <c r="D27" s="30">
        <v>0</v>
      </c>
      <c r="E27" s="30">
        <v>0</v>
      </c>
      <c r="F27" s="30">
        <v>0</v>
      </c>
      <c r="G27" s="31">
        <f>SUM(MA_FINANCIAL)</f>
        <v>0</v>
      </c>
      <c r="H27" s="30"/>
      <c r="I27" s="34" t="s">
        <v>48</v>
      </c>
      <c r="J27" s="35">
        <f>SUM(ALL_BLOCKS)</f>
        <v>1600680.8539999998</v>
      </c>
      <c r="K27" s="30"/>
      <c r="L27" s="29"/>
      <c r="M27" s="30"/>
      <c r="N27" s="30"/>
      <c r="O27" s="30"/>
      <c r="P27" s="30"/>
      <c r="Q27" s="30"/>
      <c r="R27" s="30"/>
      <c r="S27" s="30"/>
      <c r="T27" s="30"/>
      <c r="U27" s="30"/>
      <c r="V27" s="31"/>
    </row>
    <row r="28" spans="1:22">
      <c r="A28" s="1" t="s">
        <v>49</v>
      </c>
      <c r="B28" s="29">
        <v>77100.976421900763</v>
      </c>
      <c r="C28" s="30">
        <v>0</v>
      </c>
      <c r="D28" s="30">
        <v>0</v>
      </c>
      <c r="E28" s="30">
        <v>0</v>
      </c>
      <c r="F28" s="30">
        <v>0</v>
      </c>
      <c r="G28" s="31">
        <f>SUM(MI_FINANCIAL)</f>
        <v>77100.976421900763</v>
      </c>
      <c r="H28" s="30"/>
      <c r="I28" s="36"/>
      <c r="J28" s="37"/>
      <c r="K28" s="30"/>
      <c r="L28" s="29"/>
      <c r="M28" s="30"/>
      <c r="N28" s="30"/>
      <c r="O28" s="30"/>
      <c r="P28" s="30"/>
      <c r="Q28" s="30"/>
      <c r="R28" s="30"/>
      <c r="S28" s="30"/>
      <c r="T28" s="30"/>
      <c r="U28" s="30"/>
      <c r="V28" s="31"/>
    </row>
    <row r="29" spans="1:22">
      <c r="A29" s="1" t="s">
        <v>50</v>
      </c>
      <c r="B29" s="29">
        <v>0</v>
      </c>
      <c r="C29" s="30">
        <v>0</v>
      </c>
      <c r="D29" s="30">
        <v>0</v>
      </c>
      <c r="E29" s="30">
        <v>0</v>
      </c>
      <c r="F29" s="30">
        <v>0</v>
      </c>
      <c r="G29" s="31">
        <f>SUM(MN_FINANCIAL)</f>
        <v>0</v>
      </c>
      <c r="H29" s="30"/>
      <c r="I29" s="30"/>
      <c r="J29" s="30"/>
      <c r="K29" s="30"/>
      <c r="L29" s="29"/>
      <c r="M29" s="30"/>
      <c r="N29" s="30"/>
      <c r="O29" s="30"/>
      <c r="P29" s="30"/>
      <c r="Q29" s="30"/>
      <c r="R29" s="30"/>
      <c r="S29" s="30"/>
      <c r="T29" s="30"/>
      <c r="U29" s="30"/>
      <c r="V29" s="31"/>
    </row>
    <row r="30" spans="1:22">
      <c r="A30" s="1" t="s">
        <v>51</v>
      </c>
      <c r="B30" s="29">
        <v>3788.9991473703935</v>
      </c>
      <c r="C30" s="30">
        <v>0</v>
      </c>
      <c r="D30" s="30">
        <v>0</v>
      </c>
      <c r="E30" s="30">
        <v>0</v>
      </c>
      <c r="F30" s="30">
        <v>0</v>
      </c>
      <c r="G30" s="31">
        <f>SUM(MS_FINANCIAL)</f>
        <v>3788.9991473703935</v>
      </c>
      <c r="H30" s="30"/>
      <c r="I30" s="30"/>
      <c r="J30" s="30"/>
      <c r="K30" s="30"/>
      <c r="L30" s="29"/>
      <c r="M30" s="30"/>
      <c r="N30" s="30"/>
      <c r="O30" s="30"/>
      <c r="P30" s="30"/>
      <c r="Q30" s="30"/>
      <c r="R30" s="30"/>
      <c r="S30" s="30"/>
      <c r="T30" s="30"/>
      <c r="U30" s="30"/>
      <c r="V30" s="31"/>
    </row>
    <row r="31" spans="1:22">
      <c r="A31" s="1" t="s">
        <v>52</v>
      </c>
      <c r="B31" s="29">
        <v>0</v>
      </c>
      <c r="C31" s="30">
        <v>0</v>
      </c>
      <c r="D31" s="30">
        <v>0</v>
      </c>
      <c r="E31" s="30">
        <v>0</v>
      </c>
      <c r="F31" s="30">
        <v>0</v>
      </c>
      <c r="G31" s="31">
        <f>SUM(MO_FINANCIAL)</f>
        <v>0</v>
      </c>
      <c r="H31" s="30"/>
      <c r="I31" s="30"/>
      <c r="J31" s="30"/>
      <c r="K31" s="30"/>
      <c r="L31" s="29"/>
      <c r="M31" s="30"/>
      <c r="N31" s="30"/>
      <c r="O31" s="30"/>
      <c r="P31" s="30"/>
      <c r="Q31" s="30"/>
      <c r="R31" s="30"/>
      <c r="S31" s="30"/>
      <c r="T31" s="30"/>
      <c r="U31" s="30"/>
      <c r="V31" s="31"/>
    </row>
    <row r="32" spans="1:22">
      <c r="A32" s="1" t="s">
        <v>53</v>
      </c>
      <c r="B32" s="29">
        <v>0</v>
      </c>
      <c r="C32" s="30">
        <v>0</v>
      </c>
      <c r="D32" s="30">
        <v>0</v>
      </c>
      <c r="E32" s="30">
        <v>0</v>
      </c>
      <c r="F32" s="30">
        <v>0</v>
      </c>
      <c r="G32" s="31">
        <f>SUM(MT_FINANCIAL)</f>
        <v>0</v>
      </c>
      <c r="H32" s="30"/>
      <c r="I32" s="30"/>
      <c r="J32" s="30"/>
      <c r="K32" s="30"/>
      <c r="L32" s="29"/>
      <c r="M32" s="30"/>
      <c r="N32" s="30"/>
      <c r="O32" s="30"/>
      <c r="P32" s="30"/>
      <c r="Q32" s="30"/>
      <c r="R32" s="30"/>
      <c r="S32" s="30"/>
      <c r="T32" s="30"/>
      <c r="U32" s="30"/>
      <c r="V32" s="31"/>
    </row>
    <row r="33" spans="1:22">
      <c r="A33" s="1" t="s">
        <v>54</v>
      </c>
      <c r="B33" s="29">
        <v>0</v>
      </c>
      <c r="C33" s="30">
        <v>0</v>
      </c>
      <c r="D33" s="30">
        <v>0</v>
      </c>
      <c r="E33" s="30">
        <v>0</v>
      </c>
      <c r="F33" s="30">
        <v>0</v>
      </c>
      <c r="G33" s="31">
        <f>SUM(NE_FINANCIAL)</f>
        <v>0</v>
      </c>
      <c r="H33" s="30"/>
      <c r="I33" s="30"/>
      <c r="J33" s="30"/>
      <c r="K33" s="30"/>
      <c r="L33" s="29"/>
      <c r="M33" s="30"/>
      <c r="N33" s="30"/>
      <c r="O33" s="30"/>
      <c r="P33" s="30"/>
      <c r="Q33" s="30"/>
      <c r="R33" s="30"/>
      <c r="S33" s="30"/>
      <c r="T33" s="30"/>
      <c r="U33" s="30"/>
      <c r="V33" s="31"/>
    </row>
    <row r="34" spans="1:22">
      <c r="A34" s="1" t="s">
        <v>55</v>
      </c>
      <c r="B34" s="29">
        <v>3383.9986319115278</v>
      </c>
      <c r="C34" s="30">
        <v>0</v>
      </c>
      <c r="D34" s="30">
        <v>0</v>
      </c>
      <c r="E34" s="30">
        <v>0</v>
      </c>
      <c r="F34" s="30">
        <v>0</v>
      </c>
      <c r="G34" s="31">
        <f>SUM(NV_FINANCIAL)</f>
        <v>3383.9986319115278</v>
      </c>
      <c r="H34" s="30"/>
      <c r="I34" s="30"/>
      <c r="J34" s="30"/>
      <c r="K34" s="30"/>
      <c r="L34" s="29"/>
      <c r="M34" s="30"/>
      <c r="N34" s="30"/>
      <c r="O34" s="30"/>
      <c r="P34" s="30"/>
      <c r="Q34" s="30"/>
      <c r="R34" s="30"/>
      <c r="S34" s="30"/>
      <c r="T34" s="30"/>
      <c r="U34" s="30"/>
      <c r="V34" s="31"/>
    </row>
    <row r="35" spans="1:22">
      <c r="A35" s="1" t="s">
        <v>56</v>
      </c>
      <c r="B35" s="29">
        <v>0</v>
      </c>
      <c r="C35" s="30">
        <v>0</v>
      </c>
      <c r="D35" s="30">
        <v>0</v>
      </c>
      <c r="E35" s="30">
        <v>0</v>
      </c>
      <c r="F35" s="30">
        <v>0</v>
      </c>
      <c r="G35" s="31">
        <f>SUM(NH_FINANCIAL)</f>
        <v>0</v>
      </c>
      <c r="H35" s="30"/>
      <c r="I35" s="30"/>
      <c r="J35" s="30"/>
      <c r="K35" s="30"/>
      <c r="L35" s="29"/>
      <c r="M35" s="30"/>
      <c r="N35" s="30"/>
      <c r="O35" s="30"/>
      <c r="P35" s="30"/>
      <c r="Q35" s="30"/>
      <c r="R35" s="30"/>
      <c r="S35" s="30"/>
      <c r="T35" s="30"/>
      <c r="U35" s="30"/>
      <c r="V35" s="31"/>
    </row>
    <row r="36" spans="1:22">
      <c r="A36" s="1" t="s">
        <v>57</v>
      </c>
      <c r="B36" s="29">
        <v>0</v>
      </c>
      <c r="C36" s="30">
        <v>0</v>
      </c>
      <c r="D36" s="30">
        <v>0</v>
      </c>
      <c r="E36" s="30">
        <v>0</v>
      </c>
      <c r="F36" s="30">
        <v>0</v>
      </c>
      <c r="G36" s="31">
        <f>SUM(NJ_FINANCIAL)</f>
        <v>0</v>
      </c>
      <c r="H36" s="30"/>
      <c r="I36" s="30"/>
      <c r="J36" s="30"/>
      <c r="K36" s="30"/>
      <c r="L36" s="29"/>
      <c r="M36" s="30"/>
      <c r="N36" s="30"/>
      <c r="O36" s="30"/>
      <c r="P36" s="30"/>
      <c r="Q36" s="30"/>
      <c r="R36" s="30"/>
      <c r="S36" s="30"/>
      <c r="T36" s="30"/>
      <c r="U36" s="30"/>
      <c r="V36" s="31"/>
    </row>
    <row r="37" spans="1:22">
      <c r="A37" s="1" t="s">
        <v>58</v>
      </c>
      <c r="B37" s="29">
        <v>0</v>
      </c>
      <c r="C37" s="30">
        <v>0</v>
      </c>
      <c r="D37" s="30">
        <v>0</v>
      </c>
      <c r="E37" s="30">
        <v>0</v>
      </c>
      <c r="F37" s="30">
        <v>0</v>
      </c>
      <c r="G37" s="31">
        <f>SUM(NM_FINANCIAL)</f>
        <v>0</v>
      </c>
      <c r="H37" s="30"/>
      <c r="I37" s="30"/>
      <c r="J37" s="30"/>
      <c r="K37" s="30"/>
      <c r="L37" s="29"/>
      <c r="M37" s="30"/>
      <c r="N37" s="30"/>
      <c r="O37" s="30"/>
      <c r="P37" s="30"/>
      <c r="Q37" s="30"/>
      <c r="R37" s="30"/>
      <c r="S37" s="30"/>
      <c r="T37" s="30"/>
      <c r="U37" s="30"/>
      <c r="V37" s="31"/>
    </row>
    <row r="38" spans="1:22">
      <c r="A38" s="1" t="s">
        <v>59</v>
      </c>
      <c r="B38" s="29">
        <v>0</v>
      </c>
      <c r="C38" s="30">
        <v>0</v>
      </c>
      <c r="D38" s="30">
        <v>0</v>
      </c>
      <c r="E38" s="30">
        <v>0</v>
      </c>
      <c r="F38" s="30">
        <v>0</v>
      </c>
      <c r="G38" s="31">
        <f>SUM(NY_FINANCIAL)</f>
        <v>0</v>
      </c>
      <c r="H38" s="30"/>
      <c r="I38" s="30"/>
      <c r="J38" s="30"/>
      <c r="K38" s="30"/>
      <c r="L38" s="29"/>
      <c r="M38" s="30"/>
      <c r="N38" s="30"/>
      <c r="O38" s="30"/>
      <c r="P38" s="30"/>
      <c r="Q38" s="30"/>
      <c r="R38" s="30"/>
      <c r="S38" s="30"/>
      <c r="T38" s="30"/>
      <c r="U38" s="30"/>
      <c r="V38" s="31"/>
    </row>
    <row r="39" spans="1:22">
      <c r="A39" s="1" t="s">
        <v>60</v>
      </c>
      <c r="B39" s="29">
        <v>263540.59035943315</v>
      </c>
      <c r="C39" s="30">
        <v>0</v>
      </c>
      <c r="D39" s="30">
        <v>0</v>
      </c>
      <c r="E39" s="30">
        <v>0</v>
      </c>
      <c r="F39" s="30">
        <v>0</v>
      </c>
      <c r="G39" s="31">
        <f>SUM(NC_FINANCIAL)</f>
        <v>263540.59035943315</v>
      </c>
      <c r="H39" s="30"/>
      <c r="I39" s="30"/>
      <c r="J39" s="30"/>
      <c r="K39" s="30"/>
      <c r="L39" s="29">
        <v>300000</v>
      </c>
      <c r="M39" s="30">
        <v>0</v>
      </c>
      <c r="N39" s="30"/>
      <c r="O39" s="30">
        <v>0</v>
      </c>
      <c r="P39" s="30">
        <v>0</v>
      </c>
      <c r="Q39" s="30"/>
      <c r="R39" s="30">
        <v>0</v>
      </c>
      <c r="S39" s="30">
        <v>0</v>
      </c>
      <c r="T39" s="30"/>
      <c r="U39" s="30">
        <v>0</v>
      </c>
      <c r="V39" s="31">
        <v>0</v>
      </c>
    </row>
    <row r="40" spans="1:22">
      <c r="A40" s="1" t="s">
        <v>61</v>
      </c>
      <c r="B40" s="29">
        <v>0</v>
      </c>
      <c r="C40" s="30">
        <v>0</v>
      </c>
      <c r="D40" s="30">
        <v>0</v>
      </c>
      <c r="E40" s="30">
        <v>0</v>
      </c>
      <c r="F40" s="30">
        <v>0</v>
      </c>
      <c r="G40" s="31">
        <f>SUM(ND_FINANCIAL)</f>
        <v>0</v>
      </c>
      <c r="H40" s="30"/>
      <c r="I40" s="30"/>
      <c r="J40" s="30"/>
      <c r="K40" s="30"/>
      <c r="L40" s="29"/>
      <c r="M40" s="30"/>
      <c r="N40" s="30"/>
      <c r="O40" s="30"/>
      <c r="P40" s="30"/>
      <c r="Q40" s="30"/>
      <c r="R40" s="30"/>
      <c r="S40" s="30"/>
      <c r="T40" s="30"/>
      <c r="U40" s="30"/>
      <c r="V40" s="31"/>
    </row>
    <row r="41" spans="1:22">
      <c r="A41" s="1" t="s">
        <v>62</v>
      </c>
      <c r="B41" s="29">
        <v>0</v>
      </c>
      <c r="C41" s="30">
        <v>0</v>
      </c>
      <c r="D41" s="30">
        <v>0</v>
      </c>
      <c r="E41" s="30">
        <v>0</v>
      </c>
      <c r="F41" s="30">
        <v>0</v>
      </c>
      <c r="G41" s="31">
        <f>SUM(OH_FINANCIAL)</f>
        <v>0</v>
      </c>
      <c r="H41" s="30"/>
      <c r="I41" s="30"/>
      <c r="J41" s="30"/>
      <c r="K41" s="30"/>
      <c r="L41" s="29"/>
      <c r="M41" s="30"/>
      <c r="N41" s="30"/>
      <c r="O41" s="30"/>
      <c r="P41" s="30"/>
      <c r="Q41" s="30"/>
      <c r="R41" s="30"/>
      <c r="S41" s="30"/>
      <c r="T41" s="30"/>
      <c r="U41" s="30"/>
      <c r="V41" s="31"/>
    </row>
    <row r="42" spans="1:22">
      <c r="A42" s="1" t="s">
        <v>63</v>
      </c>
      <c r="B42" s="29">
        <v>0</v>
      </c>
      <c r="C42" s="30">
        <v>0</v>
      </c>
      <c r="D42" s="30">
        <v>0</v>
      </c>
      <c r="E42" s="30">
        <v>0</v>
      </c>
      <c r="F42" s="30">
        <v>0</v>
      </c>
      <c r="G42" s="31">
        <f>SUM(OK_FINANCIAL)</f>
        <v>0</v>
      </c>
      <c r="H42" s="30"/>
      <c r="I42" s="30"/>
      <c r="J42" s="30"/>
      <c r="K42" s="30"/>
      <c r="L42" s="29"/>
      <c r="M42" s="30"/>
      <c r="N42" s="30"/>
      <c r="O42" s="30"/>
      <c r="P42" s="30"/>
      <c r="Q42" s="30"/>
      <c r="R42" s="30"/>
      <c r="S42" s="30"/>
      <c r="T42" s="30"/>
      <c r="U42" s="30"/>
      <c r="V42" s="31"/>
    </row>
    <row r="43" spans="1:22">
      <c r="A43" s="1" t="s">
        <v>64</v>
      </c>
      <c r="B43" s="29">
        <v>0</v>
      </c>
      <c r="C43" s="30">
        <v>0</v>
      </c>
      <c r="D43" s="30">
        <v>0</v>
      </c>
      <c r="E43" s="30">
        <v>0</v>
      </c>
      <c r="F43" s="30">
        <v>0</v>
      </c>
      <c r="G43" s="31">
        <f>SUM(OR_FINANCIAL)</f>
        <v>0</v>
      </c>
      <c r="H43" s="30"/>
      <c r="I43" s="30"/>
      <c r="J43" s="30"/>
      <c r="K43" s="30"/>
      <c r="L43" s="29"/>
      <c r="M43" s="30"/>
      <c r="N43" s="30"/>
      <c r="O43" s="30"/>
      <c r="P43" s="30"/>
      <c r="Q43" s="30"/>
      <c r="R43" s="30"/>
      <c r="S43" s="30"/>
      <c r="T43" s="30"/>
      <c r="U43" s="30"/>
      <c r="V43" s="31"/>
    </row>
    <row r="44" spans="1:22">
      <c r="A44" s="1" t="s">
        <v>65</v>
      </c>
      <c r="B44" s="29">
        <v>0</v>
      </c>
      <c r="C44" s="30">
        <v>0</v>
      </c>
      <c r="D44" s="30">
        <v>0</v>
      </c>
      <c r="E44" s="30">
        <v>0</v>
      </c>
      <c r="F44" s="30">
        <v>0</v>
      </c>
      <c r="G44" s="31">
        <f>SUM(PA_FINANCIAL)</f>
        <v>0</v>
      </c>
      <c r="H44" s="30"/>
      <c r="I44" s="30"/>
      <c r="J44" s="30"/>
      <c r="K44" s="30"/>
      <c r="L44" s="29"/>
      <c r="M44" s="30"/>
      <c r="N44" s="30"/>
      <c r="O44" s="30"/>
      <c r="P44" s="30"/>
      <c r="Q44" s="30"/>
      <c r="R44" s="30"/>
      <c r="S44" s="30"/>
      <c r="T44" s="30"/>
      <c r="U44" s="30"/>
      <c r="V44" s="31"/>
    </row>
    <row r="45" spans="1:22">
      <c r="A45" s="1" t="s">
        <v>66</v>
      </c>
      <c r="B45" s="29">
        <v>0</v>
      </c>
      <c r="C45" s="30">
        <v>0</v>
      </c>
      <c r="D45" s="30">
        <v>0</v>
      </c>
      <c r="E45" s="30">
        <v>0</v>
      </c>
      <c r="F45" s="30">
        <v>0</v>
      </c>
      <c r="G45" s="31">
        <f>SUM(PR_FINANCIAL)</f>
        <v>0</v>
      </c>
      <c r="H45" s="30"/>
      <c r="I45" s="30"/>
      <c r="J45" s="30"/>
      <c r="K45" s="30"/>
      <c r="L45" s="29"/>
      <c r="M45" s="30"/>
      <c r="N45" s="30"/>
      <c r="O45" s="30"/>
      <c r="P45" s="30"/>
      <c r="Q45" s="30"/>
      <c r="R45" s="30"/>
      <c r="S45" s="30"/>
      <c r="T45" s="30"/>
      <c r="U45" s="30"/>
      <c r="V45" s="31"/>
    </row>
    <row r="46" spans="1:22">
      <c r="A46" s="1" t="s">
        <v>67</v>
      </c>
      <c r="B46" s="29">
        <v>0</v>
      </c>
      <c r="C46" s="30">
        <v>0</v>
      </c>
      <c r="D46" s="30">
        <v>0</v>
      </c>
      <c r="E46" s="30">
        <v>0</v>
      </c>
      <c r="F46" s="30">
        <v>0</v>
      </c>
      <c r="G46" s="31">
        <f>SUM(RI_FINANCIAL)</f>
        <v>0</v>
      </c>
      <c r="H46" s="30"/>
      <c r="I46" s="30"/>
      <c r="J46" s="30"/>
      <c r="K46" s="30"/>
      <c r="L46" s="29"/>
      <c r="M46" s="30"/>
      <c r="N46" s="30"/>
      <c r="O46" s="30"/>
      <c r="P46" s="30"/>
      <c r="Q46" s="30"/>
      <c r="R46" s="30"/>
      <c r="S46" s="30"/>
      <c r="T46" s="30"/>
      <c r="U46" s="30"/>
      <c r="V46" s="31"/>
    </row>
    <row r="47" spans="1:22">
      <c r="A47" s="1" t="s">
        <v>68</v>
      </c>
      <c r="B47" s="29">
        <v>0</v>
      </c>
      <c r="C47" s="30">
        <v>0</v>
      </c>
      <c r="D47" s="30">
        <v>0</v>
      </c>
      <c r="E47" s="30">
        <v>0</v>
      </c>
      <c r="F47" s="30">
        <v>0</v>
      </c>
      <c r="G47" s="31">
        <f>SUM(SC_FINANCIAL)</f>
        <v>0</v>
      </c>
      <c r="H47" s="30"/>
      <c r="I47" s="30"/>
      <c r="J47" s="30"/>
      <c r="K47" s="30"/>
      <c r="L47" s="29"/>
      <c r="M47" s="30"/>
      <c r="N47" s="30"/>
      <c r="O47" s="30"/>
      <c r="P47" s="30"/>
      <c r="Q47" s="30"/>
      <c r="R47" s="30"/>
      <c r="S47" s="30"/>
      <c r="T47" s="30"/>
      <c r="U47" s="30"/>
      <c r="V47" s="31"/>
    </row>
    <row r="48" spans="1:22">
      <c r="A48" s="1" t="s">
        <v>69</v>
      </c>
      <c r="B48" s="29">
        <v>0</v>
      </c>
      <c r="C48" s="30">
        <v>0</v>
      </c>
      <c r="D48" s="30">
        <v>0</v>
      </c>
      <c r="E48" s="30">
        <v>0</v>
      </c>
      <c r="F48" s="30">
        <v>0</v>
      </c>
      <c r="G48" s="31">
        <f>SUM(SD_FINANCIAL)</f>
        <v>0</v>
      </c>
      <c r="H48" s="30"/>
      <c r="I48" s="30"/>
      <c r="J48" s="30"/>
      <c r="K48" s="30"/>
      <c r="L48" s="29"/>
      <c r="M48" s="30"/>
      <c r="N48" s="30"/>
      <c r="O48" s="30"/>
      <c r="P48" s="30"/>
      <c r="Q48" s="30"/>
      <c r="R48" s="30"/>
      <c r="S48" s="30"/>
      <c r="T48" s="30"/>
      <c r="U48" s="30"/>
      <c r="V48" s="31"/>
    </row>
    <row r="49" spans="1:22">
      <c r="A49" s="1" t="s">
        <v>70</v>
      </c>
      <c r="B49" s="29">
        <v>364.99985243726582</v>
      </c>
      <c r="C49" s="30">
        <v>0</v>
      </c>
      <c r="D49" s="30">
        <v>0</v>
      </c>
      <c r="E49" s="30">
        <v>0</v>
      </c>
      <c r="F49" s="30">
        <v>0</v>
      </c>
      <c r="G49" s="31">
        <f>SUM(TN_FINANCIAL)</f>
        <v>364.99985243726582</v>
      </c>
      <c r="H49" s="30"/>
      <c r="I49" s="30"/>
      <c r="J49" s="30"/>
      <c r="K49" s="30"/>
      <c r="L49" s="29"/>
      <c r="M49" s="30"/>
      <c r="N49" s="30"/>
      <c r="O49" s="30"/>
      <c r="P49" s="30"/>
      <c r="Q49" s="30"/>
      <c r="R49" s="30"/>
      <c r="S49" s="30"/>
      <c r="T49" s="30"/>
      <c r="U49" s="30"/>
      <c r="V49" s="31"/>
    </row>
    <row r="50" spans="1:22">
      <c r="A50" s="1" t="s">
        <v>71</v>
      </c>
      <c r="B50" s="29">
        <v>239167.93747019029</v>
      </c>
      <c r="C50" s="30">
        <v>0</v>
      </c>
      <c r="D50" s="30">
        <v>0</v>
      </c>
      <c r="E50" s="30">
        <v>0</v>
      </c>
      <c r="F50" s="30">
        <v>0</v>
      </c>
      <c r="G50" s="31">
        <f>SUM(TX_FINANCIAL)</f>
        <v>239167.93747019029</v>
      </c>
      <c r="H50" s="30"/>
      <c r="I50" s="30"/>
      <c r="J50" s="30"/>
      <c r="K50" s="30"/>
      <c r="L50" s="29">
        <v>0</v>
      </c>
      <c r="M50" s="30">
        <v>0</v>
      </c>
      <c r="N50" s="30"/>
      <c r="O50" s="30">
        <v>0</v>
      </c>
      <c r="P50" s="30">
        <v>0</v>
      </c>
      <c r="Q50" s="30"/>
      <c r="R50" s="30">
        <v>224926</v>
      </c>
      <c r="S50" s="30">
        <v>0</v>
      </c>
      <c r="T50" s="30"/>
      <c r="U50" s="30">
        <v>0</v>
      </c>
      <c r="V50" s="31">
        <v>0</v>
      </c>
    </row>
    <row r="51" spans="1:22">
      <c r="A51" s="1" t="s">
        <v>72</v>
      </c>
      <c r="B51" s="29">
        <v>0</v>
      </c>
      <c r="C51" s="30">
        <v>0</v>
      </c>
      <c r="D51" s="30">
        <v>0</v>
      </c>
      <c r="E51" s="30">
        <v>0</v>
      </c>
      <c r="F51" s="30">
        <v>0</v>
      </c>
      <c r="G51" s="31">
        <f>SUM(UT_FINANCIAL)</f>
        <v>0</v>
      </c>
      <c r="H51" s="30"/>
      <c r="I51" s="30"/>
      <c r="J51" s="30"/>
      <c r="K51" s="30"/>
      <c r="L51" s="29"/>
      <c r="M51" s="30"/>
      <c r="N51" s="30"/>
      <c r="O51" s="30"/>
      <c r="P51" s="30"/>
      <c r="Q51" s="30"/>
      <c r="R51" s="30"/>
      <c r="S51" s="30"/>
      <c r="T51" s="30"/>
      <c r="U51" s="30"/>
      <c r="V51" s="31"/>
    </row>
    <row r="52" spans="1:22">
      <c r="A52" s="1" t="s">
        <v>73</v>
      </c>
      <c r="B52" s="29">
        <v>0</v>
      </c>
      <c r="C52" s="30">
        <v>0</v>
      </c>
      <c r="D52" s="30">
        <v>0</v>
      </c>
      <c r="E52" s="30">
        <v>0</v>
      </c>
      <c r="F52" s="30">
        <v>0</v>
      </c>
      <c r="G52" s="31">
        <f>SUM(VT_FINANCIAL)</f>
        <v>0</v>
      </c>
      <c r="H52" s="30"/>
      <c r="I52" s="30"/>
      <c r="J52" s="30"/>
      <c r="K52" s="30"/>
      <c r="L52" s="29"/>
      <c r="M52" s="30"/>
      <c r="N52" s="30"/>
      <c r="O52" s="30"/>
      <c r="P52" s="30"/>
      <c r="Q52" s="30"/>
      <c r="R52" s="30"/>
      <c r="S52" s="30"/>
      <c r="T52" s="30"/>
      <c r="U52" s="30"/>
      <c r="V52" s="31"/>
    </row>
    <row r="53" spans="1:22">
      <c r="A53" s="1" t="s">
        <v>74</v>
      </c>
      <c r="B53" s="29">
        <v>0</v>
      </c>
      <c r="C53" s="30">
        <v>0</v>
      </c>
      <c r="D53" s="30">
        <v>0</v>
      </c>
      <c r="E53" s="30">
        <v>0</v>
      </c>
      <c r="F53" s="30">
        <v>0</v>
      </c>
      <c r="G53" s="31">
        <f>SUM(VA_FINANCIAL)</f>
        <v>0</v>
      </c>
      <c r="H53" s="30"/>
      <c r="I53" s="30"/>
      <c r="J53" s="30"/>
      <c r="K53" s="30"/>
      <c r="L53" s="29"/>
      <c r="M53" s="30"/>
      <c r="N53" s="30"/>
      <c r="O53" s="30"/>
      <c r="P53" s="30"/>
      <c r="Q53" s="30"/>
      <c r="R53" s="30"/>
      <c r="S53" s="30"/>
      <c r="T53" s="30"/>
      <c r="U53" s="30"/>
      <c r="V53" s="31"/>
    </row>
    <row r="54" spans="1:22">
      <c r="A54" s="1" t="s">
        <v>75</v>
      </c>
      <c r="B54" s="29">
        <v>0</v>
      </c>
      <c r="C54" s="30">
        <v>0</v>
      </c>
      <c r="D54" s="30">
        <v>0</v>
      </c>
      <c r="E54" s="30">
        <v>0</v>
      </c>
      <c r="F54" s="30">
        <v>0</v>
      </c>
      <c r="G54" s="31">
        <f>SUM(WA_FINANCIAL)</f>
        <v>0</v>
      </c>
      <c r="H54" s="30"/>
      <c r="I54" s="30"/>
      <c r="J54" s="30"/>
      <c r="K54" s="30"/>
      <c r="L54" s="29"/>
      <c r="M54" s="30"/>
      <c r="N54" s="30"/>
      <c r="O54" s="30"/>
      <c r="P54" s="30"/>
      <c r="Q54" s="30"/>
      <c r="R54" s="30"/>
      <c r="S54" s="30"/>
      <c r="T54" s="30"/>
      <c r="U54" s="30"/>
      <c r="V54" s="31"/>
    </row>
    <row r="55" spans="1:22">
      <c r="A55" s="1" t="s">
        <v>76</v>
      </c>
      <c r="B55" s="29">
        <v>0</v>
      </c>
      <c r="C55" s="30">
        <v>0</v>
      </c>
      <c r="D55" s="30">
        <v>0</v>
      </c>
      <c r="E55" s="30">
        <v>0</v>
      </c>
      <c r="F55" s="30">
        <v>0</v>
      </c>
      <c r="G55" s="31">
        <f>SUM(WV_FINANCIAL)</f>
        <v>0</v>
      </c>
      <c r="H55" s="30"/>
      <c r="I55" s="30"/>
      <c r="J55" s="30"/>
      <c r="K55" s="30"/>
      <c r="L55" s="29"/>
      <c r="M55" s="30"/>
      <c r="N55" s="30"/>
      <c r="O55" s="30"/>
      <c r="P55" s="30"/>
      <c r="Q55" s="30"/>
      <c r="R55" s="30"/>
      <c r="S55" s="30"/>
      <c r="T55" s="30"/>
      <c r="U55" s="30"/>
      <c r="V55" s="31"/>
    </row>
    <row r="56" spans="1:22">
      <c r="A56" s="1" t="s">
        <v>77</v>
      </c>
      <c r="B56" s="29">
        <v>0</v>
      </c>
      <c r="C56" s="30">
        <v>0</v>
      </c>
      <c r="D56" s="30">
        <v>0</v>
      </c>
      <c r="E56" s="30">
        <v>0</v>
      </c>
      <c r="F56" s="30">
        <v>0</v>
      </c>
      <c r="G56" s="31">
        <f>SUM(WI_FINANCIAL)</f>
        <v>0</v>
      </c>
      <c r="H56" s="30"/>
      <c r="I56" s="30"/>
      <c r="J56" s="30"/>
      <c r="K56" s="30"/>
      <c r="L56" s="29"/>
      <c r="M56" s="30"/>
      <c r="N56" s="30"/>
      <c r="O56" s="30"/>
      <c r="P56" s="30"/>
      <c r="Q56" s="30"/>
      <c r="R56" s="30"/>
      <c r="S56" s="30"/>
      <c r="T56" s="30"/>
      <c r="U56" s="30"/>
      <c r="V56" s="31"/>
    </row>
    <row r="57" spans="1:22">
      <c r="A57" s="1" t="s">
        <v>78</v>
      </c>
      <c r="B57" s="29">
        <v>0</v>
      </c>
      <c r="C57" s="30">
        <v>0</v>
      </c>
      <c r="D57" s="30">
        <v>0</v>
      </c>
      <c r="E57" s="30">
        <v>0</v>
      </c>
      <c r="F57" s="30">
        <v>0</v>
      </c>
      <c r="G57" s="31">
        <f>SUM(WY_FINANCIAL)</f>
        <v>0</v>
      </c>
      <c r="H57" s="30"/>
      <c r="I57" s="30"/>
      <c r="J57" s="30"/>
      <c r="K57" s="30"/>
      <c r="L57" s="29"/>
      <c r="M57" s="30"/>
      <c r="N57" s="30"/>
      <c r="O57" s="30"/>
      <c r="P57" s="30"/>
      <c r="Q57" s="30"/>
      <c r="R57" s="30"/>
      <c r="S57" s="30"/>
      <c r="T57" s="30"/>
      <c r="U57" s="30"/>
      <c r="V57" s="31"/>
    </row>
    <row r="58" spans="1:22">
      <c r="A58" s="1" t="s">
        <v>79</v>
      </c>
      <c r="B58" s="29">
        <v>0</v>
      </c>
      <c r="C58" s="30">
        <v>0</v>
      </c>
      <c r="D58" s="30">
        <v>0</v>
      </c>
      <c r="E58" s="30">
        <v>0</v>
      </c>
      <c r="F58" s="30">
        <v>0</v>
      </c>
      <c r="G58" s="31">
        <f>SUM(OT_FINANCIAL)</f>
        <v>0</v>
      </c>
      <c r="H58" s="30"/>
      <c r="I58" s="30"/>
      <c r="J58" s="30"/>
      <c r="K58" s="30"/>
      <c r="L58" s="29"/>
      <c r="M58" s="30"/>
      <c r="N58" s="30"/>
      <c r="O58" s="30"/>
      <c r="P58" s="30"/>
      <c r="Q58" s="30"/>
      <c r="R58" s="30"/>
      <c r="S58" s="30"/>
      <c r="T58" s="30"/>
      <c r="U58" s="30"/>
      <c r="V58" s="31"/>
    </row>
    <row r="59" spans="1:22">
      <c r="B59" s="29"/>
      <c r="C59" s="30"/>
      <c r="D59" s="30"/>
      <c r="E59" s="30"/>
      <c r="F59" s="30"/>
      <c r="G59" s="31"/>
      <c r="H59" s="30"/>
      <c r="I59" s="30"/>
      <c r="J59" s="30"/>
      <c r="K59" s="30"/>
      <c r="L59" s="29"/>
      <c r="M59" s="30"/>
      <c r="N59" s="30"/>
      <c r="O59" s="30"/>
      <c r="P59" s="30"/>
      <c r="Q59" s="30"/>
      <c r="R59" s="30"/>
      <c r="S59" s="30"/>
      <c r="T59" s="30"/>
      <c r="U59" s="30"/>
      <c r="V59" s="31"/>
    </row>
    <row r="60" spans="1:22">
      <c r="A60" s="1" t="s">
        <v>8</v>
      </c>
      <c r="B60" s="29">
        <f>SUM(LIFE)</f>
        <v>1528853.5739999998</v>
      </c>
      <c r="C60" s="30">
        <f>SUM(ALLOCATED)</f>
        <v>12328.5</v>
      </c>
      <c r="D60" s="30">
        <f>SUM(HEALTH)</f>
        <v>59498.78</v>
      </c>
      <c r="E60" s="30">
        <f>SUM(UNALLOCATED)</f>
        <v>0</v>
      </c>
      <c r="F60" s="30">
        <f>SUM(LTC)</f>
        <v>0</v>
      </c>
      <c r="G60" s="31">
        <f>SUM(ALL_BLOCKS)</f>
        <v>1600680.8539999998</v>
      </c>
      <c r="H60" s="30"/>
      <c r="I60" s="30"/>
      <c r="J60" s="30"/>
      <c r="K60" s="30"/>
      <c r="L60" s="29">
        <f>SUM(LIFE_CALLED)</f>
        <v>500000</v>
      </c>
      <c r="M60" s="30">
        <f>SUM(LIFE_REFUNDED)</f>
        <v>0</v>
      </c>
      <c r="N60" s="30"/>
      <c r="O60" s="30">
        <f>SUM(ALLOC_CALLED)</f>
        <v>100000</v>
      </c>
      <c r="P60" s="30">
        <f>SUM(ALLOC_REFUNDED)</f>
        <v>0</v>
      </c>
      <c r="Q60" s="30"/>
      <c r="R60" s="30">
        <f>SUM(HEALTH_CALLED)</f>
        <v>224926</v>
      </c>
      <c r="S60" s="30">
        <f>SUM(HEALTH_REFUNDED)</f>
        <v>0</v>
      </c>
      <c r="T60" s="30"/>
      <c r="U60" s="30">
        <f>SUM(UNALLOC_CALLED)</f>
        <v>0</v>
      </c>
      <c r="V60" s="31">
        <f>SUM(UNALLOC_REFUNDED)</f>
        <v>0</v>
      </c>
    </row>
    <row r="61" spans="1:22" ht="5.0999999999999996" customHeight="1">
      <c r="B61" s="8"/>
      <c r="G61" s="11"/>
      <c r="L61" s="8"/>
      <c r="V61" s="11"/>
    </row>
    <row r="62" spans="1:22">
      <c r="B62" s="8"/>
      <c r="G62" s="11"/>
      <c r="L62" s="122" t="s">
        <v>80</v>
      </c>
      <c r="M62" s="123"/>
      <c r="N62" s="123"/>
      <c r="O62" s="123"/>
      <c r="P62" s="123"/>
      <c r="Q62" s="123"/>
      <c r="R62" s="123"/>
      <c r="S62" s="123"/>
      <c r="T62" s="123"/>
      <c r="U62" s="123"/>
      <c r="V62" s="124"/>
    </row>
    <row r="63" spans="1:22">
      <c r="B63" s="8"/>
      <c r="G63" s="11"/>
      <c r="L63" s="125"/>
      <c r="M63" s="123"/>
      <c r="N63" s="123"/>
      <c r="O63" s="123"/>
      <c r="P63" s="123"/>
      <c r="Q63" s="123"/>
      <c r="R63" s="123"/>
      <c r="S63" s="123"/>
      <c r="T63" s="123"/>
      <c r="U63" s="123"/>
      <c r="V63" s="124"/>
    </row>
    <row r="64" spans="1:22">
      <c r="B64" s="10"/>
      <c r="C64" s="7"/>
      <c r="D64" s="7"/>
      <c r="E64" s="7"/>
      <c r="F64" s="7"/>
      <c r="G64" s="13"/>
      <c r="L64" s="126"/>
      <c r="M64" s="127"/>
      <c r="N64" s="127"/>
      <c r="O64" s="127"/>
      <c r="P64" s="127"/>
      <c r="Q64" s="127"/>
      <c r="R64" s="127"/>
      <c r="S64" s="127"/>
      <c r="T64" s="127"/>
      <c r="U64" s="127"/>
      <c r="V64" s="128"/>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pageSetUpPr fitToPage="1"/>
  </sheetPr>
  <dimension ref="A1:V64"/>
  <sheetViews>
    <sheetView zoomScale="75" workbookViewId="0">
      <selection sqref="A1:XFD1048576"/>
    </sheetView>
  </sheetViews>
  <sheetFormatPr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129" t="s">
        <v>123</v>
      </c>
      <c r="B1" s="123"/>
      <c r="C1" s="123"/>
      <c r="D1" s="123"/>
      <c r="E1" s="123"/>
      <c r="F1" s="123"/>
      <c r="G1" s="123"/>
    </row>
    <row r="3" spans="1:22">
      <c r="B3" s="130" t="s">
        <v>1</v>
      </c>
      <c r="C3" s="131"/>
      <c r="D3" s="131"/>
      <c r="E3" s="131"/>
      <c r="F3" s="131"/>
      <c r="G3" s="132"/>
      <c r="L3" s="133" t="s">
        <v>2</v>
      </c>
      <c r="M3" s="134"/>
      <c r="N3" s="134"/>
      <c r="O3" s="134"/>
      <c r="P3" s="134"/>
      <c r="Q3" s="134"/>
      <c r="R3" s="134"/>
      <c r="S3" s="134"/>
      <c r="T3" s="134"/>
      <c r="U3" s="134"/>
      <c r="V3" s="135"/>
    </row>
    <row r="4" spans="1:22">
      <c r="B4" s="8"/>
      <c r="G4" s="11"/>
      <c r="L4" s="136" t="s">
        <v>3</v>
      </c>
      <c r="M4" s="137"/>
      <c r="N4" s="4"/>
      <c r="O4" s="138" t="s">
        <v>4</v>
      </c>
      <c r="P4" s="137"/>
      <c r="Q4" s="4"/>
      <c r="R4" s="138" t="s">
        <v>5</v>
      </c>
      <c r="S4" s="137"/>
      <c r="T4" s="4"/>
      <c r="U4" s="138" t="s">
        <v>6</v>
      </c>
      <c r="V4" s="139"/>
    </row>
    <row r="5" spans="1:22" ht="60" customHeight="1">
      <c r="B5" s="9" t="s">
        <v>3</v>
      </c>
      <c r="C5" s="5" t="s">
        <v>4</v>
      </c>
      <c r="D5" s="5" t="s">
        <v>5</v>
      </c>
      <c r="E5" s="5" t="s">
        <v>6</v>
      </c>
      <c r="F5" s="5" t="s">
        <v>7</v>
      </c>
      <c r="G5" s="12" t="s">
        <v>8</v>
      </c>
      <c r="L5" s="15" t="s">
        <v>9</v>
      </c>
      <c r="M5" s="14" t="s">
        <v>10</v>
      </c>
      <c r="N5" s="14"/>
      <c r="O5" s="14" t="s">
        <v>9</v>
      </c>
      <c r="P5" s="14" t="s">
        <v>10</v>
      </c>
      <c r="Q5" s="14"/>
      <c r="R5" s="14" t="s">
        <v>9</v>
      </c>
      <c r="S5" s="14" t="s">
        <v>10</v>
      </c>
      <c r="T5" s="14"/>
      <c r="U5" s="14" t="s">
        <v>9</v>
      </c>
      <c r="V5" s="16" t="s">
        <v>10</v>
      </c>
    </row>
    <row r="6" spans="1:22">
      <c r="A6" s="1" t="s">
        <v>11</v>
      </c>
      <c r="B6" s="29">
        <v>42367.607213945696</v>
      </c>
      <c r="C6" s="30">
        <v>335132.24654015223</v>
      </c>
      <c r="D6" s="30">
        <v>0</v>
      </c>
      <c r="E6" s="30">
        <v>0</v>
      </c>
      <c r="F6" s="30">
        <v>0</v>
      </c>
      <c r="G6" s="31">
        <f>SUM(AL_FINANCIAL)</f>
        <v>377499.85375409795</v>
      </c>
      <c r="H6" s="30"/>
      <c r="I6" s="30"/>
      <c r="J6" s="30"/>
      <c r="K6" s="30"/>
      <c r="L6" s="29">
        <v>380000</v>
      </c>
      <c r="M6" s="30">
        <v>0</v>
      </c>
      <c r="N6" s="30"/>
      <c r="O6" s="30">
        <v>302720</v>
      </c>
      <c r="P6" s="30">
        <v>0</v>
      </c>
      <c r="Q6" s="30"/>
      <c r="R6" s="30">
        <v>0</v>
      </c>
      <c r="S6" s="30">
        <v>0</v>
      </c>
      <c r="T6" s="30"/>
      <c r="U6" s="30">
        <v>0</v>
      </c>
      <c r="V6" s="31">
        <v>0</v>
      </c>
    </row>
    <row r="7" spans="1:22">
      <c r="A7" s="1" t="s">
        <v>12</v>
      </c>
      <c r="B7" s="29">
        <v>31998.180562776775</v>
      </c>
      <c r="C7" s="30">
        <v>212689.17742677795</v>
      </c>
      <c r="D7" s="30">
        <v>0</v>
      </c>
      <c r="E7" s="30">
        <v>0</v>
      </c>
      <c r="F7" s="30">
        <v>0</v>
      </c>
      <c r="G7" s="31">
        <f>SUM(AK_FINANCIAL)</f>
        <v>244687.35798955473</v>
      </c>
      <c r="H7" s="30"/>
      <c r="I7" s="32"/>
      <c r="J7" s="33"/>
      <c r="K7" s="30"/>
      <c r="L7" s="29">
        <v>80878</v>
      </c>
      <c r="M7" s="30">
        <v>14180</v>
      </c>
      <c r="N7" s="30"/>
      <c r="O7" s="30">
        <v>566741</v>
      </c>
      <c r="P7" s="30">
        <v>121990</v>
      </c>
      <c r="Q7" s="30"/>
      <c r="R7" s="30">
        <v>0</v>
      </c>
      <c r="S7" s="30">
        <v>0</v>
      </c>
      <c r="T7" s="30"/>
      <c r="U7" s="30">
        <v>2000</v>
      </c>
      <c r="V7" s="31">
        <v>0</v>
      </c>
    </row>
    <row r="8" spans="1:22">
      <c r="A8" s="1" t="s">
        <v>13</v>
      </c>
      <c r="B8" s="29">
        <v>385141.02010123432</v>
      </c>
      <c r="C8" s="30">
        <v>1113946.337848271</v>
      </c>
      <c r="D8" s="30">
        <v>0</v>
      </c>
      <c r="E8" s="30">
        <v>0</v>
      </c>
      <c r="F8" s="30">
        <v>0</v>
      </c>
      <c r="G8" s="31">
        <f>SUM(AZ_FINANCIAL)</f>
        <v>1499087.3579495053</v>
      </c>
      <c r="H8" s="30"/>
      <c r="I8" s="34" t="s">
        <v>14</v>
      </c>
      <c r="J8" s="35"/>
      <c r="K8" s="30"/>
      <c r="L8" s="29">
        <v>559164</v>
      </c>
      <c r="M8" s="30">
        <v>0</v>
      </c>
      <c r="N8" s="30"/>
      <c r="O8" s="30">
        <v>3944426</v>
      </c>
      <c r="P8" s="30">
        <v>0</v>
      </c>
      <c r="Q8" s="30"/>
      <c r="R8" s="30">
        <v>0</v>
      </c>
      <c r="S8" s="30">
        <v>0</v>
      </c>
      <c r="T8" s="30"/>
      <c r="U8" s="30">
        <v>0</v>
      </c>
      <c r="V8" s="31">
        <v>0</v>
      </c>
    </row>
    <row r="9" spans="1:22">
      <c r="A9" s="1" t="s">
        <v>15</v>
      </c>
      <c r="B9" s="29">
        <v>65053.097678604187</v>
      </c>
      <c r="C9" s="30">
        <v>358141.56943924038</v>
      </c>
      <c r="D9" s="30">
        <v>0</v>
      </c>
      <c r="E9" s="30">
        <v>0</v>
      </c>
      <c r="F9" s="30">
        <v>0</v>
      </c>
      <c r="G9" s="31">
        <f>SUM(AR_FINANCIAL)</f>
        <v>423194.66711784457</v>
      </c>
      <c r="H9" s="30"/>
      <c r="I9" s="34"/>
      <c r="J9" s="35"/>
      <c r="K9" s="30"/>
      <c r="L9" s="29">
        <v>1149754</v>
      </c>
      <c r="M9" s="30">
        <v>0</v>
      </c>
      <c r="N9" s="30"/>
      <c r="O9" s="30">
        <v>0</v>
      </c>
      <c r="P9" s="30">
        <v>0</v>
      </c>
      <c r="Q9" s="30"/>
      <c r="R9" s="30">
        <v>0</v>
      </c>
      <c r="S9" s="30">
        <v>0</v>
      </c>
      <c r="T9" s="30"/>
      <c r="U9" s="30">
        <v>0</v>
      </c>
      <c r="V9" s="31">
        <v>0</v>
      </c>
    </row>
    <row r="10" spans="1:22">
      <c r="A10" s="1" t="s">
        <v>16</v>
      </c>
      <c r="B10" s="29">
        <v>0</v>
      </c>
      <c r="C10" s="30">
        <v>0</v>
      </c>
      <c r="D10" s="30">
        <v>0</v>
      </c>
      <c r="E10" s="30">
        <v>0</v>
      </c>
      <c r="F10" s="30">
        <v>0</v>
      </c>
      <c r="G10" s="31">
        <f>SUM(CA_FINANCIAL)</f>
        <v>0</v>
      </c>
      <c r="H10" s="30"/>
      <c r="I10" s="34" t="s">
        <v>17</v>
      </c>
      <c r="J10" s="35">
        <v>600117017.40107167</v>
      </c>
      <c r="K10" s="30"/>
      <c r="L10" s="29"/>
      <c r="M10" s="30"/>
      <c r="N10" s="30"/>
      <c r="O10" s="30"/>
      <c r="P10" s="30"/>
      <c r="Q10" s="30"/>
      <c r="R10" s="30"/>
      <c r="S10" s="30"/>
      <c r="T10" s="30"/>
      <c r="U10" s="30"/>
      <c r="V10" s="31"/>
    </row>
    <row r="11" spans="1:22">
      <c r="A11" s="1" t="s">
        <v>18</v>
      </c>
      <c r="B11" s="29">
        <v>0</v>
      </c>
      <c r="C11" s="30">
        <v>0</v>
      </c>
      <c r="D11" s="30">
        <v>0</v>
      </c>
      <c r="E11" s="30">
        <v>0</v>
      </c>
      <c r="F11" s="30">
        <v>0</v>
      </c>
      <c r="G11" s="31">
        <f>SUM(CO_FINANCIAL)</f>
        <v>0</v>
      </c>
      <c r="H11" s="30"/>
      <c r="I11" s="34"/>
      <c r="J11" s="35"/>
      <c r="K11" s="30"/>
      <c r="L11" s="29">
        <v>25200</v>
      </c>
      <c r="M11" s="30">
        <v>0</v>
      </c>
      <c r="N11" s="30"/>
      <c r="O11" s="30">
        <v>44800</v>
      </c>
      <c r="P11" s="30">
        <v>0</v>
      </c>
      <c r="Q11" s="30"/>
      <c r="R11" s="30">
        <v>0</v>
      </c>
      <c r="S11" s="30">
        <v>0</v>
      </c>
      <c r="T11" s="30"/>
      <c r="U11" s="30">
        <v>0</v>
      </c>
      <c r="V11" s="31">
        <v>0</v>
      </c>
    </row>
    <row r="12" spans="1:22">
      <c r="A12" s="1" t="s">
        <v>19</v>
      </c>
      <c r="B12" s="29">
        <v>0</v>
      </c>
      <c r="C12" s="30">
        <v>0</v>
      </c>
      <c r="D12" s="30">
        <v>0</v>
      </c>
      <c r="E12" s="30">
        <v>0</v>
      </c>
      <c r="F12" s="30">
        <v>0</v>
      </c>
      <c r="G12" s="31">
        <f>SUM(CT_FINANCIAL)</f>
        <v>0</v>
      </c>
      <c r="H12" s="30"/>
      <c r="I12" s="34" t="s">
        <v>20</v>
      </c>
      <c r="J12" s="35"/>
      <c r="K12" s="30"/>
      <c r="L12" s="29"/>
      <c r="M12" s="30"/>
      <c r="N12" s="30"/>
      <c r="O12" s="30"/>
      <c r="P12" s="30"/>
      <c r="Q12" s="30"/>
      <c r="R12" s="30"/>
      <c r="S12" s="30"/>
      <c r="T12" s="30"/>
      <c r="U12" s="30"/>
      <c r="V12" s="31"/>
    </row>
    <row r="13" spans="1:22">
      <c r="A13" s="1" t="s">
        <v>21</v>
      </c>
      <c r="B13" s="29">
        <v>65143.531405969239</v>
      </c>
      <c r="C13" s="30">
        <v>251516.24153908808</v>
      </c>
      <c r="D13" s="30">
        <v>0</v>
      </c>
      <c r="E13" s="30">
        <v>0</v>
      </c>
      <c r="F13" s="30">
        <v>0</v>
      </c>
      <c r="G13" s="31">
        <f>SUM(DE_FINANCIAL)</f>
        <v>316659.77294505731</v>
      </c>
      <c r="H13" s="30"/>
      <c r="I13" s="34" t="s">
        <v>22</v>
      </c>
      <c r="J13" s="35">
        <v>0</v>
      </c>
      <c r="K13" s="30"/>
      <c r="L13" s="29">
        <v>209250</v>
      </c>
      <c r="M13" s="30">
        <v>0</v>
      </c>
      <c r="N13" s="30"/>
      <c r="O13" s="30">
        <v>627750</v>
      </c>
      <c r="P13" s="30">
        <v>0</v>
      </c>
      <c r="Q13" s="30"/>
      <c r="R13" s="30">
        <v>0</v>
      </c>
      <c r="S13" s="30">
        <v>0</v>
      </c>
      <c r="T13" s="30"/>
      <c r="U13" s="30">
        <v>0</v>
      </c>
      <c r="V13" s="31">
        <v>0</v>
      </c>
    </row>
    <row r="14" spans="1:22">
      <c r="A14" s="1" t="s">
        <v>23</v>
      </c>
      <c r="B14" s="29">
        <v>0</v>
      </c>
      <c r="C14" s="30">
        <v>0</v>
      </c>
      <c r="D14" s="30">
        <v>0</v>
      </c>
      <c r="E14" s="30">
        <v>0</v>
      </c>
      <c r="F14" s="30">
        <v>0</v>
      </c>
      <c r="G14" s="31">
        <f>SUM(DC_FINANCIAL)</f>
        <v>0</v>
      </c>
      <c r="H14" s="30"/>
      <c r="I14" s="34" t="s">
        <v>24</v>
      </c>
      <c r="J14" s="35">
        <v>0</v>
      </c>
      <c r="K14" s="30"/>
      <c r="L14" s="29"/>
      <c r="M14" s="30"/>
      <c r="N14" s="30"/>
      <c r="O14" s="30"/>
      <c r="P14" s="30"/>
      <c r="Q14" s="30"/>
      <c r="R14" s="30"/>
      <c r="S14" s="30"/>
      <c r="T14" s="30"/>
      <c r="U14" s="30"/>
      <c r="V14" s="31"/>
    </row>
    <row r="15" spans="1:22">
      <c r="A15" s="1" t="s">
        <v>25</v>
      </c>
      <c r="B15" s="29">
        <v>5387870.8912255764</v>
      </c>
      <c r="C15" s="30">
        <v>12421305.022911783</v>
      </c>
      <c r="D15" s="30">
        <v>0</v>
      </c>
      <c r="E15" s="30">
        <v>0</v>
      </c>
      <c r="F15" s="30">
        <v>0</v>
      </c>
      <c r="G15" s="31">
        <f>SUM(FL_FINANCIAL)</f>
        <v>17809175.91413736</v>
      </c>
      <c r="H15" s="30"/>
      <c r="I15" s="34" t="s">
        <v>26</v>
      </c>
      <c r="J15" s="35">
        <v>4528663.84</v>
      </c>
      <c r="K15" s="30"/>
      <c r="L15" s="29">
        <v>13095654</v>
      </c>
      <c r="M15" s="30">
        <v>0</v>
      </c>
      <c r="N15" s="30"/>
      <c r="O15" s="30">
        <v>26446748</v>
      </c>
      <c r="P15" s="30">
        <v>0</v>
      </c>
      <c r="Q15" s="30"/>
      <c r="R15" s="30">
        <v>0</v>
      </c>
      <c r="S15" s="30">
        <v>0</v>
      </c>
      <c r="T15" s="30"/>
      <c r="U15" s="30">
        <v>0</v>
      </c>
      <c r="V15" s="31">
        <v>0</v>
      </c>
    </row>
    <row r="16" spans="1:22">
      <c r="A16" s="1" t="s">
        <v>27</v>
      </c>
      <c r="B16" s="29">
        <v>319703.32180823694</v>
      </c>
      <c r="C16" s="30">
        <v>1218938.8393791202</v>
      </c>
      <c r="D16" s="30">
        <v>0</v>
      </c>
      <c r="E16" s="30">
        <v>0</v>
      </c>
      <c r="F16" s="30">
        <v>0</v>
      </c>
      <c r="G16" s="31">
        <f>SUM(GA_FINANCIAL)</f>
        <v>1538642.161187357</v>
      </c>
      <c r="H16" s="30"/>
      <c r="I16" s="34" t="s">
        <v>28</v>
      </c>
      <c r="J16" s="35">
        <v>0</v>
      </c>
      <c r="K16" s="30"/>
      <c r="L16" s="29">
        <v>1064376</v>
      </c>
      <c r="M16" s="30">
        <v>0</v>
      </c>
      <c r="N16" s="30"/>
      <c r="O16" s="30">
        <v>3444406</v>
      </c>
      <c r="P16" s="30">
        <v>63866.17</v>
      </c>
      <c r="Q16" s="30"/>
      <c r="R16" s="30">
        <v>0</v>
      </c>
      <c r="S16" s="30">
        <v>0</v>
      </c>
      <c r="T16" s="30"/>
      <c r="U16" s="30">
        <v>0</v>
      </c>
      <c r="V16" s="31">
        <v>0</v>
      </c>
    </row>
    <row r="17" spans="1:22">
      <c r="A17" s="1" t="s">
        <v>29</v>
      </c>
      <c r="B17" s="29">
        <v>0</v>
      </c>
      <c r="C17" s="30">
        <v>0</v>
      </c>
      <c r="D17" s="30">
        <v>0</v>
      </c>
      <c r="E17" s="30">
        <v>0</v>
      </c>
      <c r="F17" s="30">
        <v>0</v>
      </c>
      <c r="G17" s="31">
        <f>SUM(HI_FINANCIAL)</f>
        <v>0</v>
      </c>
      <c r="H17" s="30"/>
      <c r="I17" s="34"/>
      <c r="J17" s="35"/>
      <c r="K17" s="30"/>
      <c r="L17" s="29"/>
      <c r="M17" s="30"/>
      <c r="N17" s="30"/>
      <c r="O17" s="30"/>
      <c r="P17" s="30"/>
      <c r="Q17" s="30"/>
      <c r="R17" s="30"/>
      <c r="S17" s="30"/>
      <c r="T17" s="30"/>
      <c r="U17" s="30"/>
      <c r="V17" s="31"/>
    </row>
    <row r="18" spans="1:22">
      <c r="A18" s="1" t="s">
        <v>30</v>
      </c>
      <c r="B18" s="29">
        <v>59490.89517713547</v>
      </c>
      <c r="C18" s="30">
        <v>441401.38587868289</v>
      </c>
      <c r="D18" s="30">
        <v>0</v>
      </c>
      <c r="E18" s="30">
        <v>0</v>
      </c>
      <c r="F18" s="30">
        <v>0</v>
      </c>
      <c r="G18" s="31">
        <f>SUM(ID_FINANCIAL)</f>
        <v>500892.28105581837</v>
      </c>
      <c r="H18" s="30"/>
      <c r="I18" s="34" t="s">
        <v>31</v>
      </c>
      <c r="J18" s="35"/>
      <c r="K18" s="30"/>
      <c r="L18" s="29">
        <v>143772</v>
      </c>
      <c r="M18" s="30">
        <v>0</v>
      </c>
      <c r="N18" s="30"/>
      <c r="O18" s="30">
        <v>1411228</v>
      </c>
      <c r="P18" s="30">
        <v>0</v>
      </c>
      <c r="Q18" s="30"/>
      <c r="R18" s="30">
        <v>0</v>
      </c>
      <c r="S18" s="30">
        <v>0</v>
      </c>
      <c r="T18" s="30"/>
      <c r="U18" s="30">
        <v>0</v>
      </c>
      <c r="V18" s="31">
        <v>0</v>
      </c>
    </row>
    <row r="19" spans="1:22">
      <c r="A19" s="1" t="s">
        <v>32</v>
      </c>
      <c r="B19" s="29">
        <v>2415353.0017093299</v>
      </c>
      <c r="C19" s="30">
        <v>7985166.7475485476</v>
      </c>
      <c r="D19" s="30">
        <v>0</v>
      </c>
      <c r="E19" s="30">
        <v>0</v>
      </c>
      <c r="F19" s="30">
        <v>0</v>
      </c>
      <c r="G19" s="31">
        <f>SUM(IL_FINANCIAL)</f>
        <v>10400519.749257877</v>
      </c>
      <c r="H19" s="30"/>
      <c r="I19" s="34" t="s">
        <v>33</v>
      </c>
      <c r="J19" s="35">
        <v>269312048.69789904</v>
      </c>
      <c r="K19" s="30"/>
      <c r="L19" s="29">
        <v>6250000</v>
      </c>
      <c r="M19" s="30">
        <v>2700000</v>
      </c>
      <c r="N19" s="30"/>
      <c r="O19" s="30">
        <v>22000000</v>
      </c>
      <c r="P19" s="30">
        <v>9150000</v>
      </c>
      <c r="Q19" s="30"/>
      <c r="R19" s="30">
        <v>0</v>
      </c>
      <c r="S19" s="30">
        <v>0</v>
      </c>
      <c r="T19" s="30"/>
      <c r="U19" s="30">
        <v>0</v>
      </c>
      <c r="V19" s="31">
        <v>0</v>
      </c>
    </row>
    <row r="20" spans="1:22">
      <c r="A20" s="1" t="s">
        <v>34</v>
      </c>
      <c r="B20" s="29">
        <v>1450302.762379685</v>
      </c>
      <c r="C20" s="30">
        <v>3965073.3059242512</v>
      </c>
      <c r="D20" s="30">
        <v>0</v>
      </c>
      <c r="E20" s="30">
        <v>0</v>
      </c>
      <c r="F20" s="30">
        <v>0</v>
      </c>
      <c r="G20" s="31">
        <f>SUM(IN_FINANCIAL)</f>
        <v>5415376.0683039362</v>
      </c>
      <c r="H20" s="30"/>
      <c r="I20" s="34" t="s">
        <v>35</v>
      </c>
      <c r="J20" s="35">
        <v>151440725.99999994</v>
      </c>
      <c r="K20" s="30"/>
      <c r="L20" s="29">
        <v>1400894</v>
      </c>
      <c r="M20" s="30">
        <v>0</v>
      </c>
      <c r="N20" s="30"/>
      <c r="O20" s="30">
        <v>2499899</v>
      </c>
      <c r="P20" s="30">
        <v>0</v>
      </c>
      <c r="Q20" s="30"/>
      <c r="R20" s="30">
        <v>0</v>
      </c>
      <c r="S20" s="30">
        <v>0</v>
      </c>
      <c r="T20" s="30"/>
      <c r="U20" s="30">
        <v>0</v>
      </c>
      <c r="V20" s="31">
        <v>0</v>
      </c>
    </row>
    <row r="21" spans="1:22">
      <c r="A21" s="1" t="s">
        <v>36</v>
      </c>
      <c r="B21" s="29">
        <v>1361922.2202963415</v>
      </c>
      <c r="C21" s="30">
        <v>2753599.2609393038</v>
      </c>
      <c r="D21" s="30">
        <v>0</v>
      </c>
      <c r="E21" s="30">
        <v>0</v>
      </c>
      <c r="F21" s="30">
        <v>0</v>
      </c>
      <c r="G21" s="31">
        <f>SUM(IA_FINANCIAL)</f>
        <v>4115521.4812356452</v>
      </c>
      <c r="H21" s="30"/>
      <c r="I21" s="34" t="s">
        <v>37</v>
      </c>
      <c r="J21" s="35"/>
      <c r="K21" s="30"/>
      <c r="L21" s="29">
        <v>2356028</v>
      </c>
      <c r="M21" s="30">
        <v>0</v>
      </c>
      <c r="N21" s="30"/>
      <c r="O21" s="30">
        <v>6511318</v>
      </c>
      <c r="P21" s="30">
        <v>0</v>
      </c>
      <c r="Q21" s="30"/>
      <c r="R21" s="30">
        <v>0</v>
      </c>
      <c r="S21" s="30">
        <v>0</v>
      </c>
      <c r="T21" s="30"/>
      <c r="U21" s="30">
        <v>0</v>
      </c>
      <c r="V21" s="31">
        <v>0</v>
      </c>
    </row>
    <row r="22" spans="1:22">
      <c r="A22" s="1" t="s">
        <v>38</v>
      </c>
      <c r="B22" s="29">
        <v>375478.51399132743</v>
      </c>
      <c r="C22" s="30">
        <v>1585216.3079579091</v>
      </c>
      <c r="D22" s="30">
        <v>0</v>
      </c>
      <c r="E22" s="30">
        <v>0</v>
      </c>
      <c r="F22" s="30">
        <v>0</v>
      </c>
      <c r="G22" s="31">
        <f>SUM(KS_FINANCIAL)</f>
        <v>1960694.8219492366</v>
      </c>
      <c r="H22" s="30"/>
      <c r="I22" s="34" t="s">
        <v>39</v>
      </c>
      <c r="J22" s="35">
        <v>0</v>
      </c>
      <c r="K22" s="30"/>
      <c r="L22" s="29">
        <v>675000</v>
      </c>
      <c r="M22" s="30">
        <v>0</v>
      </c>
      <c r="N22" s="30"/>
      <c r="O22" s="30">
        <v>2950000</v>
      </c>
      <c r="P22" s="30">
        <v>0</v>
      </c>
      <c r="Q22" s="30"/>
      <c r="R22" s="30">
        <v>0</v>
      </c>
      <c r="S22" s="30">
        <v>0</v>
      </c>
      <c r="T22" s="30"/>
      <c r="U22" s="30">
        <v>0</v>
      </c>
      <c r="V22" s="31">
        <v>0</v>
      </c>
    </row>
    <row r="23" spans="1:22">
      <c r="A23" s="1" t="s">
        <v>40</v>
      </c>
      <c r="B23" s="29">
        <v>255200.61338167102</v>
      </c>
      <c r="C23" s="30">
        <v>810062.85600879905</v>
      </c>
      <c r="D23" s="30">
        <v>0</v>
      </c>
      <c r="E23" s="30">
        <v>0</v>
      </c>
      <c r="F23" s="30">
        <v>0</v>
      </c>
      <c r="G23" s="31">
        <f>SUM(KY_FINANCIAL)</f>
        <v>1065263.4693904701</v>
      </c>
      <c r="H23" s="30"/>
      <c r="I23" s="34" t="s">
        <v>41</v>
      </c>
      <c r="J23" s="35"/>
      <c r="K23" s="30"/>
      <c r="L23" s="29">
        <v>734080</v>
      </c>
      <c r="M23" s="30">
        <v>230086.07</v>
      </c>
      <c r="N23" s="30"/>
      <c r="O23" s="30">
        <v>2171198</v>
      </c>
      <c r="P23" s="30">
        <v>636093.96</v>
      </c>
      <c r="Q23" s="30"/>
      <c r="R23" s="30">
        <v>0</v>
      </c>
      <c r="S23" s="30">
        <v>0</v>
      </c>
      <c r="T23" s="30"/>
      <c r="U23" s="30">
        <v>0</v>
      </c>
      <c r="V23" s="31">
        <v>0</v>
      </c>
    </row>
    <row r="24" spans="1:22">
      <c r="A24" s="1" t="s">
        <v>42</v>
      </c>
      <c r="B24" s="29">
        <v>0</v>
      </c>
      <c r="C24" s="30">
        <v>0</v>
      </c>
      <c r="D24" s="30">
        <v>0</v>
      </c>
      <c r="E24" s="30">
        <v>0</v>
      </c>
      <c r="F24" s="30">
        <v>0</v>
      </c>
      <c r="G24" s="31">
        <f>SUM(LA_FINANCIAL)</f>
        <v>0</v>
      </c>
      <c r="H24" s="30"/>
      <c r="I24" s="34" t="s">
        <v>43</v>
      </c>
      <c r="J24" s="35">
        <v>76974408.000000015</v>
      </c>
      <c r="K24" s="30"/>
      <c r="L24" s="29"/>
      <c r="M24" s="30"/>
      <c r="N24" s="30"/>
      <c r="O24" s="30"/>
      <c r="P24" s="30"/>
      <c r="Q24" s="30"/>
      <c r="R24" s="30"/>
      <c r="S24" s="30"/>
      <c r="T24" s="30"/>
      <c r="U24" s="30"/>
      <c r="V24" s="31"/>
    </row>
    <row r="25" spans="1:22">
      <c r="A25" s="1" t="s">
        <v>44</v>
      </c>
      <c r="B25" s="29">
        <v>0</v>
      </c>
      <c r="C25" s="30">
        <v>0</v>
      </c>
      <c r="D25" s="30">
        <v>0</v>
      </c>
      <c r="E25" s="30">
        <v>0</v>
      </c>
      <c r="F25" s="30">
        <v>0</v>
      </c>
      <c r="G25" s="31">
        <f>SUM(ME_FINANCIAL)</f>
        <v>0</v>
      </c>
      <c r="H25" s="30"/>
      <c r="I25" s="34"/>
      <c r="J25" s="35"/>
      <c r="K25" s="30"/>
      <c r="L25" s="29"/>
      <c r="M25" s="30"/>
      <c r="N25" s="30"/>
      <c r="O25" s="30"/>
      <c r="P25" s="30"/>
      <c r="Q25" s="30"/>
      <c r="R25" s="30"/>
      <c r="S25" s="30"/>
      <c r="T25" s="30"/>
      <c r="U25" s="30"/>
      <c r="V25" s="31"/>
    </row>
    <row r="26" spans="1:22">
      <c r="A26" s="1" t="s">
        <v>45</v>
      </c>
      <c r="B26" s="29">
        <v>161927.00910954471</v>
      </c>
      <c r="C26" s="30">
        <v>2214755.6330319764</v>
      </c>
      <c r="D26" s="30">
        <v>0</v>
      </c>
      <c r="E26" s="30">
        <v>0</v>
      </c>
      <c r="F26" s="30">
        <v>0</v>
      </c>
      <c r="G26" s="31">
        <f>SUM(MD_FINANCIAL)</f>
        <v>2376682.642141521</v>
      </c>
      <c r="H26" s="30"/>
      <c r="I26" s="34" t="s">
        <v>46</v>
      </c>
      <c r="J26" s="35">
        <f>SUM(ADD_FINANCIAL)-SUM(LESS_FINANCIAL)</f>
        <v>106918498.54317272</v>
      </c>
      <c r="K26" s="30"/>
      <c r="L26" s="29">
        <v>1031000</v>
      </c>
      <c r="M26" s="30">
        <v>0</v>
      </c>
      <c r="N26" s="30"/>
      <c r="O26" s="30">
        <v>4319000</v>
      </c>
      <c r="P26" s="30">
        <v>0</v>
      </c>
      <c r="Q26" s="30"/>
      <c r="R26" s="30">
        <v>0</v>
      </c>
      <c r="S26" s="30">
        <v>0</v>
      </c>
      <c r="T26" s="30"/>
      <c r="U26" s="30">
        <v>0</v>
      </c>
      <c r="V26" s="31">
        <v>0</v>
      </c>
    </row>
    <row r="27" spans="1:22">
      <c r="A27" s="1" t="s">
        <v>47</v>
      </c>
      <c r="B27" s="29">
        <v>62180.539039130716</v>
      </c>
      <c r="C27" s="30">
        <v>2936668.2341901329</v>
      </c>
      <c r="D27" s="30">
        <v>0</v>
      </c>
      <c r="E27" s="30">
        <v>0</v>
      </c>
      <c r="F27" s="30">
        <v>0</v>
      </c>
      <c r="G27" s="31">
        <f>SUM(MA_FINANCIAL)</f>
        <v>2998848.7732292637</v>
      </c>
      <c r="H27" s="30"/>
      <c r="I27" s="34" t="s">
        <v>48</v>
      </c>
      <c r="J27" s="35">
        <f>SUM(ALL_BLOCKS)</f>
        <v>106918498.54317252</v>
      </c>
      <c r="K27" s="30"/>
      <c r="L27" s="29">
        <v>275000</v>
      </c>
      <c r="M27" s="30">
        <v>0</v>
      </c>
      <c r="N27" s="30"/>
      <c r="O27" s="30">
        <v>7235000</v>
      </c>
      <c r="P27" s="30">
        <v>0</v>
      </c>
      <c r="Q27" s="30"/>
      <c r="R27" s="30">
        <v>0</v>
      </c>
      <c r="S27" s="30">
        <v>0</v>
      </c>
      <c r="T27" s="30"/>
      <c r="U27" s="30">
        <v>0</v>
      </c>
      <c r="V27" s="31">
        <v>0</v>
      </c>
    </row>
    <row r="28" spans="1:22">
      <c r="A28" s="1" t="s">
        <v>49</v>
      </c>
      <c r="B28" s="29">
        <v>2365003.7186197769</v>
      </c>
      <c r="C28" s="30">
        <v>6750980.4546762602</v>
      </c>
      <c r="D28" s="30">
        <v>0</v>
      </c>
      <c r="E28" s="30">
        <v>0</v>
      </c>
      <c r="F28" s="30">
        <v>0</v>
      </c>
      <c r="G28" s="31">
        <f>SUM(MI_FINANCIAL)</f>
        <v>9115984.1732960381</v>
      </c>
      <c r="H28" s="30"/>
      <c r="I28" s="36"/>
      <c r="J28" s="37"/>
      <c r="K28" s="30"/>
      <c r="L28" s="29">
        <v>5400000</v>
      </c>
      <c r="M28" s="30">
        <v>1980000</v>
      </c>
      <c r="N28" s="30"/>
      <c r="O28" s="30">
        <v>15300000</v>
      </c>
      <c r="P28" s="30">
        <v>3400000</v>
      </c>
      <c r="Q28" s="30"/>
      <c r="R28" s="30">
        <v>0</v>
      </c>
      <c r="S28" s="30">
        <v>0</v>
      </c>
      <c r="T28" s="30"/>
      <c r="U28" s="30">
        <v>0</v>
      </c>
      <c r="V28" s="31">
        <v>0</v>
      </c>
    </row>
    <row r="29" spans="1:22">
      <c r="A29" s="1" t="s">
        <v>50</v>
      </c>
      <c r="B29" s="29">
        <v>0</v>
      </c>
      <c r="C29" s="30">
        <v>0</v>
      </c>
      <c r="D29" s="30">
        <v>0</v>
      </c>
      <c r="E29" s="30">
        <v>0</v>
      </c>
      <c r="F29" s="30">
        <v>0</v>
      </c>
      <c r="G29" s="31">
        <f>SUM(MN_FINANCIAL)</f>
        <v>0</v>
      </c>
      <c r="H29" s="30"/>
      <c r="I29" s="30"/>
      <c r="J29" s="30"/>
      <c r="K29" s="30"/>
      <c r="L29" s="29"/>
      <c r="M29" s="30"/>
      <c r="N29" s="30"/>
      <c r="O29" s="30"/>
      <c r="P29" s="30"/>
      <c r="Q29" s="30"/>
      <c r="R29" s="30"/>
      <c r="S29" s="30"/>
      <c r="T29" s="30"/>
      <c r="U29" s="30"/>
      <c r="V29" s="31"/>
    </row>
    <row r="30" spans="1:22">
      <c r="A30" s="1" t="s">
        <v>51</v>
      </c>
      <c r="B30" s="29">
        <v>20482.968001481644</v>
      </c>
      <c r="C30" s="30">
        <v>276409.57592633454</v>
      </c>
      <c r="D30" s="30">
        <v>0</v>
      </c>
      <c r="E30" s="30">
        <v>0</v>
      </c>
      <c r="F30" s="30">
        <v>0</v>
      </c>
      <c r="G30" s="31">
        <f>SUM(MS_FINANCIAL)</f>
        <v>296892.54392781621</v>
      </c>
      <c r="H30" s="30"/>
      <c r="I30" s="30"/>
      <c r="J30" s="30"/>
      <c r="K30" s="30"/>
      <c r="L30" s="29">
        <v>134576</v>
      </c>
      <c r="M30" s="30">
        <v>0</v>
      </c>
      <c r="N30" s="30"/>
      <c r="O30" s="30">
        <v>764463</v>
      </c>
      <c r="P30" s="30">
        <v>0</v>
      </c>
      <c r="Q30" s="30"/>
      <c r="R30" s="30">
        <v>0</v>
      </c>
      <c r="S30" s="30">
        <v>0</v>
      </c>
      <c r="T30" s="30"/>
      <c r="U30" s="30">
        <v>0</v>
      </c>
      <c r="V30" s="31">
        <v>0</v>
      </c>
    </row>
    <row r="31" spans="1:22">
      <c r="A31" s="1" t="s">
        <v>52</v>
      </c>
      <c r="B31" s="29">
        <v>616997.05379166745</v>
      </c>
      <c r="C31" s="30">
        <v>3737383.0784126734</v>
      </c>
      <c r="D31" s="30">
        <v>0</v>
      </c>
      <c r="E31" s="30">
        <v>0</v>
      </c>
      <c r="F31" s="30">
        <v>0</v>
      </c>
      <c r="G31" s="31">
        <f>SUM(MO_FINANCIAL)</f>
        <v>4354380.1322043408</v>
      </c>
      <c r="H31" s="30"/>
      <c r="I31" s="30"/>
      <c r="J31" s="30"/>
      <c r="K31" s="30"/>
      <c r="L31" s="29">
        <v>1502267</v>
      </c>
      <c r="M31" s="30">
        <v>0</v>
      </c>
      <c r="N31" s="30"/>
      <c r="O31" s="30">
        <v>7950910</v>
      </c>
      <c r="P31" s="30">
        <v>0</v>
      </c>
      <c r="Q31" s="30"/>
      <c r="R31" s="30">
        <v>0</v>
      </c>
      <c r="S31" s="30">
        <v>0</v>
      </c>
      <c r="T31" s="30"/>
      <c r="U31" s="30">
        <v>0</v>
      </c>
      <c r="V31" s="31">
        <v>0</v>
      </c>
    </row>
    <row r="32" spans="1:22">
      <c r="A32" s="1" t="s">
        <v>53</v>
      </c>
      <c r="B32" s="29">
        <v>272518.55566572916</v>
      </c>
      <c r="C32" s="30">
        <v>243759.75134740461</v>
      </c>
      <c r="D32" s="30">
        <v>0</v>
      </c>
      <c r="E32" s="30">
        <v>0</v>
      </c>
      <c r="F32" s="30">
        <v>0</v>
      </c>
      <c r="G32" s="31">
        <f>SUM(MT_FINANCIAL)</f>
        <v>516278.30701313377</v>
      </c>
      <c r="H32" s="30"/>
      <c r="I32" s="30"/>
      <c r="J32" s="30"/>
      <c r="K32" s="30"/>
      <c r="L32" s="29">
        <v>1580000</v>
      </c>
      <c r="M32" s="30">
        <v>0</v>
      </c>
      <c r="N32" s="30"/>
      <c r="O32" s="30">
        <v>484000</v>
      </c>
      <c r="P32" s="30">
        <v>0</v>
      </c>
      <c r="Q32" s="30"/>
      <c r="R32" s="30">
        <v>0</v>
      </c>
      <c r="S32" s="30">
        <v>0</v>
      </c>
      <c r="T32" s="30"/>
      <c r="U32" s="30">
        <v>0</v>
      </c>
      <c r="V32" s="31">
        <v>0</v>
      </c>
    </row>
    <row r="33" spans="1:22">
      <c r="A33" s="1" t="s">
        <v>54</v>
      </c>
      <c r="B33" s="29">
        <v>451107.50402958377</v>
      </c>
      <c r="C33" s="30">
        <v>1416386.9342632378</v>
      </c>
      <c r="D33" s="30">
        <v>0</v>
      </c>
      <c r="E33" s="30">
        <v>0</v>
      </c>
      <c r="F33" s="30">
        <v>0</v>
      </c>
      <c r="G33" s="31">
        <f>SUM(NE_FINANCIAL)</f>
        <v>1867494.4382928214</v>
      </c>
      <c r="H33" s="30"/>
      <c r="I33" s="30"/>
      <c r="J33" s="30"/>
      <c r="K33" s="30"/>
      <c r="L33" s="29">
        <v>1723246</v>
      </c>
      <c r="M33" s="30">
        <v>0</v>
      </c>
      <c r="N33" s="30"/>
      <c r="O33" s="30">
        <v>3764563</v>
      </c>
      <c r="P33" s="30">
        <v>0</v>
      </c>
      <c r="Q33" s="30"/>
      <c r="R33" s="30">
        <v>0</v>
      </c>
      <c r="S33" s="30">
        <v>0</v>
      </c>
      <c r="T33" s="30"/>
      <c r="U33" s="30">
        <v>0</v>
      </c>
      <c r="V33" s="31">
        <v>0</v>
      </c>
    </row>
    <row r="34" spans="1:22">
      <c r="A34" s="1" t="s">
        <v>55</v>
      </c>
      <c r="B34" s="29">
        <v>12504.236970384536</v>
      </c>
      <c r="C34" s="30">
        <v>236950.11251437562</v>
      </c>
      <c r="D34" s="30">
        <v>0</v>
      </c>
      <c r="E34" s="30">
        <v>0</v>
      </c>
      <c r="F34" s="30">
        <v>0</v>
      </c>
      <c r="G34" s="31">
        <f>SUM(NV_FINANCIAL)</f>
        <v>249454.34948476017</v>
      </c>
      <c r="H34" s="30"/>
      <c r="I34" s="30"/>
      <c r="J34" s="30"/>
      <c r="K34" s="30"/>
      <c r="L34" s="29">
        <v>49500</v>
      </c>
      <c r="M34" s="30">
        <v>0</v>
      </c>
      <c r="N34" s="30"/>
      <c r="O34" s="30">
        <v>649800</v>
      </c>
      <c r="P34" s="30">
        <v>0</v>
      </c>
      <c r="Q34" s="30"/>
      <c r="R34" s="30">
        <v>0</v>
      </c>
      <c r="S34" s="30">
        <v>0</v>
      </c>
      <c r="T34" s="30"/>
      <c r="U34" s="30">
        <v>0</v>
      </c>
      <c r="V34" s="31">
        <v>0</v>
      </c>
    </row>
    <row r="35" spans="1:22">
      <c r="A35" s="1" t="s">
        <v>56</v>
      </c>
      <c r="B35" s="29">
        <v>0</v>
      </c>
      <c r="C35" s="30">
        <v>0</v>
      </c>
      <c r="D35" s="30">
        <v>0</v>
      </c>
      <c r="E35" s="30">
        <v>0</v>
      </c>
      <c r="F35" s="30">
        <v>0</v>
      </c>
      <c r="G35" s="31">
        <f>SUM(NH_FINANCIAL)</f>
        <v>0</v>
      </c>
      <c r="H35" s="30"/>
      <c r="I35" s="30"/>
      <c r="J35" s="30"/>
      <c r="K35" s="30"/>
      <c r="L35" s="29"/>
      <c r="M35" s="30"/>
      <c r="N35" s="30"/>
      <c r="O35" s="30"/>
      <c r="P35" s="30"/>
      <c r="Q35" s="30"/>
      <c r="R35" s="30"/>
      <c r="S35" s="30"/>
      <c r="T35" s="30"/>
      <c r="U35" s="30"/>
      <c r="V35" s="31"/>
    </row>
    <row r="36" spans="1:22">
      <c r="A36" s="1" t="s">
        <v>57</v>
      </c>
      <c r="B36" s="29">
        <v>0</v>
      </c>
      <c r="C36" s="30">
        <v>0</v>
      </c>
      <c r="D36" s="30">
        <v>0</v>
      </c>
      <c r="E36" s="30">
        <v>0</v>
      </c>
      <c r="F36" s="30">
        <v>0</v>
      </c>
      <c r="G36" s="31">
        <f>SUM(NJ_FINANCIAL)</f>
        <v>0</v>
      </c>
      <c r="H36" s="30"/>
      <c r="I36" s="30"/>
      <c r="J36" s="30"/>
      <c r="K36" s="30"/>
      <c r="L36" s="29"/>
      <c r="M36" s="30"/>
      <c r="N36" s="30"/>
      <c r="O36" s="30"/>
      <c r="P36" s="30"/>
      <c r="Q36" s="30"/>
      <c r="R36" s="30"/>
      <c r="S36" s="30"/>
      <c r="T36" s="30"/>
      <c r="U36" s="30"/>
      <c r="V36" s="31"/>
    </row>
    <row r="37" spans="1:22">
      <c r="A37" s="1" t="s">
        <v>58</v>
      </c>
      <c r="B37" s="29">
        <v>67779.204297679069</v>
      </c>
      <c r="C37" s="30">
        <v>200661.60362091599</v>
      </c>
      <c r="D37" s="30">
        <v>0</v>
      </c>
      <c r="E37" s="30">
        <v>0</v>
      </c>
      <c r="F37" s="30">
        <v>0</v>
      </c>
      <c r="G37" s="31">
        <f>SUM(NM_FINANCIAL)</f>
        <v>268440.80791859503</v>
      </c>
      <c r="H37" s="30"/>
      <c r="I37" s="30"/>
      <c r="J37" s="30"/>
      <c r="K37" s="30"/>
      <c r="L37" s="29">
        <v>100000</v>
      </c>
      <c r="M37" s="30">
        <v>0</v>
      </c>
      <c r="N37" s="30"/>
      <c r="O37" s="30">
        <v>301563</v>
      </c>
      <c r="P37" s="30">
        <v>0</v>
      </c>
      <c r="Q37" s="30"/>
      <c r="R37" s="30">
        <v>0</v>
      </c>
      <c r="S37" s="30">
        <v>0</v>
      </c>
      <c r="T37" s="30"/>
      <c r="U37" s="30">
        <v>0</v>
      </c>
      <c r="V37" s="31">
        <v>0</v>
      </c>
    </row>
    <row r="38" spans="1:22">
      <c r="A38" s="1" t="s">
        <v>59</v>
      </c>
      <c r="B38" s="29">
        <v>0</v>
      </c>
      <c r="C38" s="30">
        <v>0</v>
      </c>
      <c r="D38" s="30">
        <v>0</v>
      </c>
      <c r="E38" s="30">
        <v>0</v>
      </c>
      <c r="F38" s="30">
        <v>0</v>
      </c>
      <c r="G38" s="31">
        <f>SUM(NY_FINANCIAL)</f>
        <v>0</v>
      </c>
      <c r="H38" s="30"/>
      <c r="I38" s="30"/>
      <c r="J38" s="30"/>
      <c r="K38" s="30"/>
      <c r="L38" s="29"/>
      <c r="M38" s="30"/>
      <c r="N38" s="30"/>
      <c r="O38" s="30"/>
      <c r="P38" s="30"/>
      <c r="Q38" s="30"/>
      <c r="R38" s="30"/>
      <c r="S38" s="30"/>
      <c r="T38" s="30"/>
      <c r="U38" s="30"/>
      <c r="V38" s="31"/>
    </row>
    <row r="39" spans="1:22">
      <c r="A39" s="1" t="s">
        <v>60</v>
      </c>
      <c r="B39" s="29">
        <v>407017.59443160787</v>
      </c>
      <c r="C39" s="30">
        <v>3042792.1346452148</v>
      </c>
      <c r="D39" s="30">
        <v>0</v>
      </c>
      <c r="E39" s="30">
        <v>0</v>
      </c>
      <c r="F39" s="30">
        <v>0</v>
      </c>
      <c r="G39" s="31">
        <f>SUM(NC_FINANCIAL)</f>
        <v>3449809.7290768228</v>
      </c>
      <c r="H39" s="30"/>
      <c r="I39" s="30"/>
      <c r="J39" s="30"/>
      <c r="K39" s="30"/>
      <c r="L39" s="29">
        <v>1050000</v>
      </c>
      <c r="M39" s="30">
        <v>419000</v>
      </c>
      <c r="N39" s="30"/>
      <c r="O39" s="30">
        <v>7950000</v>
      </c>
      <c r="P39" s="30">
        <v>3181000</v>
      </c>
      <c r="Q39" s="30"/>
      <c r="R39" s="30">
        <v>0</v>
      </c>
      <c r="S39" s="30">
        <v>0</v>
      </c>
      <c r="T39" s="30"/>
      <c r="U39" s="30">
        <v>0</v>
      </c>
      <c r="V39" s="31">
        <v>0</v>
      </c>
    </row>
    <row r="40" spans="1:22">
      <c r="A40" s="1" t="s">
        <v>61</v>
      </c>
      <c r="B40" s="29">
        <v>169821.87191423634</v>
      </c>
      <c r="C40" s="30">
        <v>936189.18346218904</v>
      </c>
      <c r="D40" s="30">
        <v>0</v>
      </c>
      <c r="E40" s="30">
        <v>0</v>
      </c>
      <c r="F40" s="30">
        <v>0</v>
      </c>
      <c r="G40" s="31">
        <f>SUM(ND_FINANCIAL)</f>
        <v>1106011.0553764254</v>
      </c>
      <c r="H40" s="30"/>
      <c r="I40" s="30"/>
      <c r="J40" s="30"/>
      <c r="K40" s="30"/>
      <c r="L40" s="29">
        <v>455036</v>
      </c>
      <c r="M40" s="30">
        <v>0</v>
      </c>
      <c r="N40" s="30"/>
      <c r="O40" s="30">
        <v>2567241</v>
      </c>
      <c r="P40" s="30">
        <v>0</v>
      </c>
      <c r="Q40" s="30"/>
      <c r="R40" s="30">
        <v>0</v>
      </c>
      <c r="S40" s="30">
        <v>0</v>
      </c>
      <c r="T40" s="30"/>
      <c r="U40" s="30">
        <v>0</v>
      </c>
      <c r="V40" s="31">
        <v>0</v>
      </c>
    </row>
    <row r="41" spans="1:22">
      <c r="A41" s="1" t="s">
        <v>62</v>
      </c>
      <c r="B41" s="29">
        <v>2075791.5449861716</v>
      </c>
      <c r="C41" s="30">
        <v>9028096.4844034836</v>
      </c>
      <c r="D41" s="30">
        <v>0</v>
      </c>
      <c r="E41" s="30">
        <v>0</v>
      </c>
      <c r="F41" s="30">
        <v>0</v>
      </c>
      <c r="G41" s="31">
        <f>SUM(OH_FINANCIAL)</f>
        <v>11103888.029389655</v>
      </c>
      <c r="H41" s="30"/>
      <c r="I41" s="30"/>
      <c r="J41" s="30"/>
      <c r="K41" s="30"/>
      <c r="L41" s="29">
        <v>2865000</v>
      </c>
      <c r="M41" s="30">
        <v>0</v>
      </c>
      <c r="N41" s="30"/>
      <c r="O41" s="30">
        <v>12435000</v>
      </c>
      <c r="P41" s="30">
        <v>0</v>
      </c>
      <c r="Q41" s="30"/>
      <c r="R41" s="30">
        <v>0</v>
      </c>
      <c r="S41" s="30">
        <v>0</v>
      </c>
      <c r="T41" s="30"/>
      <c r="U41" s="30">
        <v>0</v>
      </c>
      <c r="V41" s="31">
        <v>0</v>
      </c>
    </row>
    <row r="42" spans="1:22">
      <c r="A42" s="1" t="s">
        <v>63</v>
      </c>
      <c r="B42" s="29">
        <v>797615.4642550518</v>
      </c>
      <c r="C42" s="30">
        <v>775509.01506775385</v>
      </c>
      <c r="D42" s="30">
        <v>0</v>
      </c>
      <c r="E42" s="30">
        <v>0</v>
      </c>
      <c r="F42" s="30">
        <v>0</v>
      </c>
      <c r="G42" s="31">
        <f>SUM(OK_FINANCIAL)</f>
        <v>1573124.4793228055</v>
      </c>
      <c r="H42" s="30"/>
      <c r="I42" s="30"/>
      <c r="J42" s="30"/>
      <c r="K42" s="30"/>
      <c r="L42" s="29">
        <v>2250225</v>
      </c>
      <c r="M42" s="30">
        <v>688600</v>
      </c>
      <c r="N42" s="30"/>
      <c r="O42" s="30">
        <v>1790500</v>
      </c>
      <c r="P42" s="30">
        <v>661400</v>
      </c>
      <c r="Q42" s="30"/>
      <c r="R42" s="30">
        <v>0</v>
      </c>
      <c r="S42" s="30">
        <v>0</v>
      </c>
      <c r="T42" s="30"/>
      <c r="U42" s="30">
        <v>0</v>
      </c>
      <c r="V42" s="31">
        <v>0</v>
      </c>
    </row>
    <row r="43" spans="1:22">
      <c r="A43" s="1" t="s">
        <v>64</v>
      </c>
      <c r="B43" s="29">
        <v>253344.26309007689</v>
      </c>
      <c r="C43" s="30">
        <v>877851.67043106339</v>
      </c>
      <c r="D43" s="30">
        <v>0</v>
      </c>
      <c r="E43" s="30">
        <v>0</v>
      </c>
      <c r="F43" s="30">
        <v>0</v>
      </c>
      <c r="G43" s="31">
        <f>SUM(OR_FINANCIAL)</f>
        <v>1131195.9335211404</v>
      </c>
      <c r="H43" s="30"/>
      <c r="I43" s="30"/>
      <c r="J43" s="30"/>
      <c r="K43" s="30"/>
      <c r="L43" s="29">
        <v>269155</v>
      </c>
      <c r="M43" s="30">
        <v>0</v>
      </c>
      <c r="N43" s="30"/>
      <c r="O43" s="30">
        <v>862577</v>
      </c>
      <c r="P43" s="30">
        <v>0</v>
      </c>
      <c r="Q43" s="30"/>
      <c r="R43" s="30">
        <v>0</v>
      </c>
      <c r="S43" s="30">
        <v>0</v>
      </c>
      <c r="T43" s="30"/>
      <c r="U43" s="30">
        <v>0</v>
      </c>
      <c r="V43" s="31">
        <v>0</v>
      </c>
    </row>
    <row r="44" spans="1:22">
      <c r="A44" s="1" t="s">
        <v>65</v>
      </c>
      <c r="B44" s="29">
        <v>542682.64774952619</v>
      </c>
      <c r="C44" s="30">
        <v>6566035.4770783912</v>
      </c>
      <c r="D44" s="30">
        <v>0</v>
      </c>
      <c r="E44" s="30">
        <v>0</v>
      </c>
      <c r="F44" s="30">
        <v>0</v>
      </c>
      <c r="G44" s="31">
        <f>SUM(PA_FINANCIAL)</f>
        <v>7108718.1248279177</v>
      </c>
      <c r="H44" s="30"/>
      <c r="I44" s="30"/>
      <c r="J44" s="30"/>
      <c r="K44" s="30"/>
      <c r="L44" s="29">
        <v>9300</v>
      </c>
      <c r="M44" s="30">
        <v>0</v>
      </c>
      <c r="N44" s="30"/>
      <c r="O44" s="30">
        <v>16990700</v>
      </c>
      <c r="P44" s="30">
        <v>0</v>
      </c>
      <c r="Q44" s="30"/>
      <c r="R44" s="30">
        <v>0</v>
      </c>
      <c r="S44" s="30">
        <v>0</v>
      </c>
      <c r="T44" s="30"/>
      <c r="U44" s="30">
        <v>0</v>
      </c>
      <c r="V44" s="31">
        <v>0</v>
      </c>
    </row>
    <row r="45" spans="1:22">
      <c r="A45" s="1" t="s">
        <v>66</v>
      </c>
      <c r="B45" s="29">
        <v>0</v>
      </c>
      <c r="C45" s="30">
        <v>141.85763357872119</v>
      </c>
      <c r="D45" s="30">
        <v>0</v>
      </c>
      <c r="E45" s="30">
        <v>0</v>
      </c>
      <c r="F45" s="30">
        <v>0</v>
      </c>
      <c r="G45" s="31">
        <f>SUM(PR_FINANCIAL)</f>
        <v>141.85763357872119</v>
      </c>
      <c r="H45" s="30"/>
      <c r="I45" s="30"/>
      <c r="J45" s="30"/>
      <c r="K45" s="30"/>
      <c r="L45" s="29"/>
      <c r="M45" s="30"/>
      <c r="N45" s="30"/>
      <c r="O45" s="30"/>
      <c r="P45" s="30"/>
      <c r="Q45" s="30"/>
      <c r="R45" s="30"/>
      <c r="S45" s="30"/>
      <c r="T45" s="30"/>
      <c r="U45" s="30"/>
      <c r="V45" s="31"/>
    </row>
    <row r="46" spans="1:22">
      <c r="A46" s="1" t="s">
        <v>67</v>
      </c>
      <c r="B46" s="29">
        <v>0</v>
      </c>
      <c r="C46" s="30">
        <v>0</v>
      </c>
      <c r="D46" s="30">
        <v>0</v>
      </c>
      <c r="E46" s="30">
        <v>0</v>
      </c>
      <c r="F46" s="30">
        <v>0</v>
      </c>
      <c r="G46" s="31">
        <f>SUM(RI_FINANCIAL)</f>
        <v>0</v>
      </c>
      <c r="H46" s="30"/>
      <c r="I46" s="30"/>
      <c r="J46" s="30"/>
      <c r="K46" s="30"/>
      <c r="L46" s="29"/>
      <c r="M46" s="30"/>
      <c r="N46" s="30"/>
      <c r="O46" s="30"/>
      <c r="P46" s="30"/>
      <c r="Q46" s="30"/>
      <c r="R46" s="30"/>
      <c r="S46" s="30"/>
      <c r="T46" s="30"/>
      <c r="U46" s="30"/>
      <c r="V46" s="31"/>
    </row>
    <row r="47" spans="1:22">
      <c r="A47" s="1" t="s">
        <v>68</v>
      </c>
      <c r="B47" s="29">
        <v>247765.5788093892</v>
      </c>
      <c r="C47" s="30">
        <v>1098313.1309982822</v>
      </c>
      <c r="D47" s="30">
        <v>0</v>
      </c>
      <c r="E47" s="30">
        <v>0</v>
      </c>
      <c r="F47" s="30">
        <v>0</v>
      </c>
      <c r="G47" s="31">
        <f>SUM(SC_FINANCIAL)</f>
        <v>1346078.7098076714</v>
      </c>
      <c r="H47" s="30"/>
      <c r="I47" s="30"/>
      <c r="J47" s="30"/>
      <c r="K47" s="30"/>
      <c r="L47" s="29">
        <v>330000</v>
      </c>
      <c r="M47" s="30">
        <v>0</v>
      </c>
      <c r="N47" s="30"/>
      <c r="O47" s="30">
        <v>2420000</v>
      </c>
      <c r="P47" s="30">
        <v>0</v>
      </c>
      <c r="Q47" s="30"/>
      <c r="R47" s="30">
        <v>0</v>
      </c>
      <c r="S47" s="30">
        <v>0</v>
      </c>
      <c r="T47" s="30"/>
      <c r="U47" s="30">
        <v>0</v>
      </c>
      <c r="V47" s="31">
        <v>0</v>
      </c>
    </row>
    <row r="48" spans="1:22">
      <c r="A48" s="1" t="s">
        <v>69</v>
      </c>
      <c r="B48" s="29">
        <v>176359.86316498049</v>
      </c>
      <c r="C48" s="30">
        <v>507813.71549936815</v>
      </c>
      <c r="D48" s="30">
        <v>0</v>
      </c>
      <c r="E48" s="30">
        <v>0</v>
      </c>
      <c r="F48" s="30">
        <v>0</v>
      </c>
      <c r="G48" s="31">
        <f>SUM(SD_FINANCIAL)</f>
        <v>684173.57866434869</v>
      </c>
      <c r="H48" s="30"/>
      <c r="I48" s="30"/>
      <c r="J48" s="30"/>
      <c r="K48" s="30"/>
      <c r="L48" s="29">
        <v>1157792</v>
      </c>
      <c r="M48" s="30">
        <v>958991</v>
      </c>
      <c r="N48" s="30"/>
      <c r="O48" s="30">
        <v>2614740</v>
      </c>
      <c r="P48" s="30">
        <v>1767139</v>
      </c>
      <c r="Q48" s="30"/>
      <c r="R48" s="30">
        <v>0</v>
      </c>
      <c r="S48" s="30">
        <v>0</v>
      </c>
      <c r="T48" s="30"/>
      <c r="U48" s="30">
        <v>0</v>
      </c>
      <c r="V48" s="31">
        <v>0</v>
      </c>
    </row>
    <row r="49" spans="1:22">
      <c r="A49" s="1" t="s">
        <v>70</v>
      </c>
      <c r="B49" s="29">
        <v>492716.06738521717</v>
      </c>
      <c r="C49" s="30">
        <v>828103.61743381142</v>
      </c>
      <c r="D49" s="30">
        <v>0</v>
      </c>
      <c r="E49" s="30">
        <v>0</v>
      </c>
      <c r="F49" s="30">
        <v>0</v>
      </c>
      <c r="G49" s="31">
        <f>SUM(TN_FINANCIAL)</f>
        <v>1320819.6848190287</v>
      </c>
      <c r="H49" s="30"/>
      <c r="I49" s="30"/>
      <c r="J49" s="30"/>
      <c r="K49" s="30"/>
      <c r="L49" s="29">
        <v>565000</v>
      </c>
      <c r="M49" s="30">
        <v>0</v>
      </c>
      <c r="N49" s="30"/>
      <c r="O49" s="30">
        <v>935000</v>
      </c>
      <c r="P49" s="30">
        <v>0</v>
      </c>
      <c r="Q49" s="30"/>
      <c r="R49" s="30">
        <v>0</v>
      </c>
      <c r="S49" s="30">
        <v>0</v>
      </c>
      <c r="T49" s="30"/>
      <c r="U49" s="30">
        <v>0</v>
      </c>
      <c r="V49" s="31">
        <v>0</v>
      </c>
    </row>
    <row r="50" spans="1:22">
      <c r="A50" s="1" t="s">
        <v>71</v>
      </c>
      <c r="B50" s="29">
        <v>420520.16881562513</v>
      </c>
      <c r="C50" s="30">
        <v>3650533.3617431279</v>
      </c>
      <c r="D50" s="30">
        <v>0</v>
      </c>
      <c r="E50" s="30">
        <v>0</v>
      </c>
      <c r="F50" s="30">
        <v>0</v>
      </c>
      <c r="G50" s="31">
        <f>SUM(TX_FINANCIAL)</f>
        <v>4071053.5305587528</v>
      </c>
      <c r="H50" s="30"/>
      <c r="I50" s="30"/>
      <c r="J50" s="30"/>
      <c r="K50" s="30"/>
      <c r="L50" s="29">
        <v>9411167</v>
      </c>
      <c r="M50" s="30">
        <v>2959943</v>
      </c>
      <c r="N50" s="30"/>
      <c r="O50" s="30">
        <v>0</v>
      </c>
      <c r="P50" s="30">
        <v>0</v>
      </c>
      <c r="Q50" s="30"/>
      <c r="R50" s="30">
        <v>0</v>
      </c>
      <c r="S50" s="30">
        <v>0</v>
      </c>
      <c r="T50" s="30"/>
      <c r="U50" s="30">
        <v>0</v>
      </c>
      <c r="V50" s="31">
        <v>0</v>
      </c>
    </row>
    <row r="51" spans="1:22">
      <c r="A51" s="1" t="s">
        <v>72</v>
      </c>
      <c r="B51" s="29">
        <v>103730.45670479917</v>
      </c>
      <c r="C51" s="30">
        <v>508049.51038383163</v>
      </c>
      <c r="D51" s="30">
        <v>0</v>
      </c>
      <c r="E51" s="30">
        <v>0</v>
      </c>
      <c r="F51" s="30">
        <v>0</v>
      </c>
      <c r="G51" s="31">
        <f>SUM(UT_FINANCIAL)</f>
        <v>611779.96708863077</v>
      </c>
      <c r="H51" s="30"/>
      <c r="I51" s="30"/>
      <c r="J51" s="30"/>
      <c r="K51" s="30"/>
      <c r="L51" s="29">
        <v>275261</v>
      </c>
      <c r="M51" s="30">
        <v>0</v>
      </c>
      <c r="N51" s="30"/>
      <c r="O51" s="30">
        <v>1349739</v>
      </c>
      <c r="P51" s="30">
        <v>0</v>
      </c>
      <c r="Q51" s="30"/>
      <c r="R51" s="30">
        <v>0</v>
      </c>
      <c r="S51" s="30">
        <v>0</v>
      </c>
      <c r="T51" s="30"/>
      <c r="U51" s="30">
        <v>0</v>
      </c>
      <c r="V51" s="31">
        <v>0</v>
      </c>
    </row>
    <row r="52" spans="1:22">
      <c r="A52" s="1" t="s">
        <v>73</v>
      </c>
      <c r="B52" s="29">
        <v>2143.8975473838323</v>
      </c>
      <c r="C52" s="30">
        <v>130688.41893793803</v>
      </c>
      <c r="D52" s="30">
        <v>0</v>
      </c>
      <c r="E52" s="30">
        <v>0</v>
      </c>
      <c r="F52" s="30">
        <v>0</v>
      </c>
      <c r="G52" s="31">
        <f>SUM(VT_FINANCIAL)</f>
        <v>132832.31648532185</v>
      </c>
      <c r="H52" s="30"/>
      <c r="I52" s="30"/>
      <c r="J52" s="30"/>
      <c r="K52" s="30"/>
      <c r="L52" s="29">
        <v>4000</v>
      </c>
      <c r="M52" s="30">
        <v>0</v>
      </c>
      <c r="N52" s="30"/>
      <c r="O52" s="30">
        <v>265000</v>
      </c>
      <c r="P52" s="30">
        <v>0</v>
      </c>
      <c r="Q52" s="30"/>
      <c r="R52" s="30">
        <v>0</v>
      </c>
      <c r="S52" s="30">
        <v>0</v>
      </c>
      <c r="T52" s="30"/>
      <c r="U52" s="30">
        <v>0</v>
      </c>
      <c r="V52" s="31">
        <v>0</v>
      </c>
    </row>
    <row r="53" spans="1:22">
      <c r="A53" s="1" t="s">
        <v>74</v>
      </c>
      <c r="B53" s="29">
        <v>133251.06453012535</v>
      </c>
      <c r="C53" s="30">
        <v>2822861.8015290373</v>
      </c>
      <c r="D53" s="30">
        <v>0</v>
      </c>
      <c r="E53" s="30">
        <v>0</v>
      </c>
      <c r="F53" s="30">
        <v>0</v>
      </c>
      <c r="G53" s="31">
        <f>SUM(VA_FINANCIAL)</f>
        <v>2956112.8660591627</v>
      </c>
      <c r="H53" s="30"/>
      <c r="I53" s="30"/>
      <c r="J53" s="30"/>
      <c r="K53" s="30"/>
      <c r="L53" s="29">
        <v>333529</v>
      </c>
      <c r="M53" s="30">
        <v>0</v>
      </c>
      <c r="N53" s="30"/>
      <c r="O53" s="30">
        <v>7336036</v>
      </c>
      <c r="P53" s="30">
        <v>0</v>
      </c>
      <c r="Q53" s="30"/>
      <c r="R53" s="30">
        <v>0</v>
      </c>
      <c r="S53" s="30">
        <v>0</v>
      </c>
      <c r="T53" s="30"/>
      <c r="U53" s="30">
        <v>0</v>
      </c>
      <c r="V53" s="31">
        <v>0</v>
      </c>
    </row>
    <row r="54" spans="1:22">
      <c r="A54" s="1" t="s">
        <v>75</v>
      </c>
      <c r="B54" s="29">
        <v>503923.92174825212</v>
      </c>
      <c r="C54" s="30">
        <v>1077792.4240436777</v>
      </c>
      <c r="D54" s="30">
        <v>0</v>
      </c>
      <c r="E54" s="30">
        <v>0</v>
      </c>
      <c r="F54" s="30">
        <v>0</v>
      </c>
      <c r="G54" s="31">
        <f>SUM(WA_FINANCIAL)</f>
        <v>1581716.3457919299</v>
      </c>
      <c r="H54" s="30"/>
      <c r="I54" s="30"/>
      <c r="J54" s="30"/>
      <c r="K54" s="30"/>
      <c r="L54" s="29">
        <v>688258</v>
      </c>
      <c r="M54" s="30">
        <v>0</v>
      </c>
      <c r="N54" s="30"/>
      <c r="O54" s="30">
        <v>2020070</v>
      </c>
      <c r="P54" s="30">
        <v>0</v>
      </c>
      <c r="Q54" s="30"/>
      <c r="R54" s="30">
        <v>0</v>
      </c>
      <c r="S54" s="30">
        <v>0</v>
      </c>
      <c r="T54" s="30"/>
      <c r="U54" s="30">
        <v>0</v>
      </c>
      <c r="V54" s="31">
        <v>0</v>
      </c>
    </row>
    <row r="55" spans="1:22">
      <c r="A55" s="1" t="s">
        <v>76</v>
      </c>
      <c r="B55" s="29">
        <v>27338.439468243403</v>
      </c>
      <c r="C55" s="30">
        <v>191319.52664502055</v>
      </c>
      <c r="D55" s="30">
        <v>0</v>
      </c>
      <c r="E55" s="30">
        <v>0</v>
      </c>
      <c r="F55" s="30">
        <v>0</v>
      </c>
      <c r="G55" s="31">
        <f>SUM(WV_FINANCIAL)</f>
        <v>218657.96611326394</v>
      </c>
      <c r="H55" s="30"/>
      <c r="I55" s="30"/>
      <c r="J55" s="30"/>
      <c r="K55" s="30"/>
      <c r="L55" s="29">
        <v>109516</v>
      </c>
      <c r="M55" s="30">
        <v>2286</v>
      </c>
      <c r="N55" s="30"/>
      <c r="O55" s="30">
        <v>575004</v>
      </c>
      <c r="P55" s="30">
        <v>342380</v>
      </c>
      <c r="Q55" s="30"/>
      <c r="R55" s="30">
        <v>0</v>
      </c>
      <c r="S55" s="30">
        <v>0</v>
      </c>
      <c r="T55" s="30"/>
      <c r="U55" s="30">
        <v>0</v>
      </c>
      <c r="V55" s="31">
        <v>0</v>
      </c>
    </row>
    <row r="56" spans="1:22">
      <c r="A56" s="1" t="s">
        <v>77</v>
      </c>
      <c r="B56" s="29">
        <v>112021.52761273389</v>
      </c>
      <c r="C56" s="30">
        <v>519862.69203819637</v>
      </c>
      <c r="D56" s="30">
        <v>0</v>
      </c>
      <c r="E56" s="30">
        <v>0</v>
      </c>
      <c r="F56" s="30">
        <v>0</v>
      </c>
      <c r="G56" s="31">
        <f>SUM(WI_FINANCIAL)</f>
        <v>631884.21965093026</v>
      </c>
      <c r="H56" s="30"/>
      <c r="I56" s="30"/>
      <c r="J56" s="30"/>
      <c r="K56" s="30"/>
      <c r="L56" s="29">
        <v>300000</v>
      </c>
      <c r="M56" s="30">
        <v>0</v>
      </c>
      <c r="N56" s="30"/>
      <c r="O56" s="30">
        <v>1500000</v>
      </c>
      <c r="P56" s="30">
        <v>0</v>
      </c>
      <c r="Q56" s="30"/>
      <c r="R56" s="30">
        <v>0</v>
      </c>
      <c r="S56" s="30">
        <v>0</v>
      </c>
      <c r="T56" s="30"/>
      <c r="U56" s="30">
        <v>0</v>
      </c>
      <c r="V56" s="31">
        <v>0</v>
      </c>
    </row>
    <row r="57" spans="1:22">
      <c r="A57" s="1" t="s">
        <v>78</v>
      </c>
      <c r="B57" s="29">
        <v>74797.541491005686</v>
      </c>
      <c r="C57" s="30">
        <v>104031.483712118</v>
      </c>
      <c r="D57" s="30">
        <v>0</v>
      </c>
      <c r="E57" s="30">
        <v>0</v>
      </c>
      <c r="F57" s="30">
        <v>0</v>
      </c>
      <c r="G57" s="31">
        <f>SUM(WY_FINANCIAL)</f>
        <v>178829.02520312369</v>
      </c>
      <c r="H57" s="30"/>
      <c r="I57" s="30"/>
      <c r="J57" s="30"/>
      <c r="K57" s="30"/>
      <c r="L57" s="29">
        <v>132853</v>
      </c>
      <c r="M57" s="30">
        <v>61385</v>
      </c>
      <c r="N57" s="30"/>
      <c r="O57" s="30">
        <v>189719</v>
      </c>
      <c r="P57" s="30">
        <v>88336</v>
      </c>
      <c r="Q57" s="30"/>
      <c r="R57" s="30">
        <v>0</v>
      </c>
      <c r="S57" s="30">
        <v>0</v>
      </c>
      <c r="T57" s="30"/>
      <c r="U57" s="30">
        <v>0</v>
      </c>
      <c r="V57" s="31">
        <v>0</v>
      </c>
    </row>
    <row r="58" spans="1:22">
      <c r="A58" s="1" t="s">
        <v>79</v>
      </c>
      <c r="B58" s="29">
        <v>0</v>
      </c>
      <c r="C58" s="30">
        <v>0</v>
      </c>
      <c r="D58" s="30">
        <v>0</v>
      </c>
      <c r="E58" s="30">
        <v>0</v>
      </c>
      <c r="F58" s="30">
        <v>0</v>
      </c>
      <c r="G58" s="31">
        <f>SUM(OT_FINANCIAL)</f>
        <v>0</v>
      </c>
      <c r="H58" s="30"/>
      <c r="I58" s="30"/>
      <c r="J58" s="30"/>
      <c r="K58" s="30"/>
      <c r="L58" s="29"/>
      <c r="M58" s="30"/>
      <c r="N58" s="30"/>
      <c r="O58" s="30"/>
      <c r="P58" s="30"/>
      <c r="Q58" s="30"/>
      <c r="R58" s="30"/>
      <c r="S58" s="30"/>
      <c r="T58" s="30"/>
      <c r="U58" s="30"/>
      <c r="V58" s="31"/>
    </row>
    <row r="59" spans="1:22">
      <c r="B59" s="29"/>
      <c r="C59" s="30"/>
      <c r="D59" s="30"/>
      <c r="E59" s="30"/>
      <c r="F59" s="30"/>
      <c r="G59" s="31"/>
      <c r="H59" s="30"/>
      <c r="I59" s="30"/>
      <c r="J59" s="30"/>
      <c r="K59" s="30"/>
      <c r="L59" s="29"/>
      <c r="M59" s="30"/>
      <c r="N59" s="30"/>
      <c r="O59" s="30"/>
      <c r="P59" s="30"/>
      <c r="Q59" s="30"/>
      <c r="R59" s="30"/>
      <c r="S59" s="30"/>
      <c r="T59" s="30"/>
      <c r="U59" s="30"/>
      <c r="V59" s="31"/>
    </row>
    <row r="60" spans="1:22">
      <c r="A60" s="1" t="s">
        <v>8</v>
      </c>
      <c r="B60" s="29">
        <f>SUM(LIFE)</f>
        <v>22786368.360161234</v>
      </c>
      <c r="C60" s="30">
        <f>SUM(ALLOCATED)</f>
        <v>84132130.183011338</v>
      </c>
      <c r="D60" s="30">
        <f>SUM(HEALTH)</f>
        <v>0</v>
      </c>
      <c r="E60" s="30">
        <f>SUM(UNALLOCATED)</f>
        <v>0</v>
      </c>
      <c r="F60" s="30">
        <f>SUM(LTC)</f>
        <v>0</v>
      </c>
      <c r="G60" s="31">
        <f>SUM(ALL_BLOCKS)</f>
        <v>106918498.54317252</v>
      </c>
      <c r="H60" s="30"/>
      <c r="I60" s="30"/>
      <c r="J60" s="30"/>
      <c r="K60" s="30"/>
      <c r="L60" s="29">
        <f>SUM(LIFE_CALLED)</f>
        <v>60125731</v>
      </c>
      <c r="M60" s="30">
        <f>SUM(LIFE_REFUNDED)</f>
        <v>10014471.07</v>
      </c>
      <c r="N60" s="30"/>
      <c r="O60" s="30">
        <f>SUM(ALLOC_CALLED)</f>
        <v>175491859</v>
      </c>
      <c r="P60" s="30">
        <f>SUM(ALLOC_REFUNDED)</f>
        <v>19412205.129999999</v>
      </c>
      <c r="Q60" s="30"/>
      <c r="R60" s="30">
        <f>SUM(HEALTH_CALLED)</f>
        <v>0</v>
      </c>
      <c r="S60" s="30">
        <f>SUM(HEALTH_REFUNDED)</f>
        <v>0</v>
      </c>
      <c r="T60" s="30"/>
      <c r="U60" s="30">
        <f>SUM(UNALLOC_CALLED)</f>
        <v>2000</v>
      </c>
      <c r="V60" s="31">
        <f>SUM(UNALLOC_REFUNDED)</f>
        <v>0</v>
      </c>
    </row>
    <row r="61" spans="1:22" ht="5.0999999999999996" customHeight="1">
      <c r="B61" s="8"/>
      <c r="G61" s="11"/>
      <c r="L61" s="8"/>
      <c r="V61" s="11"/>
    </row>
    <row r="62" spans="1:22">
      <c r="B62" s="8"/>
      <c r="G62" s="11"/>
      <c r="L62" s="122" t="s">
        <v>80</v>
      </c>
      <c r="M62" s="123"/>
      <c r="N62" s="123"/>
      <c r="O62" s="123"/>
      <c r="P62" s="123"/>
      <c r="Q62" s="123"/>
      <c r="R62" s="123"/>
      <c r="S62" s="123"/>
      <c r="T62" s="123"/>
      <c r="U62" s="123"/>
      <c r="V62" s="124"/>
    </row>
    <row r="63" spans="1:22">
      <c r="B63" s="8"/>
      <c r="G63" s="11"/>
      <c r="L63" s="125"/>
      <c r="M63" s="123"/>
      <c r="N63" s="123"/>
      <c r="O63" s="123"/>
      <c r="P63" s="123"/>
      <c r="Q63" s="123"/>
      <c r="R63" s="123"/>
      <c r="S63" s="123"/>
      <c r="T63" s="123"/>
      <c r="U63" s="123"/>
      <c r="V63" s="124"/>
    </row>
    <row r="64" spans="1:22">
      <c r="B64" s="10"/>
      <c r="C64" s="7"/>
      <c r="D64" s="7"/>
      <c r="E64" s="7"/>
      <c r="F64" s="7"/>
      <c r="G64" s="13"/>
      <c r="L64" s="126"/>
      <c r="M64" s="127"/>
      <c r="N64" s="127"/>
      <c r="O64" s="127"/>
      <c r="P64" s="127"/>
      <c r="Q64" s="127"/>
      <c r="R64" s="127"/>
      <c r="S64" s="127"/>
      <c r="T64" s="127"/>
      <c r="U64" s="127"/>
      <c r="V64" s="128"/>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pageSetUpPr fitToPage="1"/>
  </sheetPr>
  <dimension ref="A1:V64"/>
  <sheetViews>
    <sheetView zoomScale="75" workbookViewId="0">
      <selection sqref="A1:XFD1048576"/>
    </sheetView>
  </sheetViews>
  <sheetFormatPr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129" t="s">
        <v>124</v>
      </c>
      <c r="B1" s="123"/>
      <c r="C1" s="123"/>
      <c r="D1" s="123"/>
      <c r="E1" s="123"/>
      <c r="F1" s="123"/>
      <c r="G1" s="123"/>
    </row>
    <row r="3" spans="1:22">
      <c r="B3" s="130" t="s">
        <v>1</v>
      </c>
      <c r="C3" s="131"/>
      <c r="D3" s="131"/>
      <c r="E3" s="131"/>
      <c r="F3" s="131"/>
      <c r="G3" s="132"/>
      <c r="L3" s="133" t="s">
        <v>2</v>
      </c>
      <c r="M3" s="134"/>
      <c r="N3" s="134"/>
      <c r="O3" s="134"/>
      <c r="P3" s="134"/>
      <c r="Q3" s="134"/>
      <c r="R3" s="134"/>
      <c r="S3" s="134"/>
      <c r="T3" s="134"/>
      <c r="U3" s="134"/>
      <c r="V3" s="135"/>
    </row>
    <row r="4" spans="1:22">
      <c r="B4" s="8"/>
      <c r="G4" s="11"/>
      <c r="L4" s="136" t="s">
        <v>3</v>
      </c>
      <c r="M4" s="137"/>
      <c r="N4" s="4"/>
      <c r="O4" s="138" t="s">
        <v>4</v>
      </c>
      <c r="P4" s="137"/>
      <c r="Q4" s="4"/>
      <c r="R4" s="138" t="s">
        <v>5</v>
      </c>
      <c r="S4" s="137"/>
      <c r="T4" s="4"/>
      <c r="U4" s="138" t="s">
        <v>6</v>
      </c>
      <c r="V4" s="139"/>
    </row>
    <row r="5" spans="1:22" ht="60" customHeight="1">
      <c r="B5" s="9" t="s">
        <v>3</v>
      </c>
      <c r="C5" s="5" t="s">
        <v>4</v>
      </c>
      <c r="D5" s="5" t="s">
        <v>5</v>
      </c>
      <c r="E5" s="5" t="s">
        <v>6</v>
      </c>
      <c r="F5" s="5" t="s">
        <v>7</v>
      </c>
      <c r="G5" s="12" t="s">
        <v>8</v>
      </c>
      <c r="L5" s="15" t="s">
        <v>9</v>
      </c>
      <c r="M5" s="14" t="s">
        <v>10</v>
      </c>
      <c r="N5" s="14"/>
      <c r="O5" s="14" t="s">
        <v>9</v>
      </c>
      <c r="P5" s="14" t="s">
        <v>10</v>
      </c>
      <c r="Q5" s="14"/>
      <c r="R5" s="14" t="s">
        <v>9</v>
      </c>
      <c r="S5" s="14" t="s">
        <v>10</v>
      </c>
      <c r="T5" s="14"/>
      <c r="U5" s="14" t="s">
        <v>9</v>
      </c>
      <c r="V5" s="16" t="s">
        <v>10</v>
      </c>
    </row>
    <row r="6" spans="1:22">
      <c r="A6" s="1" t="s">
        <v>11</v>
      </c>
      <c r="B6" s="29">
        <v>0</v>
      </c>
      <c r="C6" s="30">
        <v>0</v>
      </c>
      <c r="D6" s="30">
        <v>0</v>
      </c>
      <c r="E6" s="30">
        <v>0</v>
      </c>
      <c r="F6" s="30">
        <v>0</v>
      </c>
      <c r="G6" s="31">
        <f>SUM(AL_FINANCIAL)</f>
        <v>0</v>
      </c>
      <c r="H6" s="30"/>
      <c r="I6" s="30"/>
      <c r="J6" s="30"/>
      <c r="K6" s="30"/>
      <c r="L6" s="29"/>
      <c r="M6" s="30"/>
      <c r="N6" s="30"/>
      <c r="O6" s="30"/>
      <c r="P6" s="30"/>
      <c r="Q6" s="30"/>
      <c r="R6" s="30"/>
      <c r="S6" s="30"/>
      <c r="T6" s="30"/>
      <c r="U6" s="30"/>
      <c r="V6" s="31"/>
    </row>
    <row r="7" spans="1:22">
      <c r="A7" s="1" t="s">
        <v>12</v>
      </c>
      <c r="B7" s="29">
        <v>0</v>
      </c>
      <c r="C7" s="30">
        <v>0</v>
      </c>
      <c r="D7" s="30">
        <v>0</v>
      </c>
      <c r="E7" s="30">
        <v>0</v>
      </c>
      <c r="F7" s="30">
        <v>0</v>
      </c>
      <c r="G7" s="31">
        <f>SUM(AK_FINANCIAL)</f>
        <v>0</v>
      </c>
      <c r="H7" s="30"/>
      <c r="I7" s="32"/>
      <c r="J7" s="33"/>
      <c r="K7" s="30"/>
      <c r="L7" s="29"/>
      <c r="M7" s="30"/>
      <c r="N7" s="30"/>
      <c r="O7" s="30"/>
      <c r="P7" s="30"/>
      <c r="Q7" s="30"/>
      <c r="R7" s="30"/>
      <c r="S7" s="30"/>
      <c r="T7" s="30"/>
      <c r="U7" s="30"/>
      <c r="V7" s="31"/>
    </row>
    <row r="8" spans="1:22">
      <c r="A8" s="1" t="s">
        <v>13</v>
      </c>
      <c r="B8" s="29">
        <v>0</v>
      </c>
      <c r="C8" s="30">
        <v>0</v>
      </c>
      <c r="D8" s="30">
        <v>0</v>
      </c>
      <c r="E8" s="30">
        <v>0</v>
      </c>
      <c r="F8" s="30">
        <v>0</v>
      </c>
      <c r="G8" s="31">
        <f>SUM(AZ_FINANCIAL)</f>
        <v>0</v>
      </c>
      <c r="H8" s="30"/>
      <c r="I8" s="34" t="s">
        <v>14</v>
      </c>
      <c r="J8" s="35"/>
      <c r="K8" s="30"/>
      <c r="L8" s="29"/>
      <c r="M8" s="30"/>
      <c r="N8" s="30"/>
      <c r="O8" s="30"/>
      <c r="P8" s="30"/>
      <c r="Q8" s="30"/>
      <c r="R8" s="30"/>
      <c r="S8" s="30"/>
      <c r="T8" s="30"/>
      <c r="U8" s="30"/>
      <c r="V8" s="31"/>
    </row>
    <row r="9" spans="1:22">
      <c r="A9" s="1" t="s">
        <v>15</v>
      </c>
      <c r="B9" s="29">
        <v>0</v>
      </c>
      <c r="C9" s="30">
        <v>0</v>
      </c>
      <c r="D9" s="30">
        <v>0</v>
      </c>
      <c r="E9" s="30">
        <v>0</v>
      </c>
      <c r="F9" s="30">
        <v>0</v>
      </c>
      <c r="G9" s="31">
        <f>SUM(AR_FINANCIAL)</f>
        <v>0</v>
      </c>
      <c r="H9" s="30"/>
      <c r="I9" s="34"/>
      <c r="J9" s="35"/>
      <c r="K9" s="30"/>
      <c r="L9" s="29"/>
      <c r="M9" s="30"/>
      <c r="N9" s="30"/>
      <c r="O9" s="30"/>
      <c r="P9" s="30"/>
      <c r="Q9" s="30"/>
      <c r="R9" s="30"/>
      <c r="S9" s="30"/>
      <c r="T9" s="30"/>
      <c r="U9" s="30"/>
      <c r="V9" s="31"/>
    </row>
    <row r="10" spans="1:22">
      <c r="A10" s="1" t="s">
        <v>16</v>
      </c>
      <c r="B10" s="29">
        <v>0</v>
      </c>
      <c r="C10" s="30">
        <v>0</v>
      </c>
      <c r="D10" s="30">
        <v>0</v>
      </c>
      <c r="E10" s="30">
        <v>0</v>
      </c>
      <c r="F10" s="30">
        <v>0</v>
      </c>
      <c r="G10" s="31">
        <f>SUM(CA_FINANCIAL)</f>
        <v>0</v>
      </c>
      <c r="H10" s="30"/>
      <c r="I10" s="34" t="s">
        <v>17</v>
      </c>
      <c r="J10" s="35">
        <v>17363916</v>
      </c>
      <c r="K10" s="30"/>
      <c r="L10" s="29"/>
      <c r="M10" s="30"/>
      <c r="N10" s="30"/>
      <c r="O10" s="30"/>
      <c r="P10" s="30"/>
      <c r="Q10" s="30"/>
      <c r="R10" s="30"/>
      <c r="S10" s="30"/>
      <c r="T10" s="30"/>
      <c r="U10" s="30"/>
      <c r="V10" s="31"/>
    </row>
    <row r="11" spans="1:22">
      <c r="A11" s="1" t="s">
        <v>18</v>
      </c>
      <c r="B11" s="29">
        <v>0</v>
      </c>
      <c r="C11" s="30">
        <v>0</v>
      </c>
      <c r="D11" s="30">
        <v>0</v>
      </c>
      <c r="E11" s="30">
        <v>0</v>
      </c>
      <c r="F11" s="30">
        <v>0</v>
      </c>
      <c r="G11" s="31">
        <f>SUM(CO_FINANCIAL)</f>
        <v>0</v>
      </c>
      <c r="H11" s="30"/>
      <c r="I11" s="34"/>
      <c r="J11" s="35"/>
      <c r="K11" s="30"/>
      <c r="L11" s="29"/>
      <c r="M11" s="30"/>
      <c r="N11" s="30"/>
      <c r="O11" s="30"/>
      <c r="P11" s="30"/>
      <c r="Q11" s="30"/>
      <c r="R11" s="30"/>
      <c r="S11" s="30"/>
      <c r="T11" s="30"/>
      <c r="U11" s="30"/>
      <c r="V11" s="31"/>
    </row>
    <row r="12" spans="1:22">
      <c r="A12" s="1" t="s">
        <v>19</v>
      </c>
      <c r="B12" s="29">
        <v>0</v>
      </c>
      <c r="C12" s="30">
        <v>0</v>
      </c>
      <c r="D12" s="30">
        <v>9165</v>
      </c>
      <c r="E12" s="30">
        <v>0</v>
      </c>
      <c r="F12" s="30">
        <v>0</v>
      </c>
      <c r="G12" s="31">
        <f>SUM(CT_FINANCIAL)</f>
        <v>9165</v>
      </c>
      <c r="H12" s="30"/>
      <c r="I12" s="34" t="s">
        <v>20</v>
      </c>
      <c r="J12" s="35"/>
      <c r="K12" s="30"/>
      <c r="L12" s="29">
        <v>0</v>
      </c>
      <c r="M12" s="30">
        <v>0</v>
      </c>
      <c r="N12" s="30"/>
      <c r="O12" s="30">
        <v>0</v>
      </c>
      <c r="P12" s="30">
        <v>0</v>
      </c>
      <c r="Q12" s="30"/>
      <c r="R12" s="30">
        <v>20000000</v>
      </c>
      <c r="S12" s="30">
        <v>0</v>
      </c>
      <c r="T12" s="30"/>
      <c r="U12" s="30">
        <v>0</v>
      </c>
      <c r="V12" s="31">
        <v>0</v>
      </c>
    </row>
    <row r="13" spans="1:22">
      <c r="A13" s="1" t="s">
        <v>21</v>
      </c>
      <c r="B13" s="29">
        <v>0</v>
      </c>
      <c r="C13" s="30">
        <v>0</v>
      </c>
      <c r="D13" s="30">
        <v>0</v>
      </c>
      <c r="E13" s="30">
        <v>0</v>
      </c>
      <c r="F13" s="30">
        <v>0</v>
      </c>
      <c r="G13" s="31">
        <f>SUM(DE_FINANCIAL)</f>
        <v>0</v>
      </c>
      <c r="H13" s="30"/>
      <c r="I13" s="34" t="s">
        <v>22</v>
      </c>
      <c r="J13" s="35">
        <v>17525761</v>
      </c>
      <c r="K13" s="30"/>
      <c r="L13" s="29"/>
      <c r="M13" s="30"/>
      <c r="N13" s="30"/>
      <c r="O13" s="30"/>
      <c r="P13" s="30"/>
      <c r="Q13" s="30"/>
      <c r="R13" s="30"/>
      <c r="S13" s="30"/>
      <c r="T13" s="30"/>
      <c r="U13" s="30"/>
      <c r="V13" s="31"/>
    </row>
    <row r="14" spans="1:22">
      <c r="A14" s="1" t="s">
        <v>23</v>
      </c>
      <c r="B14" s="29">
        <v>0</v>
      </c>
      <c r="C14" s="30">
        <v>0</v>
      </c>
      <c r="D14" s="30">
        <v>0</v>
      </c>
      <c r="E14" s="30">
        <v>0</v>
      </c>
      <c r="F14" s="30">
        <v>0</v>
      </c>
      <c r="G14" s="31">
        <f>SUM(DC_FINANCIAL)</f>
        <v>0</v>
      </c>
      <c r="H14" s="30"/>
      <c r="I14" s="34" t="s">
        <v>24</v>
      </c>
      <c r="J14" s="35">
        <v>385475</v>
      </c>
      <c r="K14" s="30"/>
      <c r="L14" s="29"/>
      <c r="M14" s="30"/>
      <c r="N14" s="30"/>
      <c r="O14" s="30"/>
      <c r="P14" s="30"/>
      <c r="Q14" s="30"/>
      <c r="R14" s="30"/>
      <c r="S14" s="30"/>
      <c r="T14" s="30"/>
      <c r="U14" s="30"/>
      <c r="V14" s="31"/>
    </row>
    <row r="15" spans="1:22">
      <c r="A15" s="1" t="s">
        <v>25</v>
      </c>
      <c r="B15" s="29">
        <v>0</v>
      </c>
      <c r="C15" s="30">
        <v>0</v>
      </c>
      <c r="D15" s="30">
        <v>0</v>
      </c>
      <c r="E15" s="30">
        <v>0</v>
      </c>
      <c r="F15" s="30">
        <v>0</v>
      </c>
      <c r="G15" s="31">
        <f>SUM(FL_FINANCIAL)</f>
        <v>0</v>
      </c>
      <c r="H15" s="30"/>
      <c r="I15" s="34" t="s">
        <v>26</v>
      </c>
      <c r="J15" s="35">
        <v>0</v>
      </c>
      <c r="K15" s="30"/>
      <c r="L15" s="29"/>
      <c r="M15" s="30"/>
      <c r="N15" s="30"/>
      <c r="O15" s="30"/>
      <c r="P15" s="30"/>
      <c r="Q15" s="30"/>
      <c r="R15" s="30"/>
      <c r="S15" s="30"/>
      <c r="T15" s="30"/>
      <c r="U15" s="30"/>
      <c r="V15" s="31"/>
    </row>
    <row r="16" spans="1:22">
      <c r="A16" s="1" t="s">
        <v>27</v>
      </c>
      <c r="B16" s="29">
        <v>0</v>
      </c>
      <c r="C16" s="30">
        <v>0</v>
      </c>
      <c r="D16" s="30">
        <v>0</v>
      </c>
      <c r="E16" s="30">
        <v>0</v>
      </c>
      <c r="F16" s="30">
        <v>0</v>
      </c>
      <c r="G16" s="31">
        <f>SUM(GA_FINANCIAL)</f>
        <v>0</v>
      </c>
      <c r="H16" s="30"/>
      <c r="I16" s="34" t="s">
        <v>28</v>
      </c>
      <c r="J16" s="35">
        <v>0</v>
      </c>
      <c r="K16" s="30"/>
      <c r="L16" s="29"/>
      <c r="M16" s="30"/>
      <c r="N16" s="30"/>
      <c r="O16" s="30"/>
      <c r="P16" s="30"/>
      <c r="Q16" s="30"/>
      <c r="R16" s="30"/>
      <c r="S16" s="30"/>
      <c r="T16" s="30"/>
      <c r="U16" s="30"/>
      <c r="V16" s="31"/>
    </row>
    <row r="17" spans="1:22">
      <c r="A17" s="1" t="s">
        <v>29</v>
      </c>
      <c r="B17" s="29">
        <v>0</v>
      </c>
      <c r="C17" s="30">
        <v>0</v>
      </c>
      <c r="D17" s="30">
        <v>0</v>
      </c>
      <c r="E17" s="30">
        <v>0</v>
      </c>
      <c r="F17" s="30">
        <v>0</v>
      </c>
      <c r="G17" s="31">
        <f>SUM(HI_FINANCIAL)</f>
        <v>0</v>
      </c>
      <c r="H17" s="30"/>
      <c r="I17" s="34"/>
      <c r="J17" s="35"/>
      <c r="K17" s="30"/>
      <c r="L17" s="29"/>
      <c r="M17" s="30"/>
      <c r="N17" s="30"/>
      <c r="O17" s="30"/>
      <c r="P17" s="30"/>
      <c r="Q17" s="30"/>
      <c r="R17" s="30"/>
      <c r="S17" s="30"/>
      <c r="T17" s="30"/>
      <c r="U17" s="30"/>
      <c r="V17" s="31"/>
    </row>
    <row r="18" spans="1:22">
      <c r="A18" s="1" t="s">
        <v>30</v>
      </c>
      <c r="B18" s="29">
        <v>0</v>
      </c>
      <c r="C18" s="30">
        <v>0</v>
      </c>
      <c r="D18" s="30">
        <v>0</v>
      </c>
      <c r="E18" s="30">
        <v>0</v>
      </c>
      <c r="F18" s="30">
        <v>0</v>
      </c>
      <c r="G18" s="31">
        <f>SUM(ID_FINANCIAL)</f>
        <v>0</v>
      </c>
      <c r="H18" s="30"/>
      <c r="I18" s="34" t="s">
        <v>31</v>
      </c>
      <c r="J18" s="35"/>
      <c r="K18" s="30"/>
      <c r="L18" s="29"/>
      <c r="M18" s="30"/>
      <c r="N18" s="30"/>
      <c r="O18" s="30"/>
      <c r="P18" s="30"/>
      <c r="Q18" s="30"/>
      <c r="R18" s="30"/>
      <c r="S18" s="30"/>
      <c r="T18" s="30"/>
      <c r="U18" s="30"/>
      <c r="V18" s="31"/>
    </row>
    <row r="19" spans="1:22">
      <c r="A19" s="1" t="s">
        <v>32</v>
      </c>
      <c r="B19" s="29">
        <v>0</v>
      </c>
      <c r="C19" s="30">
        <v>0</v>
      </c>
      <c r="D19" s="30">
        <v>0</v>
      </c>
      <c r="E19" s="30">
        <v>0</v>
      </c>
      <c r="F19" s="30">
        <v>0</v>
      </c>
      <c r="G19" s="31">
        <f>SUM(IL_FINANCIAL)</f>
        <v>0</v>
      </c>
      <c r="H19" s="30"/>
      <c r="I19" s="34" t="s">
        <v>33</v>
      </c>
      <c r="J19" s="35">
        <v>0</v>
      </c>
      <c r="K19" s="30"/>
      <c r="L19" s="29"/>
      <c r="M19" s="30"/>
      <c r="N19" s="30"/>
      <c r="O19" s="30"/>
      <c r="P19" s="30"/>
      <c r="Q19" s="30"/>
      <c r="R19" s="30"/>
      <c r="S19" s="30"/>
      <c r="T19" s="30"/>
      <c r="U19" s="30"/>
      <c r="V19" s="31"/>
    </row>
    <row r="20" spans="1:22">
      <c r="A20" s="1" t="s">
        <v>34</v>
      </c>
      <c r="B20" s="29">
        <v>0</v>
      </c>
      <c r="C20" s="30">
        <v>0</v>
      </c>
      <c r="D20" s="30">
        <v>0</v>
      </c>
      <c r="E20" s="30">
        <v>0</v>
      </c>
      <c r="F20" s="30">
        <v>0</v>
      </c>
      <c r="G20" s="31">
        <f>SUM(IN_FINANCIAL)</f>
        <v>0</v>
      </c>
      <c r="H20" s="30"/>
      <c r="I20" s="34" t="s">
        <v>35</v>
      </c>
      <c r="J20" s="35">
        <v>17363916</v>
      </c>
      <c r="K20" s="30"/>
      <c r="L20" s="29"/>
      <c r="M20" s="30"/>
      <c r="N20" s="30"/>
      <c r="O20" s="30"/>
      <c r="P20" s="30"/>
      <c r="Q20" s="30"/>
      <c r="R20" s="30"/>
      <c r="S20" s="30"/>
      <c r="T20" s="30"/>
      <c r="U20" s="30"/>
      <c r="V20" s="31"/>
    </row>
    <row r="21" spans="1:22">
      <c r="A21" s="1" t="s">
        <v>36</v>
      </c>
      <c r="B21" s="29">
        <v>0</v>
      </c>
      <c r="C21" s="30">
        <v>0</v>
      </c>
      <c r="D21" s="30">
        <v>0</v>
      </c>
      <c r="E21" s="30">
        <v>0</v>
      </c>
      <c r="F21" s="30">
        <v>0</v>
      </c>
      <c r="G21" s="31">
        <f>SUM(IA_FINANCIAL)</f>
        <v>0</v>
      </c>
      <c r="H21" s="30"/>
      <c r="I21" s="34" t="s">
        <v>37</v>
      </c>
      <c r="J21" s="35"/>
      <c r="K21" s="30"/>
      <c r="L21" s="29"/>
      <c r="M21" s="30"/>
      <c r="N21" s="30"/>
      <c r="O21" s="30"/>
      <c r="P21" s="30"/>
      <c r="Q21" s="30"/>
      <c r="R21" s="30"/>
      <c r="S21" s="30"/>
      <c r="T21" s="30"/>
      <c r="U21" s="30"/>
      <c r="V21" s="31"/>
    </row>
    <row r="22" spans="1:22">
      <c r="A22" s="1" t="s">
        <v>38</v>
      </c>
      <c r="B22" s="29">
        <v>0</v>
      </c>
      <c r="C22" s="30">
        <v>0</v>
      </c>
      <c r="D22" s="30">
        <v>0</v>
      </c>
      <c r="E22" s="30">
        <v>0</v>
      </c>
      <c r="F22" s="30">
        <v>0</v>
      </c>
      <c r="G22" s="31">
        <f>SUM(KS_FINANCIAL)</f>
        <v>0</v>
      </c>
      <c r="H22" s="30"/>
      <c r="I22" s="34" t="s">
        <v>39</v>
      </c>
      <c r="J22" s="35">
        <v>0</v>
      </c>
      <c r="K22" s="30"/>
      <c r="L22" s="29"/>
      <c r="M22" s="30"/>
      <c r="N22" s="30"/>
      <c r="O22" s="30"/>
      <c r="P22" s="30"/>
      <c r="Q22" s="30"/>
      <c r="R22" s="30"/>
      <c r="S22" s="30"/>
      <c r="T22" s="30"/>
      <c r="U22" s="30"/>
      <c r="V22" s="31"/>
    </row>
    <row r="23" spans="1:22">
      <c r="A23" s="1" t="s">
        <v>40</v>
      </c>
      <c r="B23" s="29">
        <v>0</v>
      </c>
      <c r="C23" s="30">
        <v>0</v>
      </c>
      <c r="D23" s="30">
        <v>0</v>
      </c>
      <c r="E23" s="30">
        <v>0</v>
      </c>
      <c r="F23" s="30">
        <v>0</v>
      </c>
      <c r="G23" s="31">
        <f>SUM(KY_FINANCIAL)</f>
        <v>0</v>
      </c>
      <c r="H23" s="30"/>
      <c r="I23" s="34" t="s">
        <v>41</v>
      </c>
      <c r="J23" s="35"/>
      <c r="K23" s="30"/>
      <c r="L23" s="29"/>
      <c r="M23" s="30"/>
      <c r="N23" s="30"/>
      <c r="O23" s="30"/>
      <c r="P23" s="30"/>
      <c r="Q23" s="30"/>
      <c r="R23" s="30"/>
      <c r="S23" s="30"/>
      <c r="T23" s="30"/>
      <c r="U23" s="30"/>
      <c r="V23" s="31"/>
    </row>
    <row r="24" spans="1:22">
      <c r="A24" s="1" t="s">
        <v>42</v>
      </c>
      <c r="B24" s="29">
        <v>0</v>
      </c>
      <c r="C24" s="30">
        <v>0</v>
      </c>
      <c r="D24" s="30">
        <v>0</v>
      </c>
      <c r="E24" s="30">
        <v>0</v>
      </c>
      <c r="F24" s="30">
        <v>0</v>
      </c>
      <c r="G24" s="31">
        <f>SUM(LA_FINANCIAL)</f>
        <v>0</v>
      </c>
      <c r="H24" s="30"/>
      <c r="I24" s="34" t="s">
        <v>43</v>
      </c>
      <c r="J24" s="35">
        <v>17902071</v>
      </c>
      <c r="K24" s="30"/>
      <c r="L24" s="29"/>
      <c r="M24" s="30"/>
      <c r="N24" s="30"/>
      <c r="O24" s="30"/>
      <c r="P24" s="30"/>
      <c r="Q24" s="30"/>
      <c r="R24" s="30"/>
      <c r="S24" s="30"/>
      <c r="T24" s="30"/>
      <c r="U24" s="30"/>
      <c r="V24" s="31"/>
    </row>
    <row r="25" spans="1:22">
      <c r="A25" s="1" t="s">
        <v>44</v>
      </c>
      <c r="B25" s="29">
        <v>0</v>
      </c>
      <c r="C25" s="30">
        <v>0</v>
      </c>
      <c r="D25" s="30">
        <v>0</v>
      </c>
      <c r="E25" s="30">
        <v>0</v>
      </c>
      <c r="F25" s="30">
        <v>0</v>
      </c>
      <c r="G25" s="31">
        <f>SUM(ME_FINANCIAL)</f>
        <v>0</v>
      </c>
      <c r="H25" s="30"/>
      <c r="I25" s="34"/>
      <c r="J25" s="35"/>
      <c r="K25" s="30"/>
      <c r="L25" s="29"/>
      <c r="M25" s="30"/>
      <c r="N25" s="30"/>
      <c r="O25" s="30"/>
      <c r="P25" s="30"/>
      <c r="Q25" s="30"/>
      <c r="R25" s="30"/>
      <c r="S25" s="30"/>
      <c r="T25" s="30"/>
      <c r="U25" s="30"/>
      <c r="V25" s="31"/>
    </row>
    <row r="26" spans="1:22">
      <c r="A26" s="1" t="s">
        <v>45</v>
      </c>
      <c r="B26" s="29">
        <v>0</v>
      </c>
      <c r="C26" s="30">
        <v>0</v>
      </c>
      <c r="D26" s="30">
        <v>0</v>
      </c>
      <c r="E26" s="30">
        <v>0</v>
      </c>
      <c r="F26" s="30">
        <v>0</v>
      </c>
      <c r="G26" s="31">
        <f>SUM(MD_FINANCIAL)</f>
        <v>0</v>
      </c>
      <c r="H26" s="30"/>
      <c r="I26" s="34" t="s">
        <v>46</v>
      </c>
      <c r="J26" s="35">
        <f>SUM(ADD_FINANCIAL)-SUM(LESS_FINANCIAL)</f>
        <v>9165</v>
      </c>
      <c r="K26" s="30"/>
      <c r="L26" s="29"/>
      <c r="M26" s="30"/>
      <c r="N26" s="30"/>
      <c r="O26" s="30"/>
      <c r="P26" s="30"/>
      <c r="Q26" s="30"/>
      <c r="R26" s="30"/>
      <c r="S26" s="30"/>
      <c r="T26" s="30"/>
      <c r="U26" s="30"/>
      <c r="V26" s="31"/>
    </row>
    <row r="27" spans="1:22">
      <c r="A27" s="1" t="s">
        <v>47</v>
      </c>
      <c r="B27" s="29">
        <v>0</v>
      </c>
      <c r="C27" s="30">
        <v>0</v>
      </c>
      <c r="D27" s="30">
        <v>0</v>
      </c>
      <c r="E27" s="30">
        <v>0</v>
      </c>
      <c r="F27" s="30">
        <v>0</v>
      </c>
      <c r="G27" s="31">
        <f>SUM(MA_FINANCIAL)</f>
        <v>0</v>
      </c>
      <c r="H27" s="30"/>
      <c r="I27" s="34" t="s">
        <v>48</v>
      </c>
      <c r="J27" s="35">
        <f>SUM(ALL_BLOCKS)</f>
        <v>9165</v>
      </c>
      <c r="K27" s="30"/>
      <c r="L27" s="29"/>
      <c r="M27" s="30"/>
      <c r="N27" s="30"/>
      <c r="O27" s="30"/>
      <c r="P27" s="30"/>
      <c r="Q27" s="30"/>
      <c r="R27" s="30"/>
      <c r="S27" s="30"/>
      <c r="T27" s="30"/>
      <c r="U27" s="30"/>
      <c r="V27" s="31"/>
    </row>
    <row r="28" spans="1:22">
      <c r="A28" s="1" t="s">
        <v>49</v>
      </c>
      <c r="B28" s="29">
        <v>0</v>
      </c>
      <c r="C28" s="30">
        <v>0</v>
      </c>
      <c r="D28" s="30">
        <v>0</v>
      </c>
      <c r="E28" s="30">
        <v>0</v>
      </c>
      <c r="F28" s="30">
        <v>0</v>
      </c>
      <c r="G28" s="31">
        <f>SUM(MI_FINANCIAL)</f>
        <v>0</v>
      </c>
      <c r="H28" s="30"/>
      <c r="I28" s="36"/>
      <c r="J28" s="37"/>
      <c r="K28" s="30"/>
      <c r="L28" s="29"/>
      <c r="M28" s="30"/>
      <c r="N28" s="30"/>
      <c r="O28" s="30"/>
      <c r="P28" s="30"/>
      <c r="Q28" s="30"/>
      <c r="R28" s="30"/>
      <c r="S28" s="30"/>
      <c r="T28" s="30"/>
      <c r="U28" s="30"/>
      <c r="V28" s="31"/>
    </row>
    <row r="29" spans="1:22">
      <c r="A29" s="1" t="s">
        <v>50</v>
      </c>
      <c r="B29" s="29">
        <v>0</v>
      </c>
      <c r="C29" s="30">
        <v>0</v>
      </c>
      <c r="D29" s="30">
        <v>0</v>
      </c>
      <c r="E29" s="30">
        <v>0</v>
      </c>
      <c r="F29" s="30">
        <v>0</v>
      </c>
      <c r="G29" s="31">
        <f>SUM(MN_FINANCIAL)</f>
        <v>0</v>
      </c>
      <c r="H29" s="30"/>
      <c r="I29" s="30"/>
      <c r="J29" s="30"/>
      <c r="K29" s="30"/>
      <c r="L29" s="29"/>
      <c r="M29" s="30"/>
      <c r="N29" s="30"/>
      <c r="O29" s="30"/>
      <c r="P29" s="30"/>
      <c r="Q29" s="30"/>
      <c r="R29" s="30"/>
      <c r="S29" s="30"/>
      <c r="T29" s="30"/>
      <c r="U29" s="30"/>
      <c r="V29" s="31"/>
    </row>
    <row r="30" spans="1:22">
      <c r="A30" s="1" t="s">
        <v>51</v>
      </c>
      <c r="B30" s="29">
        <v>0</v>
      </c>
      <c r="C30" s="30">
        <v>0</v>
      </c>
      <c r="D30" s="30">
        <v>0</v>
      </c>
      <c r="E30" s="30">
        <v>0</v>
      </c>
      <c r="F30" s="30">
        <v>0</v>
      </c>
      <c r="G30" s="31">
        <f>SUM(MS_FINANCIAL)</f>
        <v>0</v>
      </c>
      <c r="H30" s="30"/>
      <c r="I30" s="30"/>
      <c r="J30" s="30"/>
      <c r="K30" s="30"/>
      <c r="L30" s="29"/>
      <c r="M30" s="30"/>
      <c r="N30" s="30"/>
      <c r="O30" s="30"/>
      <c r="P30" s="30"/>
      <c r="Q30" s="30"/>
      <c r="R30" s="30"/>
      <c r="S30" s="30"/>
      <c r="T30" s="30"/>
      <c r="U30" s="30"/>
      <c r="V30" s="31"/>
    </row>
    <row r="31" spans="1:22">
      <c r="A31" s="1" t="s">
        <v>52</v>
      </c>
      <c r="B31" s="29">
        <v>0</v>
      </c>
      <c r="C31" s="30">
        <v>0</v>
      </c>
      <c r="D31" s="30">
        <v>0</v>
      </c>
      <c r="E31" s="30">
        <v>0</v>
      </c>
      <c r="F31" s="30">
        <v>0</v>
      </c>
      <c r="G31" s="31">
        <f>SUM(MO_FINANCIAL)</f>
        <v>0</v>
      </c>
      <c r="H31" s="30"/>
      <c r="I31" s="30"/>
      <c r="J31" s="30"/>
      <c r="K31" s="30"/>
      <c r="L31" s="29"/>
      <c r="M31" s="30"/>
      <c r="N31" s="30"/>
      <c r="O31" s="30"/>
      <c r="P31" s="30"/>
      <c r="Q31" s="30"/>
      <c r="R31" s="30"/>
      <c r="S31" s="30"/>
      <c r="T31" s="30"/>
      <c r="U31" s="30"/>
      <c r="V31" s="31"/>
    </row>
    <row r="32" spans="1:22">
      <c r="A32" s="1" t="s">
        <v>53</v>
      </c>
      <c r="B32" s="29">
        <v>0</v>
      </c>
      <c r="C32" s="30">
        <v>0</v>
      </c>
      <c r="D32" s="30">
        <v>0</v>
      </c>
      <c r="E32" s="30">
        <v>0</v>
      </c>
      <c r="F32" s="30">
        <v>0</v>
      </c>
      <c r="G32" s="31">
        <f>SUM(MT_FINANCIAL)</f>
        <v>0</v>
      </c>
      <c r="H32" s="30"/>
      <c r="I32" s="30"/>
      <c r="J32" s="30"/>
      <c r="K32" s="30"/>
      <c r="L32" s="29"/>
      <c r="M32" s="30"/>
      <c r="N32" s="30"/>
      <c r="O32" s="30"/>
      <c r="P32" s="30"/>
      <c r="Q32" s="30"/>
      <c r="R32" s="30"/>
      <c r="S32" s="30"/>
      <c r="T32" s="30"/>
      <c r="U32" s="30"/>
      <c r="V32" s="31"/>
    </row>
    <row r="33" spans="1:22">
      <c r="A33" s="1" t="s">
        <v>54</v>
      </c>
      <c r="B33" s="29">
        <v>0</v>
      </c>
      <c r="C33" s="30">
        <v>0</v>
      </c>
      <c r="D33" s="30">
        <v>0</v>
      </c>
      <c r="E33" s="30">
        <v>0</v>
      </c>
      <c r="F33" s="30">
        <v>0</v>
      </c>
      <c r="G33" s="31">
        <f>SUM(NE_FINANCIAL)</f>
        <v>0</v>
      </c>
      <c r="H33" s="30"/>
      <c r="I33" s="30"/>
      <c r="J33" s="30"/>
      <c r="K33" s="30"/>
      <c r="L33" s="29"/>
      <c r="M33" s="30"/>
      <c r="N33" s="30"/>
      <c r="O33" s="30"/>
      <c r="P33" s="30"/>
      <c r="Q33" s="30"/>
      <c r="R33" s="30"/>
      <c r="S33" s="30"/>
      <c r="T33" s="30"/>
      <c r="U33" s="30"/>
      <c r="V33" s="31"/>
    </row>
    <row r="34" spans="1:22">
      <c r="A34" s="1" t="s">
        <v>55</v>
      </c>
      <c r="B34" s="29">
        <v>0</v>
      </c>
      <c r="C34" s="30">
        <v>0</v>
      </c>
      <c r="D34" s="30">
        <v>0</v>
      </c>
      <c r="E34" s="30">
        <v>0</v>
      </c>
      <c r="F34" s="30">
        <v>0</v>
      </c>
      <c r="G34" s="31">
        <f>SUM(NV_FINANCIAL)</f>
        <v>0</v>
      </c>
      <c r="H34" s="30"/>
      <c r="I34" s="30"/>
      <c r="J34" s="30"/>
      <c r="K34" s="30"/>
      <c r="L34" s="29"/>
      <c r="M34" s="30"/>
      <c r="N34" s="30"/>
      <c r="O34" s="30"/>
      <c r="P34" s="30"/>
      <c r="Q34" s="30"/>
      <c r="R34" s="30"/>
      <c r="S34" s="30"/>
      <c r="T34" s="30"/>
      <c r="U34" s="30"/>
      <c r="V34" s="31"/>
    </row>
    <row r="35" spans="1:22">
      <c r="A35" s="1" t="s">
        <v>56</v>
      </c>
      <c r="B35" s="29">
        <v>0</v>
      </c>
      <c r="C35" s="30">
        <v>0</v>
      </c>
      <c r="D35" s="30">
        <v>0</v>
      </c>
      <c r="E35" s="30">
        <v>0</v>
      </c>
      <c r="F35" s="30">
        <v>0</v>
      </c>
      <c r="G35" s="31">
        <f>SUM(NH_FINANCIAL)</f>
        <v>0</v>
      </c>
      <c r="H35" s="30"/>
      <c r="I35" s="30"/>
      <c r="J35" s="30"/>
      <c r="K35" s="30"/>
      <c r="L35" s="29"/>
      <c r="M35" s="30"/>
      <c r="N35" s="30"/>
      <c r="O35" s="30"/>
      <c r="P35" s="30"/>
      <c r="Q35" s="30"/>
      <c r="R35" s="30"/>
      <c r="S35" s="30"/>
      <c r="T35" s="30"/>
      <c r="U35" s="30"/>
      <c r="V35" s="31"/>
    </row>
    <row r="36" spans="1:22">
      <c r="A36" s="1" t="s">
        <v>57</v>
      </c>
      <c r="B36" s="29">
        <v>0</v>
      </c>
      <c r="C36" s="30">
        <v>0</v>
      </c>
      <c r="D36" s="30">
        <v>0</v>
      </c>
      <c r="E36" s="30">
        <v>0</v>
      </c>
      <c r="F36" s="30">
        <v>0</v>
      </c>
      <c r="G36" s="31">
        <f>SUM(NJ_FINANCIAL)</f>
        <v>0</v>
      </c>
      <c r="H36" s="30"/>
      <c r="I36" s="30"/>
      <c r="J36" s="30"/>
      <c r="K36" s="30"/>
      <c r="L36" s="29"/>
      <c r="M36" s="30"/>
      <c r="N36" s="30"/>
      <c r="O36" s="30"/>
      <c r="P36" s="30"/>
      <c r="Q36" s="30"/>
      <c r="R36" s="30"/>
      <c r="S36" s="30"/>
      <c r="T36" s="30"/>
      <c r="U36" s="30"/>
      <c r="V36" s="31"/>
    </row>
    <row r="37" spans="1:22">
      <c r="A37" s="1" t="s">
        <v>58</v>
      </c>
      <c r="B37" s="29">
        <v>0</v>
      </c>
      <c r="C37" s="30">
        <v>0</v>
      </c>
      <c r="D37" s="30">
        <v>0</v>
      </c>
      <c r="E37" s="30">
        <v>0</v>
      </c>
      <c r="F37" s="30">
        <v>0</v>
      </c>
      <c r="G37" s="31">
        <f>SUM(NM_FINANCIAL)</f>
        <v>0</v>
      </c>
      <c r="H37" s="30"/>
      <c r="I37" s="30"/>
      <c r="J37" s="30"/>
      <c r="K37" s="30"/>
      <c r="L37" s="29"/>
      <c r="M37" s="30"/>
      <c r="N37" s="30"/>
      <c r="O37" s="30"/>
      <c r="P37" s="30"/>
      <c r="Q37" s="30"/>
      <c r="R37" s="30"/>
      <c r="S37" s="30"/>
      <c r="T37" s="30"/>
      <c r="U37" s="30"/>
      <c r="V37" s="31"/>
    </row>
    <row r="38" spans="1:22">
      <c r="A38" s="1" t="s">
        <v>59</v>
      </c>
      <c r="B38" s="29">
        <v>0</v>
      </c>
      <c r="C38" s="30">
        <v>0</v>
      </c>
      <c r="D38" s="30">
        <v>0</v>
      </c>
      <c r="E38" s="30">
        <v>0</v>
      </c>
      <c r="F38" s="30">
        <v>0</v>
      </c>
      <c r="G38" s="31">
        <f>SUM(NY_FINANCIAL)</f>
        <v>0</v>
      </c>
      <c r="H38" s="30"/>
      <c r="I38" s="30"/>
      <c r="J38" s="30"/>
      <c r="K38" s="30"/>
      <c r="L38" s="29"/>
      <c r="M38" s="30"/>
      <c r="N38" s="30"/>
      <c r="O38" s="30"/>
      <c r="P38" s="30"/>
      <c r="Q38" s="30"/>
      <c r="R38" s="30"/>
      <c r="S38" s="30"/>
      <c r="T38" s="30"/>
      <c r="U38" s="30"/>
      <c r="V38" s="31"/>
    </row>
    <row r="39" spans="1:22">
      <c r="A39" s="1" t="s">
        <v>60</v>
      </c>
      <c r="B39" s="29">
        <v>0</v>
      </c>
      <c r="C39" s="30">
        <v>0</v>
      </c>
      <c r="D39" s="30">
        <v>0</v>
      </c>
      <c r="E39" s="30">
        <v>0</v>
      </c>
      <c r="F39" s="30">
        <v>0</v>
      </c>
      <c r="G39" s="31">
        <f>SUM(NC_FINANCIAL)</f>
        <v>0</v>
      </c>
      <c r="H39" s="30"/>
      <c r="I39" s="30"/>
      <c r="J39" s="30"/>
      <c r="K39" s="30"/>
      <c r="L39" s="29"/>
      <c r="M39" s="30"/>
      <c r="N39" s="30"/>
      <c r="O39" s="30"/>
      <c r="P39" s="30"/>
      <c r="Q39" s="30"/>
      <c r="R39" s="30"/>
      <c r="S39" s="30"/>
      <c r="T39" s="30"/>
      <c r="U39" s="30"/>
      <c r="V39" s="31"/>
    </row>
    <row r="40" spans="1:22">
      <c r="A40" s="1" t="s">
        <v>61</v>
      </c>
      <c r="B40" s="29">
        <v>0</v>
      </c>
      <c r="C40" s="30">
        <v>0</v>
      </c>
      <c r="D40" s="30">
        <v>0</v>
      </c>
      <c r="E40" s="30">
        <v>0</v>
      </c>
      <c r="F40" s="30">
        <v>0</v>
      </c>
      <c r="G40" s="31">
        <f>SUM(ND_FINANCIAL)</f>
        <v>0</v>
      </c>
      <c r="H40" s="30"/>
      <c r="I40" s="30"/>
      <c r="J40" s="30"/>
      <c r="K40" s="30"/>
      <c r="L40" s="29"/>
      <c r="M40" s="30"/>
      <c r="N40" s="30"/>
      <c r="O40" s="30"/>
      <c r="P40" s="30"/>
      <c r="Q40" s="30"/>
      <c r="R40" s="30"/>
      <c r="S40" s="30"/>
      <c r="T40" s="30"/>
      <c r="U40" s="30"/>
      <c r="V40" s="31"/>
    </row>
    <row r="41" spans="1:22">
      <c r="A41" s="1" t="s">
        <v>62</v>
      </c>
      <c r="B41" s="29">
        <v>0</v>
      </c>
      <c r="C41" s="30">
        <v>0</v>
      </c>
      <c r="D41" s="30">
        <v>0</v>
      </c>
      <c r="E41" s="30">
        <v>0</v>
      </c>
      <c r="F41" s="30">
        <v>0</v>
      </c>
      <c r="G41" s="31">
        <f>SUM(OH_FINANCIAL)</f>
        <v>0</v>
      </c>
      <c r="H41" s="30"/>
      <c r="I41" s="30"/>
      <c r="J41" s="30"/>
      <c r="K41" s="30"/>
      <c r="L41" s="29"/>
      <c r="M41" s="30"/>
      <c r="N41" s="30"/>
      <c r="O41" s="30"/>
      <c r="P41" s="30"/>
      <c r="Q41" s="30"/>
      <c r="R41" s="30"/>
      <c r="S41" s="30"/>
      <c r="T41" s="30"/>
      <c r="U41" s="30"/>
      <c r="V41" s="31"/>
    </row>
    <row r="42" spans="1:22">
      <c r="A42" s="1" t="s">
        <v>63</v>
      </c>
      <c r="B42" s="29">
        <v>0</v>
      </c>
      <c r="C42" s="30">
        <v>0</v>
      </c>
      <c r="D42" s="30">
        <v>0</v>
      </c>
      <c r="E42" s="30">
        <v>0</v>
      </c>
      <c r="F42" s="30">
        <v>0</v>
      </c>
      <c r="G42" s="31">
        <f>SUM(OK_FINANCIAL)</f>
        <v>0</v>
      </c>
      <c r="H42" s="30"/>
      <c r="I42" s="30"/>
      <c r="J42" s="30"/>
      <c r="K42" s="30"/>
      <c r="L42" s="29"/>
      <c r="M42" s="30"/>
      <c r="N42" s="30"/>
      <c r="O42" s="30"/>
      <c r="P42" s="30"/>
      <c r="Q42" s="30"/>
      <c r="R42" s="30"/>
      <c r="S42" s="30"/>
      <c r="T42" s="30"/>
      <c r="U42" s="30"/>
      <c r="V42" s="31"/>
    </row>
    <row r="43" spans="1:22">
      <c r="A43" s="1" t="s">
        <v>64</v>
      </c>
      <c r="B43" s="29">
        <v>0</v>
      </c>
      <c r="C43" s="30">
        <v>0</v>
      </c>
      <c r="D43" s="30">
        <v>0</v>
      </c>
      <c r="E43" s="30">
        <v>0</v>
      </c>
      <c r="F43" s="30">
        <v>0</v>
      </c>
      <c r="G43" s="31">
        <f>SUM(OR_FINANCIAL)</f>
        <v>0</v>
      </c>
      <c r="H43" s="30"/>
      <c r="I43" s="30"/>
      <c r="J43" s="30"/>
      <c r="K43" s="30"/>
      <c r="L43" s="29"/>
      <c r="M43" s="30"/>
      <c r="N43" s="30"/>
      <c r="O43" s="30"/>
      <c r="P43" s="30"/>
      <c r="Q43" s="30"/>
      <c r="R43" s="30"/>
      <c r="S43" s="30"/>
      <c r="T43" s="30"/>
      <c r="U43" s="30"/>
      <c r="V43" s="31"/>
    </row>
    <row r="44" spans="1:22">
      <c r="A44" s="1" t="s">
        <v>65</v>
      </c>
      <c r="B44" s="29">
        <v>0</v>
      </c>
      <c r="C44" s="30">
        <v>0</v>
      </c>
      <c r="D44" s="30">
        <v>0</v>
      </c>
      <c r="E44" s="30">
        <v>0</v>
      </c>
      <c r="F44" s="30">
        <v>0</v>
      </c>
      <c r="G44" s="31">
        <f>SUM(PA_FINANCIAL)</f>
        <v>0</v>
      </c>
      <c r="H44" s="30"/>
      <c r="I44" s="30"/>
      <c r="J44" s="30"/>
      <c r="K44" s="30"/>
      <c r="L44" s="29"/>
      <c r="M44" s="30"/>
      <c r="N44" s="30"/>
      <c r="O44" s="30"/>
      <c r="P44" s="30"/>
      <c r="Q44" s="30"/>
      <c r="R44" s="30"/>
      <c r="S44" s="30"/>
      <c r="T44" s="30"/>
      <c r="U44" s="30"/>
      <c r="V44" s="31"/>
    </row>
    <row r="45" spans="1:22">
      <c r="A45" s="1" t="s">
        <v>66</v>
      </c>
      <c r="B45" s="29">
        <v>0</v>
      </c>
      <c r="C45" s="30">
        <v>0</v>
      </c>
      <c r="D45" s="30">
        <v>0</v>
      </c>
      <c r="E45" s="30">
        <v>0</v>
      </c>
      <c r="F45" s="30">
        <v>0</v>
      </c>
      <c r="G45" s="31">
        <f>SUM(PR_FINANCIAL)</f>
        <v>0</v>
      </c>
      <c r="H45" s="30"/>
      <c r="I45" s="30"/>
      <c r="J45" s="30"/>
      <c r="K45" s="30"/>
      <c r="L45" s="29"/>
      <c r="M45" s="30"/>
      <c r="N45" s="30"/>
      <c r="O45" s="30"/>
      <c r="P45" s="30"/>
      <c r="Q45" s="30"/>
      <c r="R45" s="30"/>
      <c r="S45" s="30"/>
      <c r="T45" s="30"/>
      <c r="U45" s="30"/>
      <c r="V45" s="31"/>
    </row>
    <row r="46" spans="1:22">
      <c r="A46" s="1" t="s">
        <v>67</v>
      </c>
      <c r="B46" s="29">
        <v>0</v>
      </c>
      <c r="C46" s="30">
        <v>0</v>
      </c>
      <c r="D46" s="30">
        <v>0</v>
      </c>
      <c r="E46" s="30">
        <v>0</v>
      </c>
      <c r="F46" s="30">
        <v>0</v>
      </c>
      <c r="G46" s="31">
        <f>SUM(RI_FINANCIAL)</f>
        <v>0</v>
      </c>
      <c r="H46" s="30"/>
      <c r="I46" s="30"/>
      <c r="J46" s="30"/>
      <c r="K46" s="30"/>
      <c r="L46" s="29"/>
      <c r="M46" s="30"/>
      <c r="N46" s="30"/>
      <c r="O46" s="30"/>
      <c r="P46" s="30"/>
      <c r="Q46" s="30"/>
      <c r="R46" s="30"/>
      <c r="S46" s="30"/>
      <c r="T46" s="30"/>
      <c r="U46" s="30"/>
      <c r="V46" s="31"/>
    </row>
    <row r="47" spans="1:22">
      <c r="A47" s="1" t="s">
        <v>68</v>
      </c>
      <c r="B47" s="29">
        <v>0</v>
      </c>
      <c r="C47" s="30">
        <v>0</v>
      </c>
      <c r="D47" s="30">
        <v>0</v>
      </c>
      <c r="E47" s="30">
        <v>0</v>
      </c>
      <c r="F47" s="30">
        <v>0</v>
      </c>
      <c r="G47" s="31">
        <f>SUM(SC_FINANCIAL)</f>
        <v>0</v>
      </c>
      <c r="H47" s="30"/>
      <c r="I47" s="30"/>
      <c r="J47" s="30"/>
      <c r="K47" s="30"/>
      <c r="L47" s="29"/>
      <c r="M47" s="30"/>
      <c r="N47" s="30"/>
      <c r="O47" s="30"/>
      <c r="P47" s="30"/>
      <c r="Q47" s="30"/>
      <c r="R47" s="30"/>
      <c r="S47" s="30"/>
      <c r="T47" s="30"/>
      <c r="U47" s="30"/>
      <c r="V47" s="31"/>
    </row>
    <row r="48" spans="1:22">
      <c r="A48" s="1" t="s">
        <v>69</v>
      </c>
      <c r="B48" s="29">
        <v>0</v>
      </c>
      <c r="C48" s="30">
        <v>0</v>
      </c>
      <c r="D48" s="30">
        <v>0</v>
      </c>
      <c r="E48" s="30">
        <v>0</v>
      </c>
      <c r="F48" s="30">
        <v>0</v>
      </c>
      <c r="G48" s="31">
        <f>SUM(SD_FINANCIAL)</f>
        <v>0</v>
      </c>
      <c r="H48" s="30"/>
      <c r="I48" s="30"/>
      <c r="J48" s="30"/>
      <c r="K48" s="30"/>
      <c r="L48" s="29"/>
      <c r="M48" s="30"/>
      <c r="N48" s="30"/>
      <c r="O48" s="30"/>
      <c r="P48" s="30"/>
      <c r="Q48" s="30"/>
      <c r="R48" s="30"/>
      <c r="S48" s="30"/>
      <c r="T48" s="30"/>
      <c r="U48" s="30"/>
      <c r="V48" s="31"/>
    </row>
    <row r="49" spans="1:22">
      <c r="A49" s="1" t="s">
        <v>70</v>
      </c>
      <c r="B49" s="29">
        <v>0</v>
      </c>
      <c r="C49" s="30">
        <v>0</v>
      </c>
      <c r="D49" s="30">
        <v>0</v>
      </c>
      <c r="E49" s="30">
        <v>0</v>
      </c>
      <c r="F49" s="30">
        <v>0</v>
      </c>
      <c r="G49" s="31">
        <f>SUM(TN_FINANCIAL)</f>
        <v>0</v>
      </c>
      <c r="H49" s="30"/>
      <c r="I49" s="30"/>
      <c r="J49" s="30"/>
      <c r="K49" s="30"/>
      <c r="L49" s="29"/>
      <c r="M49" s="30"/>
      <c r="N49" s="30"/>
      <c r="O49" s="30"/>
      <c r="P49" s="30"/>
      <c r="Q49" s="30"/>
      <c r="R49" s="30"/>
      <c r="S49" s="30"/>
      <c r="T49" s="30"/>
      <c r="U49" s="30"/>
      <c r="V49" s="31"/>
    </row>
    <row r="50" spans="1:22">
      <c r="A50" s="1" t="s">
        <v>71</v>
      </c>
      <c r="B50" s="29">
        <v>0</v>
      </c>
      <c r="C50" s="30">
        <v>0</v>
      </c>
      <c r="D50" s="30">
        <v>0</v>
      </c>
      <c r="E50" s="30">
        <v>0</v>
      </c>
      <c r="F50" s="30">
        <v>0</v>
      </c>
      <c r="G50" s="31">
        <f>SUM(TX_FINANCIAL)</f>
        <v>0</v>
      </c>
      <c r="H50" s="30"/>
      <c r="I50" s="30"/>
      <c r="J50" s="30"/>
      <c r="K50" s="30"/>
      <c r="L50" s="29"/>
      <c r="M50" s="30"/>
      <c r="N50" s="30"/>
      <c r="O50" s="30"/>
      <c r="P50" s="30"/>
      <c r="Q50" s="30"/>
      <c r="R50" s="30"/>
      <c r="S50" s="30"/>
      <c r="T50" s="30"/>
      <c r="U50" s="30"/>
      <c r="V50" s="31"/>
    </row>
    <row r="51" spans="1:22">
      <c r="A51" s="1" t="s">
        <v>72</v>
      </c>
      <c r="B51" s="29">
        <v>0</v>
      </c>
      <c r="C51" s="30">
        <v>0</v>
      </c>
      <c r="D51" s="30">
        <v>0</v>
      </c>
      <c r="E51" s="30">
        <v>0</v>
      </c>
      <c r="F51" s="30">
        <v>0</v>
      </c>
      <c r="G51" s="31">
        <f>SUM(UT_FINANCIAL)</f>
        <v>0</v>
      </c>
      <c r="H51" s="30"/>
      <c r="I51" s="30"/>
      <c r="J51" s="30"/>
      <c r="K51" s="30"/>
      <c r="L51" s="29"/>
      <c r="M51" s="30"/>
      <c r="N51" s="30"/>
      <c r="O51" s="30"/>
      <c r="P51" s="30"/>
      <c r="Q51" s="30"/>
      <c r="R51" s="30"/>
      <c r="S51" s="30"/>
      <c r="T51" s="30"/>
      <c r="U51" s="30"/>
      <c r="V51" s="31"/>
    </row>
    <row r="52" spans="1:22">
      <c r="A52" s="1" t="s">
        <v>73</v>
      </c>
      <c r="B52" s="29">
        <v>0</v>
      </c>
      <c r="C52" s="30">
        <v>0</v>
      </c>
      <c r="D52" s="30">
        <v>0</v>
      </c>
      <c r="E52" s="30">
        <v>0</v>
      </c>
      <c r="F52" s="30">
        <v>0</v>
      </c>
      <c r="G52" s="31">
        <f>SUM(VT_FINANCIAL)</f>
        <v>0</v>
      </c>
      <c r="H52" s="30"/>
      <c r="I52" s="30"/>
      <c r="J52" s="30"/>
      <c r="K52" s="30"/>
      <c r="L52" s="29"/>
      <c r="M52" s="30"/>
      <c r="N52" s="30"/>
      <c r="O52" s="30"/>
      <c r="P52" s="30"/>
      <c r="Q52" s="30"/>
      <c r="R52" s="30"/>
      <c r="S52" s="30"/>
      <c r="T52" s="30"/>
      <c r="U52" s="30"/>
      <c r="V52" s="31"/>
    </row>
    <row r="53" spans="1:22">
      <c r="A53" s="1" t="s">
        <v>74</v>
      </c>
      <c r="B53" s="29">
        <v>0</v>
      </c>
      <c r="C53" s="30">
        <v>0</v>
      </c>
      <c r="D53" s="30">
        <v>0</v>
      </c>
      <c r="E53" s="30">
        <v>0</v>
      </c>
      <c r="F53" s="30">
        <v>0</v>
      </c>
      <c r="G53" s="31">
        <f>SUM(VA_FINANCIAL)</f>
        <v>0</v>
      </c>
      <c r="H53" s="30"/>
      <c r="I53" s="30"/>
      <c r="J53" s="30"/>
      <c r="K53" s="30"/>
      <c r="L53" s="29"/>
      <c r="M53" s="30"/>
      <c r="N53" s="30"/>
      <c r="O53" s="30"/>
      <c r="P53" s="30"/>
      <c r="Q53" s="30"/>
      <c r="R53" s="30"/>
      <c r="S53" s="30"/>
      <c r="T53" s="30"/>
      <c r="U53" s="30"/>
      <c r="V53" s="31"/>
    </row>
    <row r="54" spans="1:22">
      <c r="A54" s="1" t="s">
        <v>75</v>
      </c>
      <c r="B54" s="29">
        <v>0</v>
      </c>
      <c r="C54" s="30">
        <v>0</v>
      </c>
      <c r="D54" s="30">
        <v>0</v>
      </c>
      <c r="E54" s="30">
        <v>0</v>
      </c>
      <c r="F54" s="30">
        <v>0</v>
      </c>
      <c r="G54" s="31">
        <f>SUM(WA_FINANCIAL)</f>
        <v>0</v>
      </c>
      <c r="H54" s="30"/>
      <c r="I54" s="30"/>
      <c r="J54" s="30"/>
      <c r="K54" s="30"/>
      <c r="L54" s="29"/>
      <c r="M54" s="30"/>
      <c r="N54" s="30"/>
      <c r="O54" s="30"/>
      <c r="P54" s="30"/>
      <c r="Q54" s="30"/>
      <c r="R54" s="30"/>
      <c r="S54" s="30"/>
      <c r="T54" s="30"/>
      <c r="U54" s="30"/>
      <c r="V54" s="31"/>
    </row>
    <row r="55" spans="1:22">
      <c r="A55" s="1" t="s">
        <v>76</v>
      </c>
      <c r="B55" s="29">
        <v>0</v>
      </c>
      <c r="C55" s="30">
        <v>0</v>
      </c>
      <c r="D55" s="30">
        <v>0</v>
      </c>
      <c r="E55" s="30">
        <v>0</v>
      </c>
      <c r="F55" s="30">
        <v>0</v>
      </c>
      <c r="G55" s="31">
        <f>SUM(WV_FINANCIAL)</f>
        <v>0</v>
      </c>
      <c r="H55" s="30"/>
      <c r="I55" s="30"/>
      <c r="J55" s="30"/>
      <c r="K55" s="30"/>
      <c r="L55" s="29"/>
      <c r="M55" s="30"/>
      <c r="N55" s="30"/>
      <c r="O55" s="30"/>
      <c r="P55" s="30"/>
      <c r="Q55" s="30"/>
      <c r="R55" s="30"/>
      <c r="S55" s="30"/>
      <c r="T55" s="30"/>
      <c r="U55" s="30"/>
      <c r="V55" s="31"/>
    </row>
    <row r="56" spans="1:22">
      <c r="A56" s="1" t="s">
        <v>77</v>
      </c>
      <c r="B56" s="29">
        <v>0</v>
      </c>
      <c r="C56" s="30">
        <v>0</v>
      </c>
      <c r="D56" s="30">
        <v>0</v>
      </c>
      <c r="E56" s="30">
        <v>0</v>
      </c>
      <c r="F56" s="30">
        <v>0</v>
      </c>
      <c r="G56" s="31">
        <f>SUM(WI_FINANCIAL)</f>
        <v>0</v>
      </c>
      <c r="H56" s="30"/>
      <c r="I56" s="30"/>
      <c r="J56" s="30"/>
      <c r="K56" s="30"/>
      <c r="L56" s="29"/>
      <c r="M56" s="30"/>
      <c r="N56" s="30"/>
      <c r="O56" s="30"/>
      <c r="P56" s="30"/>
      <c r="Q56" s="30"/>
      <c r="R56" s="30"/>
      <c r="S56" s="30"/>
      <c r="T56" s="30"/>
      <c r="U56" s="30"/>
      <c r="V56" s="31"/>
    </row>
    <row r="57" spans="1:22">
      <c r="A57" s="1" t="s">
        <v>78</v>
      </c>
      <c r="B57" s="29">
        <v>0</v>
      </c>
      <c r="C57" s="30">
        <v>0</v>
      </c>
      <c r="D57" s="30">
        <v>0</v>
      </c>
      <c r="E57" s="30">
        <v>0</v>
      </c>
      <c r="F57" s="30">
        <v>0</v>
      </c>
      <c r="G57" s="31">
        <f>SUM(WY_FINANCIAL)</f>
        <v>0</v>
      </c>
      <c r="H57" s="30"/>
      <c r="I57" s="30"/>
      <c r="J57" s="30"/>
      <c r="K57" s="30"/>
      <c r="L57" s="29"/>
      <c r="M57" s="30"/>
      <c r="N57" s="30"/>
      <c r="O57" s="30"/>
      <c r="P57" s="30"/>
      <c r="Q57" s="30"/>
      <c r="R57" s="30"/>
      <c r="S57" s="30"/>
      <c r="T57" s="30"/>
      <c r="U57" s="30"/>
      <c r="V57" s="31"/>
    </row>
    <row r="58" spans="1:22">
      <c r="A58" s="1" t="s">
        <v>79</v>
      </c>
      <c r="B58" s="29">
        <v>0</v>
      </c>
      <c r="C58" s="30">
        <v>0</v>
      </c>
      <c r="D58" s="30">
        <v>0</v>
      </c>
      <c r="E58" s="30">
        <v>0</v>
      </c>
      <c r="F58" s="30">
        <v>0</v>
      </c>
      <c r="G58" s="31">
        <f>SUM(OT_FINANCIAL)</f>
        <v>0</v>
      </c>
      <c r="H58" s="30"/>
      <c r="I58" s="30"/>
      <c r="J58" s="30"/>
      <c r="K58" s="30"/>
      <c r="L58" s="29"/>
      <c r="M58" s="30"/>
      <c r="N58" s="30"/>
      <c r="O58" s="30"/>
      <c r="P58" s="30"/>
      <c r="Q58" s="30"/>
      <c r="R58" s="30"/>
      <c r="S58" s="30"/>
      <c r="T58" s="30"/>
      <c r="U58" s="30"/>
      <c r="V58" s="31"/>
    </row>
    <row r="59" spans="1:22">
      <c r="B59" s="29"/>
      <c r="C59" s="30"/>
      <c r="D59" s="30"/>
      <c r="E59" s="30"/>
      <c r="F59" s="30"/>
      <c r="G59" s="31"/>
      <c r="H59" s="30"/>
      <c r="I59" s="30"/>
      <c r="J59" s="30"/>
      <c r="K59" s="30"/>
      <c r="L59" s="29"/>
      <c r="M59" s="30"/>
      <c r="N59" s="30"/>
      <c r="O59" s="30"/>
      <c r="P59" s="30"/>
      <c r="Q59" s="30"/>
      <c r="R59" s="30"/>
      <c r="S59" s="30"/>
      <c r="T59" s="30"/>
      <c r="U59" s="30"/>
      <c r="V59" s="31"/>
    </row>
    <row r="60" spans="1:22">
      <c r="A60" s="1" t="s">
        <v>8</v>
      </c>
      <c r="B60" s="29">
        <f>SUM(LIFE)</f>
        <v>0</v>
      </c>
      <c r="C60" s="30">
        <f>SUM(ALLOCATED)</f>
        <v>0</v>
      </c>
      <c r="D60" s="30">
        <f>SUM(HEALTH)</f>
        <v>9165</v>
      </c>
      <c r="E60" s="30">
        <f>SUM(UNALLOCATED)</f>
        <v>0</v>
      </c>
      <c r="F60" s="30">
        <f>SUM(LTC)</f>
        <v>0</v>
      </c>
      <c r="G60" s="31">
        <f>SUM(ALL_BLOCKS)</f>
        <v>9165</v>
      </c>
      <c r="H60" s="30"/>
      <c r="I60" s="30"/>
      <c r="J60" s="30"/>
      <c r="K60" s="30"/>
      <c r="L60" s="29">
        <f>SUM(LIFE_CALLED)</f>
        <v>0</v>
      </c>
      <c r="M60" s="30">
        <f>SUM(LIFE_REFUNDED)</f>
        <v>0</v>
      </c>
      <c r="N60" s="30"/>
      <c r="O60" s="30">
        <f>SUM(ALLOC_CALLED)</f>
        <v>0</v>
      </c>
      <c r="P60" s="30">
        <f>SUM(ALLOC_REFUNDED)</f>
        <v>0</v>
      </c>
      <c r="Q60" s="30"/>
      <c r="R60" s="30">
        <f>SUM(HEALTH_CALLED)</f>
        <v>20000000</v>
      </c>
      <c r="S60" s="30">
        <f>SUM(HEALTH_REFUNDED)</f>
        <v>0</v>
      </c>
      <c r="T60" s="30"/>
      <c r="U60" s="30">
        <f>SUM(UNALLOC_CALLED)</f>
        <v>0</v>
      </c>
      <c r="V60" s="31">
        <f>SUM(UNALLOC_REFUNDED)</f>
        <v>0</v>
      </c>
    </row>
    <row r="61" spans="1:22" ht="5.0999999999999996" customHeight="1">
      <c r="B61" s="8"/>
      <c r="G61" s="11"/>
      <c r="L61" s="8"/>
      <c r="V61" s="11"/>
    </row>
    <row r="62" spans="1:22">
      <c r="B62" s="8"/>
      <c r="G62" s="11"/>
      <c r="L62" s="122" t="s">
        <v>80</v>
      </c>
      <c r="M62" s="123"/>
      <c r="N62" s="123"/>
      <c r="O62" s="123"/>
      <c r="P62" s="123"/>
      <c r="Q62" s="123"/>
      <c r="R62" s="123"/>
      <c r="S62" s="123"/>
      <c r="T62" s="123"/>
      <c r="U62" s="123"/>
      <c r="V62" s="124"/>
    </row>
    <row r="63" spans="1:22">
      <c r="B63" s="8"/>
      <c r="G63" s="11"/>
      <c r="L63" s="125"/>
      <c r="M63" s="123"/>
      <c r="N63" s="123"/>
      <c r="O63" s="123"/>
      <c r="P63" s="123"/>
      <c r="Q63" s="123"/>
      <c r="R63" s="123"/>
      <c r="S63" s="123"/>
      <c r="T63" s="123"/>
      <c r="U63" s="123"/>
      <c r="V63" s="124"/>
    </row>
    <row r="64" spans="1:22">
      <c r="B64" s="10"/>
      <c r="C64" s="7"/>
      <c r="D64" s="7"/>
      <c r="E64" s="7"/>
      <c r="F64" s="7"/>
      <c r="G64" s="13"/>
      <c r="L64" s="126"/>
      <c r="M64" s="127"/>
      <c r="N64" s="127"/>
      <c r="O64" s="127"/>
      <c r="P64" s="127"/>
      <c r="Q64" s="127"/>
      <c r="R64" s="127"/>
      <c r="S64" s="127"/>
      <c r="T64" s="127"/>
      <c r="U64" s="127"/>
      <c r="V64" s="128"/>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pageSetUpPr fitToPage="1"/>
  </sheetPr>
  <dimension ref="A1:V64"/>
  <sheetViews>
    <sheetView zoomScale="75" workbookViewId="0">
      <selection sqref="A1:XFD1048576"/>
    </sheetView>
  </sheetViews>
  <sheetFormatPr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129" t="s">
        <v>125</v>
      </c>
      <c r="B1" s="123"/>
      <c r="C1" s="123"/>
      <c r="D1" s="123"/>
      <c r="E1" s="123"/>
      <c r="F1" s="123"/>
      <c r="G1" s="123"/>
    </row>
    <row r="3" spans="1:22">
      <c r="B3" s="130" t="s">
        <v>1</v>
      </c>
      <c r="C3" s="131"/>
      <c r="D3" s="131"/>
      <c r="E3" s="131"/>
      <c r="F3" s="131"/>
      <c r="G3" s="132"/>
      <c r="L3" s="133" t="s">
        <v>2</v>
      </c>
      <c r="M3" s="134"/>
      <c r="N3" s="134"/>
      <c r="O3" s="134"/>
      <c r="P3" s="134"/>
      <c r="Q3" s="134"/>
      <c r="R3" s="134"/>
      <c r="S3" s="134"/>
      <c r="T3" s="134"/>
      <c r="U3" s="134"/>
      <c r="V3" s="135"/>
    </row>
    <row r="4" spans="1:22">
      <c r="B4" s="8"/>
      <c r="G4" s="11"/>
      <c r="L4" s="136" t="s">
        <v>3</v>
      </c>
      <c r="M4" s="137"/>
      <c r="N4" s="4"/>
      <c r="O4" s="138" t="s">
        <v>4</v>
      </c>
      <c r="P4" s="137"/>
      <c r="Q4" s="4"/>
      <c r="R4" s="138" t="s">
        <v>5</v>
      </c>
      <c r="S4" s="137"/>
      <c r="T4" s="4"/>
      <c r="U4" s="138" t="s">
        <v>6</v>
      </c>
      <c r="V4" s="139"/>
    </row>
    <row r="5" spans="1:22" ht="60" customHeight="1">
      <c r="B5" s="9" t="s">
        <v>3</v>
      </c>
      <c r="C5" s="5" t="s">
        <v>4</v>
      </c>
      <c r="D5" s="5" t="s">
        <v>5</v>
      </c>
      <c r="E5" s="5" t="s">
        <v>6</v>
      </c>
      <c r="F5" s="5" t="s">
        <v>7</v>
      </c>
      <c r="G5" s="12" t="s">
        <v>8</v>
      </c>
      <c r="L5" s="15" t="s">
        <v>9</v>
      </c>
      <c r="M5" s="14" t="s">
        <v>10</v>
      </c>
      <c r="N5" s="14"/>
      <c r="O5" s="14" t="s">
        <v>9</v>
      </c>
      <c r="P5" s="14" t="s">
        <v>10</v>
      </c>
      <c r="Q5" s="14"/>
      <c r="R5" s="14" t="s">
        <v>9</v>
      </c>
      <c r="S5" s="14" t="s">
        <v>10</v>
      </c>
      <c r="T5" s="14"/>
      <c r="U5" s="14" t="s">
        <v>9</v>
      </c>
      <c r="V5" s="16" t="s">
        <v>10</v>
      </c>
    </row>
    <row r="6" spans="1:22">
      <c r="A6" s="1" t="s">
        <v>11</v>
      </c>
      <c r="B6" s="29">
        <v>0</v>
      </c>
      <c r="C6" s="30">
        <v>0</v>
      </c>
      <c r="D6" s="30">
        <v>46766.830409904243</v>
      </c>
      <c r="E6" s="30">
        <v>0</v>
      </c>
      <c r="F6" s="30">
        <v>0</v>
      </c>
      <c r="G6" s="31">
        <f>SUM(AL_FINANCIAL)</f>
        <v>46766.830409904243</v>
      </c>
      <c r="H6" s="30"/>
      <c r="I6" s="30"/>
      <c r="J6" s="30"/>
      <c r="K6" s="30"/>
      <c r="L6" s="29"/>
      <c r="M6" s="30"/>
      <c r="N6" s="30"/>
      <c r="O6" s="30"/>
      <c r="P6" s="30"/>
      <c r="Q6" s="30"/>
      <c r="R6" s="30"/>
      <c r="S6" s="30"/>
      <c r="T6" s="30"/>
      <c r="U6" s="30"/>
      <c r="V6" s="31"/>
    </row>
    <row r="7" spans="1:22">
      <c r="A7" s="1" t="s">
        <v>12</v>
      </c>
      <c r="B7" s="29">
        <v>0</v>
      </c>
      <c r="C7" s="30">
        <v>0</v>
      </c>
      <c r="D7" s="30">
        <v>0</v>
      </c>
      <c r="E7" s="30">
        <v>0</v>
      </c>
      <c r="F7" s="30">
        <v>0</v>
      </c>
      <c r="G7" s="31">
        <f>SUM(AK_FINANCIAL)</f>
        <v>0</v>
      </c>
      <c r="H7" s="30"/>
      <c r="I7" s="32"/>
      <c r="J7" s="33"/>
      <c r="K7" s="30"/>
      <c r="L7" s="29"/>
      <c r="M7" s="30"/>
      <c r="N7" s="30"/>
      <c r="O7" s="30"/>
      <c r="P7" s="30"/>
      <c r="Q7" s="30"/>
      <c r="R7" s="30"/>
      <c r="S7" s="30"/>
      <c r="T7" s="30"/>
      <c r="U7" s="30"/>
      <c r="V7" s="31"/>
    </row>
    <row r="8" spans="1:22">
      <c r="A8" s="1" t="s">
        <v>13</v>
      </c>
      <c r="B8" s="29">
        <v>0</v>
      </c>
      <c r="C8" s="30">
        <v>0</v>
      </c>
      <c r="D8" s="30">
        <v>646982.91182761954</v>
      </c>
      <c r="E8" s="30">
        <v>0</v>
      </c>
      <c r="F8" s="30">
        <v>0</v>
      </c>
      <c r="G8" s="31">
        <f>SUM(AZ_FINANCIAL)</f>
        <v>646982.91182761954</v>
      </c>
      <c r="H8" s="30"/>
      <c r="I8" s="34" t="s">
        <v>14</v>
      </c>
      <c r="J8" s="35"/>
      <c r="K8" s="30"/>
      <c r="L8" s="29"/>
      <c r="M8" s="30"/>
      <c r="N8" s="30"/>
      <c r="O8" s="30"/>
      <c r="P8" s="30"/>
      <c r="Q8" s="30"/>
      <c r="R8" s="30"/>
      <c r="S8" s="30"/>
      <c r="T8" s="30"/>
      <c r="U8" s="30"/>
      <c r="V8" s="31"/>
    </row>
    <row r="9" spans="1:22">
      <c r="A9" s="1" t="s">
        <v>15</v>
      </c>
      <c r="B9" s="29">
        <v>0</v>
      </c>
      <c r="C9" s="30">
        <v>0</v>
      </c>
      <c r="D9" s="30">
        <v>24159.564710118037</v>
      </c>
      <c r="E9" s="30">
        <v>0</v>
      </c>
      <c r="F9" s="30">
        <v>0</v>
      </c>
      <c r="G9" s="31">
        <f>SUM(AR_FINANCIAL)</f>
        <v>24159.564710118037</v>
      </c>
      <c r="H9" s="30"/>
      <c r="I9" s="34"/>
      <c r="J9" s="35"/>
      <c r="K9" s="30"/>
      <c r="L9" s="29">
        <v>0</v>
      </c>
      <c r="M9" s="30">
        <v>0</v>
      </c>
      <c r="N9" s="30"/>
      <c r="O9" s="30">
        <v>0</v>
      </c>
      <c r="P9" s="30">
        <v>0</v>
      </c>
      <c r="Q9" s="30"/>
      <c r="R9" s="30">
        <v>0</v>
      </c>
      <c r="S9" s="30">
        <v>0</v>
      </c>
      <c r="T9" s="30"/>
      <c r="U9" s="30">
        <v>0</v>
      </c>
      <c r="V9" s="31">
        <v>0</v>
      </c>
    </row>
    <row r="10" spans="1:22">
      <c r="A10" s="1" t="s">
        <v>16</v>
      </c>
      <c r="B10" s="29">
        <v>0</v>
      </c>
      <c r="C10" s="30">
        <v>0</v>
      </c>
      <c r="D10" s="30">
        <v>6507.892509727687</v>
      </c>
      <c r="E10" s="30">
        <v>0</v>
      </c>
      <c r="F10" s="30">
        <v>0</v>
      </c>
      <c r="G10" s="31">
        <f>SUM(CA_FINANCIAL)</f>
        <v>6507.892509727687</v>
      </c>
      <c r="H10" s="30"/>
      <c r="I10" s="34" t="s">
        <v>17</v>
      </c>
      <c r="J10" s="35">
        <v>9951600</v>
      </c>
      <c r="K10" s="30"/>
      <c r="L10" s="29"/>
      <c r="M10" s="30"/>
      <c r="N10" s="30"/>
      <c r="O10" s="30"/>
      <c r="P10" s="30"/>
      <c r="Q10" s="30"/>
      <c r="R10" s="30"/>
      <c r="S10" s="30"/>
      <c r="T10" s="30"/>
      <c r="U10" s="30"/>
      <c r="V10" s="31"/>
    </row>
    <row r="11" spans="1:22">
      <c r="A11" s="1" t="s">
        <v>18</v>
      </c>
      <c r="B11" s="29">
        <v>0</v>
      </c>
      <c r="C11" s="30">
        <v>0</v>
      </c>
      <c r="D11" s="30">
        <v>3171365.7189612566</v>
      </c>
      <c r="E11" s="30">
        <v>0</v>
      </c>
      <c r="F11" s="30">
        <v>0</v>
      </c>
      <c r="G11" s="31">
        <f>SUM(CO_FINANCIAL)</f>
        <v>3171365.7189612566</v>
      </c>
      <c r="H11" s="30"/>
      <c r="I11" s="34"/>
      <c r="J11" s="35"/>
      <c r="K11" s="30"/>
      <c r="L11" s="29">
        <v>0</v>
      </c>
      <c r="M11" s="30">
        <v>0</v>
      </c>
      <c r="N11" s="30"/>
      <c r="O11" s="30">
        <v>0</v>
      </c>
      <c r="P11" s="30">
        <v>0</v>
      </c>
      <c r="Q11" s="30"/>
      <c r="R11" s="30">
        <v>3558082</v>
      </c>
      <c r="S11" s="30">
        <v>0</v>
      </c>
      <c r="T11" s="30"/>
      <c r="U11" s="30">
        <v>0</v>
      </c>
      <c r="V11" s="31">
        <v>0</v>
      </c>
    </row>
    <row r="12" spans="1:22">
      <c r="A12" s="1" t="s">
        <v>19</v>
      </c>
      <c r="B12" s="29">
        <v>0</v>
      </c>
      <c r="C12" s="30">
        <v>0</v>
      </c>
      <c r="D12" s="30">
        <v>0</v>
      </c>
      <c r="E12" s="30">
        <v>0</v>
      </c>
      <c r="F12" s="30">
        <v>0</v>
      </c>
      <c r="G12" s="31">
        <f>SUM(CT_FINANCIAL)</f>
        <v>0</v>
      </c>
      <c r="H12" s="30"/>
      <c r="I12" s="34" t="s">
        <v>20</v>
      </c>
      <c r="J12" s="35"/>
      <c r="K12" s="30"/>
      <c r="L12" s="29"/>
      <c r="M12" s="30"/>
      <c r="N12" s="30"/>
      <c r="O12" s="30"/>
      <c r="P12" s="30"/>
      <c r="Q12" s="30"/>
      <c r="R12" s="30"/>
      <c r="S12" s="30"/>
      <c r="T12" s="30"/>
      <c r="U12" s="30"/>
      <c r="V12" s="31"/>
    </row>
    <row r="13" spans="1:22">
      <c r="A13" s="1" t="s">
        <v>21</v>
      </c>
      <c r="B13" s="29">
        <v>0</v>
      </c>
      <c r="C13" s="30">
        <v>0</v>
      </c>
      <c r="D13" s="30">
        <v>3506.4905648751273</v>
      </c>
      <c r="E13" s="30">
        <v>0</v>
      </c>
      <c r="F13" s="30">
        <v>0</v>
      </c>
      <c r="G13" s="31">
        <f>SUM(DE_FINANCIAL)</f>
        <v>3506.4905648751273</v>
      </c>
      <c r="H13" s="30"/>
      <c r="I13" s="34" t="s">
        <v>22</v>
      </c>
      <c r="J13" s="35">
        <v>9951600</v>
      </c>
      <c r="K13" s="30"/>
      <c r="L13" s="29"/>
      <c r="M13" s="30"/>
      <c r="N13" s="30"/>
      <c r="O13" s="30"/>
      <c r="P13" s="30"/>
      <c r="Q13" s="30"/>
      <c r="R13" s="30"/>
      <c r="S13" s="30"/>
      <c r="T13" s="30"/>
      <c r="U13" s="30"/>
      <c r="V13" s="31"/>
    </row>
    <row r="14" spans="1:22">
      <c r="A14" s="1" t="s">
        <v>23</v>
      </c>
      <c r="B14" s="29">
        <v>0</v>
      </c>
      <c r="C14" s="30">
        <v>0</v>
      </c>
      <c r="D14" s="30">
        <v>0</v>
      </c>
      <c r="E14" s="30">
        <v>0</v>
      </c>
      <c r="F14" s="30">
        <v>0</v>
      </c>
      <c r="G14" s="31">
        <f>SUM(DC_FINANCIAL)</f>
        <v>0</v>
      </c>
      <c r="H14" s="30"/>
      <c r="I14" s="34" t="s">
        <v>24</v>
      </c>
      <c r="J14" s="35">
        <v>2805062</v>
      </c>
      <c r="K14" s="30"/>
      <c r="L14" s="29"/>
      <c r="M14" s="30"/>
      <c r="N14" s="30"/>
      <c r="O14" s="30"/>
      <c r="P14" s="30"/>
      <c r="Q14" s="30"/>
      <c r="R14" s="30"/>
      <c r="S14" s="30"/>
      <c r="T14" s="30"/>
      <c r="U14" s="30"/>
      <c r="V14" s="31"/>
    </row>
    <row r="15" spans="1:22">
      <c r="A15" s="1" t="s">
        <v>25</v>
      </c>
      <c r="B15" s="29">
        <v>0</v>
      </c>
      <c r="C15" s="30">
        <v>0</v>
      </c>
      <c r="D15" s="30">
        <v>24553.230804016781</v>
      </c>
      <c r="E15" s="30">
        <v>0</v>
      </c>
      <c r="F15" s="30">
        <v>0</v>
      </c>
      <c r="G15" s="31">
        <f>SUM(FL_FINANCIAL)</f>
        <v>24553.230804016781</v>
      </c>
      <c r="H15" s="30"/>
      <c r="I15" s="34" t="s">
        <v>26</v>
      </c>
      <c r="J15" s="35">
        <v>1672114.3289886401</v>
      </c>
      <c r="K15" s="30"/>
      <c r="L15" s="29"/>
      <c r="M15" s="30"/>
      <c r="N15" s="30"/>
      <c r="O15" s="30"/>
      <c r="P15" s="30"/>
      <c r="Q15" s="30"/>
      <c r="R15" s="30"/>
      <c r="S15" s="30"/>
      <c r="T15" s="30"/>
      <c r="U15" s="30"/>
      <c r="V15" s="31"/>
    </row>
    <row r="16" spans="1:22">
      <c r="A16" s="1" t="s">
        <v>27</v>
      </c>
      <c r="B16" s="29">
        <v>0</v>
      </c>
      <c r="C16" s="30">
        <v>0</v>
      </c>
      <c r="D16" s="30">
        <v>2118119.0403985954</v>
      </c>
      <c r="E16" s="30">
        <v>0</v>
      </c>
      <c r="F16" s="30">
        <v>0</v>
      </c>
      <c r="G16" s="31">
        <f>SUM(GA_FINANCIAL)</f>
        <v>2118119.0403985954</v>
      </c>
      <c r="H16" s="30"/>
      <c r="I16" s="34" t="s">
        <v>28</v>
      </c>
      <c r="J16" s="35">
        <v>0</v>
      </c>
      <c r="K16" s="30"/>
      <c r="L16" s="29">
        <v>0</v>
      </c>
      <c r="M16" s="30">
        <v>0</v>
      </c>
      <c r="N16" s="30"/>
      <c r="O16" s="30">
        <v>0</v>
      </c>
      <c r="P16" s="30">
        <v>0</v>
      </c>
      <c r="Q16" s="30"/>
      <c r="R16" s="30">
        <v>2190579</v>
      </c>
      <c r="S16" s="30">
        <v>0</v>
      </c>
      <c r="T16" s="30"/>
      <c r="U16" s="30">
        <v>0</v>
      </c>
      <c r="V16" s="31">
        <v>0</v>
      </c>
    </row>
    <row r="17" spans="1:22">
      <c r="A17" s="1" t="s">
        <v>29</v>
      </c>
      <c r="B17" s="29">
        <v>0</v>
      </c>
      <c r="C17" s="30">
        <v>0</v>
      </c>
      <c r="D17" s="30">
        <v>5393.9222003028353</v>
      </c>
      <c r="E17" s="30">
        <v>0</v>
      </c>
      <c r="F17" s="30">
        <v>0</v>
      </c>
      <c r="G17" s="31">
        <f>SUM(HI_FINANCIAL)</f>
        <v>5393.9222003028353</v>
      </c>
      <c r="H17" s="30"/>
      <c r="I17" s="34"/>
      <c r="J17" s="35"/>
      <c r="K17" s="30"/>
      <c r="L17" s="29"/>
      <c r="M17" s="30"/>
      <c r="N17" s="30"/>
      <c r="O17" s="30"/>
      <c r="P17" s="30"/>
      <c r="Q17" s="30"/>
      <c r="R17" s="30"/>
      <c r="S17" s="30"/>
      <c r="T17" s="30"/>
      <c r="U17" s="30"/>
      <c r="V17" s="31"/>
    </row>
    <row r="18" spans="1:22">
      <c r="A18" s="1" t="s">
        <v>30</v>
      </c>
      <c r="B18" s="29">
        <v>0</v>
      </c>
      <c r="C18" s="30">
        <v>0</v>
      </c>
      <c r="D18" s="30">
        <v>1471.9740016126607</v>
      </c>
      <c r="E18" s="30">
        <v>0</v>
      </c>
      <c r="F18" s="30">
        <v>0</v>
      </c>
      <c r="G18" s="31">
        <f>SUM(ID_FINANCIAL)</f>
        <v>1471.9740016126607</v>
      </c>
      <c r="H18" s="30"/>
      <c r="I18" s="34" t="s">
        <v>31</v>
      </c>
      <c r="J18" s="35"/>
      <c r="K18" s="30"/>
      <c r="L18" s="29">
        <v>0</v>
      </c>
      <c r="M18" s="30">
        <v>0</v>
      </c>
      <c r="N18" s="30"/>
      <c r="O18" s="30">
        <v>0</v>
      </c>
      <c r="P18" s="30">
        <v>0</v>
      </c>
      <c r="Q18" s="30"/>
      <c r="R18" s="30">
        <v>14100</v>
      </c>
      <c r="S18" s="30">
        <v>0</v>
      </c>
      <c r="T18" s="30"/>
      <c r="U18" s="30">
        <v>0</v>
      </c>
      <c r="V18" s="31">
        <v>0</v>
      </c>
    </row>
    <row r="19" spans="1:22">
      <c r="A19" s="1" t="s">
        <v>32</v>
      </c>
      <c r="B19" s="29">
        <v>0</v>
      </c>
      <c r="C19" s="30">
        <v>0</v>
      </c>
      <c r="D19" s="30">
        <v>86211.856569046504</v>
      </c>
      <c r="E19" s="30">
        <v>0</v>
      </c>
      <c r="F19" s="30">
        <v>0</v>
      </c>
      <c r="G19" s="31">
        <f>SUM(IL_FINANCIAL)</f>
        <v>86211.856569046504</v>
      </c>
      <c r="H19" s="30"/>
      <c r="I19" s="34" t="s">
        <v>33</v>
      </c>
      <c r="J19" s="35">
        <v>0</v>
      </c>
      <c r="K19" s="30"/>
      <c r="L19" s="29">
        <v>0</v>
      </c>
      <c r="M19" s="30">
        <v>0</v>
      </c>
      <c r="N19" s="30"/>
      <c r="O19" s="30">
        <v>0</v>
      </c>
      <c r="P19" s="30">
        <v>0</v>
      </c>
      <c r="Q19" s="30"/>
      <c r="R19" s="30">
        <v>130000</v>
      </c>
      <c r="S19" s="30">
        <v>0</v>
      </c>
      <c r="T19" s="30"/>
      <c r="U19" s="30">
        <v>0</v>
      </c>
      <c r="V19" s="31">
        <v>0</v>
      </c>
    </row>
    <row r="20" spans="1:22">
      <c r="A20" s="1" t="s">
        <v>34</v>
      </c>
      <c r="B20" s="29">
        <v>0</v>
      </c>
      <c r="C20" s="30">
        <v>0</v>
      </c>
      <c r="D20" s="30">
        <v>5408.1747132451528</v>
      </c>
      <c r="E20" s="30">
        <v>0</v>
      </c>
      <c r="F20" s="30">
        <v>0</v>
      </c>
      <c r="G20" s="31">
        <f>SUM(IN_FINANCIAL)</f>
        <v>5408.1747132451528</v>
      </c>
      <c r="H20" s="30"/>
      <c r="I20" s="34" t="s">
        <v>35</v>
      </c>
      <c r="J20" s="35">
        <v>9951600</v>
      </c>
      <c r="K20" s="30"/>
      <c r="L20" s="29"/>
      <c r="M20" s="30"/>
      <c r="N20" s="30"/>
      <c r="O20" s="30"/>
      <c r="P20" s="30"/>
      <c r="Q20" s="30"/>
      <c r="R20" s="30"/>
      <c r="S20" s="30"/>
      <c r="T20" s="30"/>
      <c r="U20" s="30"/>
      <c r="V20" s="31"/>
    </row>
    <row r="21" spans="1:22">
      <c r="A21" s="1" t="s">
        <v>36</v>
      </c>
      <c r="B21" s="29">
        <v>0</v>
      </c>
      <c r="C21" s="30">
        <v>0</v>
      </c>
      <c r="D21" s="30">
        <v>0</v>
      </c>
      <c r="E21" s="30">
        <v>0</v>
      </c>
      <c r="F21" s="30">
        <v>0</v>
      </c>
      <c r="G21" s="31">
        <f>SUM(IA_FINANCIAL)</f>
        <v>0</v>
      </c>
      <c r="H21" s="30"/>
      <c r="I21" s="34" t="s">
        <v>37</v>
      </c>
      <c r="J21" s="35"/>
      <c r="K21" s="30"/>
      <c r="L21" s="29"/>
      <c r="M21" s="30"/>
      <c r="N21" s="30"/>
      <c r="O21" s="30"/>
      <c r="P21" s="30"/>
      <c r="Q21" s="30"/>
      <c r="R21" s="30"/>
      <c r="S21" s="30"/>
      <c r="T21" s="30"/>
      <c r="U21" s="30"/>
      <c r="V21" s="31"/>
    </row>
    <row r="22" spans="1:22">
      <c r="A22" s="1" t="s">
        <v>38</v>
      </c>
      <c r="B22" s="29">
        <v>0</v>
      </c>
      <c r="C22" s="30">
        <v>0</v>
      </c>
      <c r="D22" s="30">
        <v>4837.3284060574624</v>
      </c>
      <c r="E22" s="30">
        <v>0</v>
      </c>
      <c r="F22" s="30">
        <v>0</v>
      </c>
      <c r="G22" s="31">
        <f>SUM(KS_FINANCIAL)</f>
        <v>4837.3284060574624</v>
      </c>
      <c r="H22" s="30"/>
      <c r="I22" s="34" t="s">
        <v>39</v>
      </c>
      <c r="J22" s="35">
        <v>0</v>
      </c>
      <c r="K22" s="30"/>
      <c r="L22" s="29"/>
      <c r="M22" s="30"/>
      <c r="N22" s="30"/>
      <c r="O22" s="30"/>
      <c r="P22" s="30"/>
      <c r="Q22" s="30"/>
      <c r="R22" s="30"/>
      <c r="S22" s="30"/>
      <c r="T22" s="30"/>
      <c r="U22" s="30"/>
      <c r="V22" s="31"/>
    </row>
    <row r="23" spans="1:22">
      <c r="A23" s="1" t="s">
        <v>40</v>
      </c>
      <c r="B23" s="29">
        <v>0</v>
      </c>
      <c r="C23" s="30">
        <v>0</v>
      </c>
      <c r="D23" s="30">
        <v>-162.13439381446796</v>
      </c>
      <c r="E23" s="30">
        <v>0</v>
      </c>
      <c r="F23" s="30">
        <v>0</v>
      </c>
      <c r="G23" s="31">
        <f>SUM(KY_FINANCIAL)</f>
        <v>-162.13439381446796</v>
      </c>
      <c r="H23" s="30"/>
      <c r="I23" s="34" t="s">
        <v>41</v>
      </c>
      <c r="J23" s="35"/>
      <c r="K23" s="30"/>
      <c r="L23" s="29"/>
      <c r="M23" s="30"/>
      <c r="N23" s="30"/>
      <c r="O23" s="30"/>
      <c r="P23" s="30"/>
      <c r="Q23" s="30"/>
      <c r="R23" s="30"/>
      <c r="S23" s="30"/>
      <c r="T23" s="30"/>
      <c r="U23" s="30"/>
      <c r="V23" s="31"/>
    </row>
    <row r="24" spans="1:22">
      <c r="A24" s="1" t="s">
        <v>42</v>
      </c>
      <c r="B24" s="29">
        <v>0</v>
      </c>
      <c r="C24" s="30">
        <v>0</v>
      </c>
      <c r="D24" s="30">
        <v>21245.020470945667</v>
      </c>
      <c r="E24" s="30">
        <v>0</v>
      </c>
      <c r="F24" s="30">
        <v>0</v>
      </c>
      <c r="G24" s="31">
        <f>SUM(LA_FINANCIAL)</f>
        <v>21245.020470945667</v>
      </c>
      <c r="H24" s="30"/>
      <c r="I24" s="34" t="s">
        <v>43</v>
      </c>
      <c r="J24" s="35">
        <v>2930959.05</v>
      </c>
      <c r="K24" s="30"/>
      <c r="L24" s="29"/>
      <c r="M24" s="30"/>
      <c r="N24" s="30"/>
      <c r="O24" s="30"/>
      <c r="P24" s="30"/>
      <c r="Q24" s="30"/>
      <c r="R24" s="30"/>
      <c r="S24" s="30"/>
      <c r="T24" s="30"/>
      <c r="U24" s="30"/>
      <c r="V24" s="31"/>
    </row>
    <row r="25" spans="1:22">
      <c r="A25" s="1" t="s">
        <v>44</v>
      </c>
      <c r="B25" s="29">
        <v>0</v>
      </c>
      <c r="C25" s="30">
        <v>0</v>
      </c>
      <c r="D25" s="30">
        <v>0</v>
      </c>
      <c r="E25" s="30">
        <v>0</v>
      </c>
      <c r="F25" s="30">
        <v>0</v>
      </c>
      <c r="G25" s="31">
        <f>SUM(ME_FINANCIAL)</f>
        <v>0</v>
      </c>
      <c r="H25" s="30"/>
      <c r="I25" s="34"/>
      <c r="J25" s="35"/>
      <c r="K25" s="30"/>
      <c r="L25" s="29"/>
      <c r="M25" s="30"/>
      <c r="N25" s="30"/>
      <c r="O25" s="30"/>
      <c r="P25" s="30"/>
      <c r="Q25" s="30"/>
      <c r="R25" s="30"/>
      <c r="S25" s="30"/>
      <c r="T25" s="30"/>
      <c r="U25" s="30"/>
      <c r="V25" s="31"/>
    </row>
    <row r="26" spans="1:22">
      <c r="A26" s="1" t="s">
        <v>45</v>
      </c>
      <c r="B26" s="29">
        <v>0</v>
      </c>
      <c r="C26" s="30">
        <v>0</v>
      </c>
      <c r="D26" s="30">
        <v>0</v>
      </c>
      <c r="E26" s="30">
        <v>0</v>
      </c>
      <c r="F26" s="30">
        <v>0</v>
      </c>
      <c r="G26" s="31">
        <f>SUM(MD_FINANCIAL)</f>
        <v>0</v>
      </c>
      <c r="H26" s="30"/>
      <c r="I26" s="34" t="s">
        <v>46</v>
      </c>
      <c r="J26" s="35">
        <f>SUM(ADD_FINANCIAL)-SUM(LESS_FINANCIAL)</f>
        <v>11497817.278988641</v>
      </c>
      <c r="K26" s="30"/>
      <c r="L26" s="29"/>
      <c r="M26" s="30"/>
      <c r="N26" s="30"/>
      <c r="O26" s="30"/>
      <c r="P26" s="30"/>
      <c r="Q26" s="30"/>
      <c r="R26" s="30"/>
      <c r="S26" s="30"/>
      <c r="T26" s="30"/>
      <c r="U26" s="30"/>
      <c r="V26" s="31"/>
    </row>
    <row r="27" spans="1:22">
      <c r="A27" s="1" t="s">
        <v>47</v>
      </c>
      <c r="B27" s="29">
        <v>0</v>
      </c>
      <c r="C27" s="30">
        <v>0</v>
      </c>
      <c r="D27" s="30">
        <v>0</v>
      </c>
      <c r="E27" s="30">
        <v>0</v>
      </c>
      <c r="F27" s="30">
        <v>0</v>
      </c>
      <c r="G27" s="31">
        <f>SUM(MA_FINANCIAL)</f>
        <v>0</v>
      </c>
      <c r="H27" s="30"/>
      <c r="I27" s="34" t="s">
        <v>48</v>
      </c>
      <c r="J27" s="35">
        <f>SUM(ALL_BLOCKS)</f>
        <v>11497817.278988643</v>
      </c>
      <c r="K27" s="30"/>
      <c r="L27" s="29"/>
      <c r="M27" s="30"/>
      <c r="N27" s="30"/>
      <c r="O27" s="30"/>
      <c r="P27" s="30"/>
      <c r="Q27" s="30"/>
      <c r="R27" s="30"/>
      <c r="S27" s="30"/>
      <c r="T27" s="30"/>
      <c r="U27" s="30"/>
      <c r="V27" s="31"/>
    </row>
    <row r="28" spans="1:22">
      <c r="A28" s="1" t="s">
        <v>49</v>
      </c>
      <c r="B28" s="29">
        <v>0</v>
      </c>
      <c r="C28" s="30">
        <v>0</v>
      </c>
      <c r="D28" s="30">
        <v>0</v>
      </c>
      <c r="E28" s="30">
        <v>0</v>
      </c>
      <c r="F28" s="30">
        <v>0</v>
      </c>
      <c r="G28" s="31">
        <f>SUM(MI_FINANCIAL)</f>
        <v>0</v>
      </c>
      <c r="H28" s="30"/>
      <c r="I28" s="36"/>
      <c r="J28" s="37"/>
      <c r="K28" s="30"/>
      <c r="L28" s="29"/>
      <c r="M28" s="30"/>
      <c r="N28" s="30"/>
      <c r="O28" s="30"/>
      <c r="P28" s="30"/>
      <c r="Q28" s="30"/>
      <c r="R28" s="30"/>
      <c r="S28" s="30"/>
      <c r="T28" s="30"/>
      <c r="U28" s="30"/>
      <c r="V28" s="31"/>
    </row>
    <row r="29" spans="1:22">
      <c r="A29" s="1" t="s">
        <v>50</v>
      </c>
      <c r="B29" s="29">
        <v>0</v>
      </c>
      <c r="C29" s="30">
        <v>0</v>
      </c>
      <c r="D29" s="30">
        <v>0</v>
      </c>
      <c r="E29" s="30">
        <v>0</v>
      </c>
      <c r="F29" s="30">
        <v>0</v>
      </c>
      <c r="G29" s="31">
        <f>SUM(MN_FINANCIAL)</f>
        <v>0</v>
      </c>
      <c r="H29" s="30"/>
      <c r="I29" s="30"/>
      <c r="J29" s="30"/>
      <c r="K29" s="30"/>
      <c r="L29" s="29"/>
      <c r="M29" s="30"/>
      <c r="N29" s="30"/>
      <c r="O29" s="30"/>
      <c r="P29" s="30"/>
      <c r="Q29" s="30"/>
      <c r="R29" s="30"/>
      <c r="S29" s="30"/>
      <c r="T29" s="30"/>
      <c r="U29" s="30"/>
      <c r="V29" s="31"/>
    </row>
    <row r="30" spans="1:22">
      <c r="A30" s="1" t="s">
        <v>51</v>
      </c>
      <c r="B30" s="29">
        <v>0</v>
      </c>
      <c r="C30" s="30">
        <v>0</v>
      </c>
      <c r="D30" s="30">
        <v>490005.87277437531</v>
      </c>
      <c r="E30" s="30">
        <v>0</v>
      </c>
      <c r="F30" s="30">
        <v>0</v>
      </c>
      <c r="G30" s="31">
        <f>SUM(MS_FINANCIAL)</f>
        <v>490005.87277437531</v>
      </c>
      <c r="H30" s="30"/>
      <c r="I30" s="30"/>
      <c r="J30" s="30"/>
      <c r="K30" s="30"/>
      <c r="L30" s="29"/>
      <c r="M30" s="30"/>
      <c r="N30" s="30"/>
      <c r="O30" s="30"/>
      <c r="P30" s="30"/>
      <c r="Q30" s="30"/>
      <c r="R30" s="30"/>
      <c r="S30" s="30"/>
      <c r="T30" s="30"/>
      <c r="U30" s="30"/>
      <c r="V30" s="31"/>
    </row>
    <row r="31" spans="1:22">
      <c r="A31" s="1" t="s">
        <v>52</v>
      </c>
      <c r="B31" s="29">
        <v>0</v>
      </c>
      <c r="C31" s="30">
        <v>0</v>
      </c>
      <c r="D31" s="30">
        <v>48.87948108449109</v>
      </c>
      <c r="E31" s="30">
        <v>0</v>
      </c>
      <c r="F31" s="30">
        <v>0</v>
      </c>
      <c r="G31" s="31">
        <f>SUM(MO_FINANCIAL)</f>
        <v>48.87948108449109</v>
      </c>
      <c r="H31" s="30"/>
      <c r="I31" s="30"/>
      <c r="J31" s="30"/>
      <c r="K31" s="30"/>
      <c r="L31" s="29"/>
      <c r="M31" s="30"/>
      <c r="N31" s="30"/>
      <c r="O31" s="30"/>
      <c r="P31" s="30"/>
      <c r="Q31" s="30"/>
      <c r="R31" s="30"/>
      <c r="S31" s="30"/>
      <c r="T31" s="30"/>
      <c r="U31" s="30"/>
      <c r="V31" s="31"/>
    </row>
    <row r="32" spans="1:22">
      <c r="A32" s="1" t="s">
        <v>53</v>
      </c>
      <c r="B32" s="29">
        <v>0</v>
      </c>
      <c r="C32" s="30">
        <v>0</v>
      </c>
      <c r="D32" s="30">
        <v>2084.7693606751336</v>
      </c>
      <c r="E32" s="30">
        <v>0</v>
      </c>
      <c r="F32" s="30">
        <v>0</v>
      </c>
      <c r="G32" s="31">
        <f>SUM(MT_FINANCIAL)</f>
        <v>2084.7693606751336</v>
      </c>
      <c r="H32" s="30"/>
      <c r="I32" s="30"/>
      <c r="J32" s="30"/>
      <c r="K32" s="30"/>
      <c r="L32" s="29"/>
      <c r="M32" s="30"/>
      <c r="N32" s="30"/>
      <c r="O32" s="30"/>
      <c r="P32" s="30"/>
      <c r="Q32" s="30"/>
      <c r="R32" s="30"/>
      <c r="S32" s="30"/>
      <c r="T32" s="30"/>
      <c r="U32" s="30"/>
      <c r="V32" s="31"/>
    </row>
    <row r="33" spans="1:22">
      <c r="A33" s="1" t="s">
        <v>54</v>
      </c>
      <c r="B33" s="29">
        <v>0</v>
      </c>
      <c r="C33" s="30">
        <v>0</v>
      </c>
      <c r="D33" s="30">
        <v>318.22912297914218</v>
      </c>
      <c r="E33" s="30">
        <v>0</v>
      </c>
      <c r="F33" s="30">
        <v>0</v>
      </c>
      <c r="G33" s="31">
        <f>SUM(NE_FINANCIAL)</f>
        <v>318.22912297914218</v>
      </c>
      <c r="H33" s="30"/>
      <c r="I33" s="30"/>
      <c r="J33" s="30"/>
      <c r="K33" s="30"/>
      <c r="L33" s="29"/>
      <c r="M33" s="30"/>
      <c r="N33" s="30"/>
      <c r="O33" s="30"/>
      <c r="P33" s="30"/>
      <c r="Q33" s="30"/>
      <c r="R33" s="30"/>
      <c r="S33" s="30"/>
      <c r="T33" s="30"/>
      <c r="U33" s="30"/>
      <c r="V33" s="31"/>
    </row>
    <row r="34" spans="1:22">
      <c r="A34" s="1" t="s">
        <v>55</v>
      </c>
      <c r="B34" s="29">
        <v>0</v>
      </c>
      <c r="C34" s="30">
        <v>0</v>
      </c>
      <c r="D34" s="30">
        <v>-10981</v>
      </c>
      <c r="E34" s="30">
        <v>0</v>
      </c>
      <c r="F34" s="30">
        <v>0</v>
      </c>
      <c r="G34" s="31">
        <f>SUM(NV_FINANCIAL)</f>
        <v>-10981</v>
      </c>
      <c r="H34" s="30"/>
      <c r="I34" s="30"/>
      <c r="J34" s="30"/>
      <c r="K34" s="30"/>
      <c r="L34" s="29"/>
      <c r="M34" s="30"/>
      <c r="N34" s="30"/>
      <c r="O34" s="30"/>
      <c r="P34" s="30"/>
      <c r="Q34" s="30"/>
      <c r="R34" s="30"/>
      <c r="S34" s="30"/>
      <c r="T34" s="30"/>
      <c r="U34" s="30"/>
      <c r="V34" s="31"/>
    </row>
    <row r="35" spans="1:22">
      <c r="A35" s="1" t="s">
        <v>56</v>
      </c>
      <c r="B35" s="29">
        <v>0</v>
      </c>
      <c r="C35" s="30">
        <v>0</v>
      </c>
      <c r="D35" s="30">
        <v>0</v>
      </c>
      <c r="E35" s="30">
        <v>0</v>
      </c>
      <c r="F35" s="30">
        <v>0</v>
      </c>
      <c r="G35" s="31">
        <f>SUM(NH_FINANCIAL)</f>
        <v>0</v>
      </c>
      <c r="H35" s="30"/>
      <c r="I35" s="30"/>
      <c r="J35" s="30"/>
      <c r="K35" s="30"/>
      <c r="L35" s="29"/>
      <c r="M35" s="30"/>
      <c r="N35" s="30"/>
      <c r="O35" s="30"/>
      <c r="P35" s="30"/>
      <c r="Q35" s="30"/>
      <c r="R35" s="30"/>
      <c r="S35" s="30"/>
      <c r="T35" s="30"/>
      <c r="U35" s="30"/>
      <c r="V35" s="31"/>
    </row>
    <row r="36" spans="1:22">
      <c r="A36" s="1" t="s">
        <v>57</v>
      </c>
      <c r="B36" s="29">
        <v>0</v>
      </c>
      <c r="C36" s="30">
        <v>0</v>
      </c>
      <c r="D36" s="30">
        <v>0</v>
      </c>
      <c r="E36" s="30">
        <v>0</v>
      </c>
      <c r="F36" s="30">
        <v>0</v>
      </c>
      <c r="G36" s="31">
        <f>SUM(NJ_FINANCIAL)</f>
        <v>0</v>
      </c>
      <c r="H36" s="30"/>
      <c r="I36" s="30"/>
      <c r="J36" s="30"/>
      <c r="K36" s="30"/>
      <c r="L36" s="29"/>
      <c r="M36" s="30"/>
      <c r="N36" s="30"/>
      <c r="O36" s="30"/>
      <c r="P36" s="30"/>
      <c r="Q36" s="30"/>
      <c r="R36" s="30"/>
      <c r="S36" s="30"/>
      <c r="T36" s="30"/>
      <c r="U36" s="30"/>
      <c r="V36" s="31"/>
    </row>
    <row r="37" spans="1:22">
      <c r="A37" s="1" t="s">
        <v>58</v>
      </c>
      <c r="B37" s="29">
        <v>0</v>
      </c>
      <c r="C37" s="30">
        <v>0</v>
      </c>
      <c r="D37" s="30">
        <v>12165.184083543298</v>
      </c>
      <c r="E37" s="30">
        <v>0</v>
      </c>
      <c r="F37" s="30">
        <v>0</v>
      </c>
      <c r="G37" s="31">
        <f>SUM(NM_FINANCIAL)</f>
        <v>12165.184083543298</v>
      </c>
      <c r="H37" s="30"/>
      <c r="I37" s="30"/>
      <c r="J37" s="30"/>
      <c r="K37" s="30"/>
      <c r="L37" s="29"/>
      <c r="M37" s="30"/>
      <c r="N37" s="30"/>
      <c r="O37" s="30"/>
      <c r="P37" s="30"/>
      <c r="Q37" s="30"/>
      <c r="R37" s="30"/>
      <c r="S37" s="30"/>
      <c r="T37" s="30"/>
      <c r="U37" s="30"/>
      <c r="V37" s="31"/>
    </row>
    <row r="38" spans="1:22">
      <c r="A38" s="1" t="s">
        <v>59</v>
      </c>
      <c r="B38" s="29">
        <v>0</v>
      </c>
      <c r="C38" s="30">
        <v>0</v>
      </c>
      <c r="D38" s="30">
        <v>0</v>
      </c>
      <c r="E38" s="30">
        <v>0</v>
      </c>
      <c r="F38" s="30">
        <v>0</v>
      </c>
      <c r="G38" s="31">
        <f>SUM(NY_FINANCIAL)</f>
        <v>0</v>
      </c>
      <c r="H38" s="30"/>
      <c r="I38" s="30"/>
      <c r="J38" s="30"/>
      <c r="K38" s="30"/>
      <c r="L38" s="29"/>
      <c r="M38" s="30"/>
      <c r="N38" s="30"/>
      <c r="O38" s="30"/>
      <c r="P38" s="30"/>
      <c r="Q38" s="30"/>
      <c r="R38" s="30"/>
      <c r="S38" s="30"/>
      <c r="T38" s="30"/>
      <c r="U38" s="30"/>
      <c r="V38" s="31"/>
    </row>
    <row r="39" spans="1:22">
      <c r="A39" s="1" t="s">
        <v>60</v>
      </c>
      <c r="B39" s="29">
        <v>0</v>
      </c>
      <c r="C39" s="30">
        <v>0</v>
      </c>
      <c r="D39" s="30">
        <v>-1476.0379582283495</v>
      </c>
      <c r="E39" s="30">
        <v>0</v>
      </c>
      <c r="F39" s="30">
        <v>0</v>
      </c>
      <c r="G39" s="31">
        <f>SUM(NC_FINANCIAL)</f>
        <v>-1476.0379582283495</v>
      </c>
      <c r="H39" s="30"/>
      <c r="I39" s="30"/>
      <c r="J39" s="30"/>
      <c r="K39" s="30"/>
      <c r="L39" s="29"/>
      <c r="M39" s="30"/>
      <c r="N39" s="30"/>
      <c r="O39" s="30"/>
      <c r="P39" s="30"/>
      <c r="Q39" s="30"/>
      <c r="R39" s="30"/>
      <c r="S39" s="30"/>
      <c r="T39" s="30"/>
      <c r="U39" s="30"/>
      <c r="V39" s="31"/>
    </row>
    <row r="40" spans="1:22">
      <c r="A40" s="1" t="s">
        <v>61</v>
      </c>
      <c r="B40" s="29">
        <v>0</v>
      </c>
      <c r="C40" s="30">
        <v>0</v>
      </c>
      <c r="D40" s="30">
        <v>198.12527444164743</v>
      </c>
      <c r="E40" s="30">
        <v>0</v>
      </c>
      <c r="F40" s="30">
        <v>0</v>
      </c>
      <c r="G40" s="31">
        <f>SUM(ND_FINANCIAL)</f>
        <v>198.12527444164743</v>
      </c>
      <c r="H40" s="30"/>
      <c r="I40" s="30"/>
      <c r="J40" s="30"/>
      <c r="K40" s="30"/>
      <c r="L40" s="29"/>
      <c r="M40" s="30"/>
      <c r="N40" s="30"/>
      <c r="O40" s="30"/>
      <c r="P40" s="30"/>
      <c r="Q40" s="30"/>
      <c r="R40" s="30"/>
      <c r="S40" s="30"/>
      <c r="T40" s="30"/>
      <c r="U40" s="30"/>
      <c r="V40" s="31"/>
    </row>
    <row r="41" spans="1:22">
      <c r="A41" s="1" t="s">
        <v>62</v>
      </c>
      <c r="B41" s="29">
        <v>0</v>
      </c>
      <c r="C41" s="30">
        <v>0</v>
      </c>
      <c r="D41" s="30">
        <v>0</v>
      </c>
      <c r="E41" s="30">
        <v>0</v>
      </c>
      <c r="F41" s="30">
        <v>0</v>
      </c>
      <c r="G41" s="31">
        <f>SUM(OH_FINANCIAL)</f>
        <v>0</v>
      </c>
      <c r="H41" s="30"/>
      <c r="I41" s="30"/>
      <c r="J41" s="30"/>
      <c r="K41" s="30"/>
      <c r="L41" s="29"/>
      <c r="M41" s="30"/>
      <c r="N41" s="30"/>
      <c r="O41" s="30"/>
      <c r="P41" s="30"/>
      <c r="Q41" s="30"/>
      <c r="R41" s="30"/>
      <c r="S41" s="30"/>
      <c r="T41" s="30"/>
      <c r="U41" s="30"/>
      <c r="V41" s="31"/>
    </row>
    <row r="42" spans="1:22">
      <c r="A42" s="1" t="s">
        <v>63</v>
      </c>
      <c r="B42" s="29">
        <v>0</v>
      </c>
      <c r="C42" s="30">
        <v>0</v>
      </c>
      <c r="D42" s="30">
        <v>218295.4006204668</v>
      </c>
      <c r="E42" s="30">
        <v>0</v>
      </c>
      <c r="F42" s="30">
        <v>0</v>
      </c>
      <c r="G42" s="31">
        <f>SUM(OK_FINANCIAL)</f>
        <v>218295.4006204668</v>
      </c>
      <c r="H42" s="30"/>
      <c r="I42" s="30"/>
      <c r="J42" s="30"/>
      <c r="K42" s="30"/>
      <c r="L42" s="29">
        <v>0</v>
      </c>
      <c r="M42" s="30">
        <v>0</v>
      </c>
      <c r="N42" s="30"/>
      <c r="O42" s="30">
        <v>0</v>
      </c>
      <c r="P42" s="30">
        <v>0</v>
      </c>
      <c r="Q42" s="30"/>
      <c r="R42" s="30">
        <v>400000</v>
      </c>
      <c r="S42" s="30">
        <v>0</v>
      </c>
      <c r="T42" s="30"/>
      <c r="U42" s="30">
        <v>0</v>
      </c>
      <c r="V42" s="31">
        <v>0</v>
      </c>
    </row>
    <row r="43" spans="1:22">
      <c r="A43" s="1" t="s">
        <v>64</v>
      </c>
      <c r="B43" s="29">
        <v>0</v>
      </c>
      <c r="C43" s="30">
        <v>0</v>
      </c>
      <c r="D43" s="30">
        <v>138.94794211910039</v>
      </c>
      <c r="E43" s="30">
        <v>0</v>
      </c>
      <c r="F43" s="30">
        <v>0</v>
      </c>
      <c r="G43" s="31">
        <f>SUM(OR_FINANCIAL)</f>
        <v>138.94794211910039</v>
      </c>
      <c r="H43" s="30"/>
      <c r="I43" s="30"/>
      <c r="J43" s="30"/>
      <c r="K43" s="30"/>
      <c r="L43" s="29"/>
      <c r="M43" s="30"/>
      <c r="N43" s="30"/>
      <c r="O43" s="30"/>
      <c r="P43" s="30"/>
      <c r="Q43" s="30"/>
      <c r="R43" s="30"/>
      <c r="S43" s="30"/>
      <c r="T43" s="30"/>
      <c r="U43" s="30"/>
      <c r="V43" s="31"/>
    </row>
    <row r="44" spans="1:22">
      <c r="A44" s="1" t="s">
        <v>65</v>
      </c>
      <c r="B44" s="29">
        <v>0</v>
      </c>
      <c r="C44" s="30">
        <v>0</v>
      </c>
      <c r="D44" s="30">
        <v>0</v>
      </c>
      <c r="E44" s="30">
        <v>0</v>
      </c>
      <c r="F44" s="30">
        <v>0</v>
      </c>
      <c r="G44" s="31">
        <f>SUM(PA_FINANCIAL)</f>
        <v>0</v>
      </c>
      <c r="H44" s="30"/>
      <c r="I44" s="30"/>
      <c r="J44" s="30"/>
      <c r="K44" s="30"/>
      <c r="L44" s="29"/>
      <c r="M44" s="30"/>
      <c r="N44" s="30"/>
      <c r="O44" s="30"/>
      <c r="P44" s="30"/>
      <c r="Q44" s="30"/>
      <c r="R44" s="30"/>
      <c r="S44" s="30"/>
      <c r="T44" s="30"/>
      <c r="U44" s="30"/>
      <c r="V44" s="31"/>
    </row>
    <row r="45" spans="1:22">
      <c r="A45" s="1" t="s">
        <v>66</v>
      </c>
      <c r="B45" s="29">
        <v>0</v>
      </c>
      <c r="C45" s="30">
        <v>0</v>
      </c>
      <c r="D45" s="30">
        <v>0</v>
      </c>
      <c r="E45" s="30">
        <v>0</v>
      </c>
      <c r="F45" s="30">
        <v>0</v>
      </c>
      <c r="G45" s="31">
        <f>SUM(PR_FINANCIAL)</f>
        <v>0</v>
      </c>
      <c r="H45" s="30"/>
      <c r="I45" s="30"/>
      <c r="J45" s="30"/>
      <c r="K45" s="30"/>
      <c r="L45" s="29"/>
      <c r="M45" s="30"/>
      <c r="N45" s="30"/>
      <c r="O45" s="30"/>
      <c r="P45" s="30"/>
      <c r="Q45" s="30"/>
      <c r="R45" s="30"/>
      <c r="S45" s="30"/>
      <c r="T45" s="30"/>
      <c r="U45" s="30"/>
      <c r="V45" s="31"/>
    </row>
    <row r="46" spans="1:22">
      <c r="A46" s="1" t="s">
        <v>67</v>
      </c>
      <c r="B46" s="29">
        <v>0</v>
      </c>
      <c r="C46" s="30">
        <v>0</v>
      </c>
      <c r="D46" s="30">
        <v>0</v>
      </c>
      <c r="E46" s="30">
        <v>0</v>
      </c>
      <c r="F46" s="30">
        <v>0</v>
      </c>
      <c r="G46" s="31">
        <f>SUM(RI_FINANCIAL)</f>
        <v>0</v>
      </c>
      <c r="H46" s="30"/>
      <c r="I46" s="30"/>
      <c r="J46" s="30"/>
      <c r="K46" s="30"/>
      <c r="L46" s="29"/>
      <c r="M46" s="30"/>
      <c r="N46" s="30"/>
      <c r="O46" s="30"/>
      <c r="P46" s="30"/>
      <c r="Q46" s="30"/>
      <c r="R46" s="30"/>
      <c r="S46" s="30"/>
      <c r="T46" s="30"/>
      <c r="U46" s="30"/>
      <c r="V46" s="31"/>
    </row>
    <row r="47" spans="1:22">
      <c r="A47" s="1" t="s">
        <v>68</v>
      </c>
      <c r="B47" s="29">
        <v>0</v>
      </c>
      <c r="C47" s="30">
        <v>0</v>
      </c>
      <c r="D47" s="30">
        <v>1483196.8793163202</v>
      </c>
      <c r="E47" s="30">
        <v>0</v>
      </c>
      <c r="F47" s="30">
        <v>0</v>
      </c>
      <c r="G47" s="31">
        <f>SUM(SC_FINANCIAL)</f>
        <v>1483196.8793163202</v>
      </c>
      <c r="H47" s="30"/>
      <c r="I47" s="30"/>
      <c r="J47" s="30"/>
      <c r="K47" s="30"/>
      <c r="L47" s="29">
        <v>0</v>
      </c>
      <c r="M47" s="30">
        <v>0</v>
      </c>
      <c r="N47" s="30"/>
      <c r="O47" s="30">
        <v>0</v>
      </c>
      <c r="P47" s="30">
        <v>0</v>
      </c>
      <c r="Q47" s="30"/>
      <c r="R47" s="30">
        <v>1500000</v>
      </c>
      <c r="S47" s="30">
        <v>0</v>
      </c>
      <c r="T47" s="30"/>
      <c r="U47" s="30">
        <v>0</v>
      </c>
      <c r="V47" s="31">
        <v>0</v>
      </c>
    </row>
    <row r="48" spans="1:22">
      <c r="A48" s="1" t="s">
        <v>69</v>
      </c>
      <c r="B48" s="29">
        <v>0</v>
      </c>
      <c r="C48" s="30">
        <v>0</v>
      </c>
      <c r="D48" s="30">
        <v>0</v>
      </c>
      <c r="E48" s="30">
        <v>0</v>
      </c>
      <c r="F48" s="30">
        <v>0</v>
      </c>
      <c r="G48" s="31">
        <f>SUM(SD_FINANCIAL)</f>
        <v>0</v>
      </c>
      <c r="H48" s="30"/>
      <c r="I48" s="30"/>
      <c r="J48" s="30"/>
      <c r="K48" s="30"/>
      <c r="L48" s="29"/>
      <c r="M48" s="30"/>
      <c r="N48" s="30"/>
      <c r="O48" s="30"/>
      <c r="P48" s="30"/>
      <c r="Q48" s="30"/>
      <c r="R48" s="30"/>
      <c r="S48" s="30"/>
      <c r="T48" s="30"/>
      <c r="U48" s="30"/>
      <c r="V48" s="31"/>
    </row>
    <row r="49" spans="1:22">
      <c r="A49" s="1" t="s">
        <v>70</v>
      </c>
      <c r="B49" s="29">
        <v>0</v>
      </c>
      <c r="C49" s="30">
        <v>0</v>
      </c>
      <c r="D49" s="30">
        <v>0</v>
      </c>
      <c r="E49" s="30">
        <v>0</v>
      </c>
      <c r="F49" s="30">
        <v>0</v>
      </c>
      <c r="G49" s="31">
        <f>SUM(TN_FINANCIAL)</f>
        <v>0</v>
      </c>
      <c r="H49" s="30"/>
      <c r="I49" s="30"/>
      <c r="J49" s="30"/>
      <c r="K49" s="30"/>
      <c r="L49" s="29"/>
      <c r="M49" s="30"/>
      <c r="N49" s="30"/>
      <c r="O49" s="30"/>
      <c r="P49" s="30"/>
      <c r="Q49" s="30"/>
      <c r="R49" s="30"/>
      <c r="S49" s="30"/>
      <c r="T49" s="30"/>
      <c r="U49" s="30"/>
      <c r="V49" s="31"/>
    </row>
    <row r="50" spans="1:22">
      <c r="A50" s="1" t="s">
        <v>71</v>
      </c>
      <c r="B50" s="29">
        <v>0</v>
      </c>
      <c r="C50" s="30">
        <v>0</v>
      </c>
      <c r="D50" s="30">
        <v>3137405.8279367057</v>
      </c>
      <c r="E50" s="30">
        <v>0</v>
      </c>
      <c r="F50" s="30">
        <v>0</v>
      </c>
      <c r="G50" s="31">
        <f>SUM(TX_FINANCIAL)</f>
        <v>3137405.8279367057</v>
      </c>
      <c r="H50" s="30"/>
      <c r="I50" s="30"/>
      <c r="J50" s="30"/>
      <c r="K50" s="30"/>
      <c r="L50" s="29">
        <v>0</v>
      </c>
      <c r="M50" s="30">
        <v>0</v>
      </c>
      <c r="N50" s="30"/>
      <c r="O50" s="30">
        <v>0</v>
      </c>
      <c r="P50" s="30">
        <v>0</v>
      </c>
      <c r="Q50" s="30"/>
      <c r="R50" s="30">
        <v>7899980</v>
      </c>
      <c r="S50" s="30">
        <v>1450000</v>
      </c>
      <c r="T50" s="30"/>
      <c r="U50" s="30">
        <v>0</v>
      </c>
      <c r="V50" s="31">
        <v>0</v>
      </c>
    </row>
    <row r="51" spans="1:22">
      <c r="A51" s="1" t="s">
        <v>72</v>
      </c>
      <c r="B51" s="29">
        <v>0</v>
      </c>
      <c r="C51" s="30">
        <v>0</v>
      </c>
      <c r="D51" s="30">
        <v>0</v>
      </c>
      <c r="E51" s="30">
        <v>0</v>
      </c>
      <c r="F51" s="30">
        <v>0</v>
      </c>
      <c r="G51" s="31">
        <f>SUM(UT_FINANCIAL)</f>
        <v>0</v>
      </c>
      <c r="H51" s="30"/>
      <c r="I51" s="30"/>
      <c r="J51" s="30"/>
      <c r="K51" s="30"/>
      <c r="L51" s="29"/>
      <c r="M51" s="30"/>
      <c r="N51" s="30"/>
      <c r="O51" s="30"/>
      <c r="P51" s="30"/>
      <c r="Q51" s="30"/>
      <c r="R51" s="30"/>
      <c r="S51" s="30"/>
      <c r="T51" s="30"/>
      <c r="U51" s="30"/>
      <c r="V51" s="31"/>
    </row>
    <row r="52" spans="1:22">
      <c r="A52" s="1" t="s">
        <v>73</v>
      </c>
      <c r="B52" s="29">
        <v>0</v>
      </c>
      <c r="C52" s="30">
        <v>0</v>
      </c>
      <c r="D52" s="30">
        <v>0</v>
      </c>
      <c r="E52" s="30">
        <v>0</v>
      </c>
      <c r="F52" s="30">
        <v>0</v>
      </c>
      <c r="G52" s="31">
        <f>SUM(VT_FINANCIAL)</f>
        <v>0</v>
      </c>
      <c r="H52" s="30"/>
      <c r="I52" s="30"/>
      <c r="J52" s="30"/>
      <c r="K52" s="30"/>
      <c r="L52" s="29"/>
      <c r="M52" s="30"/>
      <c r="N52" s="30"/>
      <c r="O52" s="30"/>
      <c r="P52" s="30"/>
      <c r="Q52" s="30"/>
      <c r="R52" s="30"/>
      <c r="S52" s="30"/>
      <c r="T52" s="30"/>
      <c r="U52" s="30"/>
      <c r="V52" s="31"/>
    </row>
    <row r="53" spans="1:22">
      <c r="A53" s="1" t="s">
        <v>74</v>
      </c>
      <c r="B53" s="29">
        <v>0</v>
      </c>
      <c r="C53" s="30">
        <v>0</v>
      </c>
      <c r="D53" s="30">
        <v>0</v>
      </c>
      <c r="E53" s="30">
        <v>0</v>
      </c>
      <c r="F53" s="30">
        <v>0</v>
      </c>
      <c r="G53" s="31">
        <f>SUM(VA_FINANCIAL)</f>
        <v>0</v>
      </c>
      <c r="H53" s="30"/>
      <c r="I53" s="30"/>
      <c r="J53" s="30"/>
      <c r="K53" s="30"/>
      <c r="L53" s="29"/>
      <c r="M53" s="30"/>
      <c r="N53" s="30"/>
      <c r="O53" s="30"/>
      <c r="P53" s="30"/>
      <c r="Q53" s="30"/>
      <c r="R53" s="30"/>
      <c r="S53" s="30"/>
      <c r="T53" s="30"/>
      <c r="U53" s="30"/>
      <c r="V53" s="31"/>
    </row>
    <row r="54" spans="1:22">
      <c r="A54" s="1" t="s">
        <v>75</v>
      </c>
      <c r="B54" s="29">
        <v>0</v>
      </c>
      <c r="C54" s="30">
        <v>0</v>
      </c>
      <c r="D54" s="30">
        <v>0</v>
      </c>
      <c r="E54" s="30">
        <v>0</v>
      </c>
      <c r="F54" s="30">
        <v>0</v>
      </c>
      <c r="G54" s="31">
        <f>SUM(WA_FINANCIAL)</f>
        <v>0</v>
      </c>
      <c r="H54" s="30"/>
      <c r="I54" s="30"/>
      <c r="J54" s="30"/>
      <c r="K54" s="30"/>
      <c r="L54" s="29"/>
      <c r="M54" s="30"/>
      <c r="N54" s="30"/>
      <c r="O54" s="30"/>
      <c r="P54" s="30"/>
      <c r="Q54" s="30"/>
      <c r="R54" s="30"/>
      <c r="S54" s="30"/>
      <c r="T54" s="30"/>
      <c r="U54" s="30"/>
      <c r="V54" s="31"/>
    </row>
    <row r="55" spans="1:22">
      <c r="A55" s="1" t="s">
        <v>76</v>
      </c>
      <c r="B55" s="29">
        <v>0</v>
      </c>
      <c r="C55" s="30">
        <v>0</v>
      </c>
      <c r="D55" s="30">
        <v>0</v>
      </c>
      <c r="E55" s="30">
        <v>0</v>
      </c>
      <c r="F55" s="30">
        <v>0</v>
      </c>
      <c r="G55" s="31">
        <f>SUM(WV_FINANCIAL)</f>
        <v>0</v>
      </c>
      <c r="H55" s="30"/>
      <c r="I55" s="30"/>
      <c r="J55" s="30"/>
      <c r="K55" s="30"/>
      <c r="L55" s="29"/>
      <c r="M55" s="30"/>
      <c r="N55" s="30"/>
      <c r="O55" s="30"/>
      <c r="P55" s="30"/>
      <c r="Q55" s="30"/>
      <c r="R55" s="30"/>
      <c r="S55" s="30"/>
      <c r="T55" s="30"/>
      <c r="U55" s="30"/>
      <c r="V55" s="31"/>
    </row>
    <row r="56" spans="1:22">
      <c r="A56" s="1" t="s">
        <v>77</v>
      </c>
      <c r="B56" s="29">
        <v>0</v>
      </c>
      <c r="C56" s="30">
        <v>0</v>
      </c>
      <c r="D56" s="30">
        <v>0</v>
      </c>
      <c r="E56" s="30">
        <v>0</v>
      </c>
      <c r="F56" s="30">
        <v>0</v>
      </c>
      <c r="G56" s="31">
        <f>SUM(WI_FINANCIAL)</f>
        <v>0</v>
      </c>
      <c r="H56" s="30"/>
      <c r="I56" s="30"/>
      <c r="J56" s="30"/>
      <c r="K56" s="30"/>
      <c r="L56" s="29"/>
      <c r="M56" s="30"/>
      <c r="N56" s="30"/>
      <c r="O56" s="30"/>
      <c r="P56" s="30"/>
      <c r="Q56" s="30"/>
      <c r="R56" s="30"/>
      <c r="S56" s="30"/>
      <c r="T56" s="30"/>
      <c r="U56" s="30"/>
      <c r="V56" s="31"/>
    </row>
    <row r="57" spans="1:22">
      <c r="A57" s="1" t="s">
        <v>78</v>
      </c>
      <c r="B57" s="29">
        <v>0</v>
      </c>
      <c r="C57" s="30">
        <v>0</v>
      </c>
      <c r="D57" s="30">
        <v>48.378880649392435</v>
      </c>
      <c r="E57" s="30">
        <v>0</v>
      </c>
      <c r="F57" s="30">
        <v>0</v>
      </c>
      <c r="G57" s="31">
        <f>SUM(WY_FINANCIAL)</f>
        <v>48.378880649392435</v>
      </c>
      <c r="H57" s="30"/>
      <c r="I57" s="30"/>
      <c r="J57" s="30"/>
      <c r="K57" s="30"/>
      <c r="L57" s="29"/>
      <c r="M57" s="30"/>
      <c r="N57" s="30"/>
      <c r="O57" s="30"/>
      <c r="P57" s="30"/>
      <c r="Q57" s="30"/>
      <c r="R57" s="30"/>
      <c r="S57" s="30"/>
      <c r="T57" s="30"/>
      <c r="U57" s="30"/>
      <c r="V57" s="31"/>
    </row>
    <row r="58" spans="1:22">
      <c r="A58" s="1" t="s">
        <v>79</v>
      </c>
      <c r="B58" s="29">
        <v>0</v>
      </c>
      <c r="C58" s="30">
        <v>0</v>
      </c>
      <c r="D58" s="30">
        <v>0</v>
      </c>
      <c r="E58" s="30">
        <v>0</v>
      </c>
      <c r="F58" s="30">
        <v>0</v>
      </c>
      <c r="G58" s="31">
        <f>SUM(OT_FINANCIAL)</f>
        <v>0</v>
      </c>
      <c r="H58" s="30"/>
      <c r="I58" s="30"/>
      <c r="J58" s="30"/>
      <c r="K58" s="30"/>
      <c r="L58" s="29"/>
      <c r="M58" s="30"/>
      <c r="N58" s="30"/>
      <c r="O58" s="30"/>
      <c r="P58" s="30"/>
      <c r="Q58" s="30"/>
      <c r="R58" s="30"/>
      <c r="S58" s="30"/>
      <c r="T58" s="30"/>
      <c r="U58" s="30"/>
      <c r="V58" s="31"/>
    </row>
    <row r="59" spans="1:22">
      <c r="B59" s="29"/>
      <c r="C59" s="30"/>
      <c r="D59" s="30"/>
      <c r="E59" s="30"/>
      <c r="F59" s="30"/>
      <c r="G59" s="31"/>
      <c r="H59" s="30"/>
      <c r="I59" s="30"/>
      <c r="J59" s="30"/>
      <c r="K59" s="30"/>
      <c r="L59" s="29"/>
      <c r="M59" s="30"/>
      <c r="N59" s="30"/>
      <c r="O59" s="30"/>
      <c r="P59" s="30"/>
      <c r="Q59" s="30"/>
      <c r="R59" s="30"/>
      <c r="S59" s="30"/>
      <c r="T59" s="30"/>
      <c r="U59" s="30"/>
      <c r="V59" s="31"/>
    </row>
    <row r="60" spans="1:22">
      <c r="A60" s="1" t="s">
        <v>8</v>
      </c>
      <c r="B60" s="29">
        <f>SUM(LIFE)</f>
        <v>0</v>
      </c>
      <c r="C60" s="30">
        <f>SUM(ALLOCATED)</f>
        <v>0</v>
      </c>
      <c r="D60" s="30">
        <f>SUM(HEALTH)</f>
        <v>11497817.278988643</v>
      </c>
      <c r="E60" s="30">
        <f>SUM(UNALLOCATED)</f>
        <v>0</v>
      </c>
      <c r="F60" s="30">
        <f>SUM(LTC)</f>
        <v>0</v>
      </c>
      <c r="G60" s="31">
        <f>SUM(ALL_BLOCKS)</f>
        <v>11497817.278988643</v>
      </c>
      <c r="H60" s="30"/>
      <c r="I60" s="30"/>
      <c r="J60" s="30"/>
      <c r="K60" s="30"/>
      <c r="L60" s="29">
        <f>SUM(LIFE_CALLED)</f>
        <v>0</v>
      </c>
      <c r="M60" s="30">
        <f>SUM(LIFE_REFUNDED)</f>
        <v>0</v>
      </c>
      <c r="N60" s="30"/>
      <c r="O60" s="30">
        <f>SUM(ALLOC_CALLED)</f>
        <v>0</v>
      </c>
      <c r="P60" s="30">
        <f>SUM(ALLOC_REFUNDED)</f>
        <v>0</v>
      </c>
      <c r="Q60" s="30"/>
      <c r="R60" s="30">
        <f>SUM(HEALTH_CALLED)</f>
        <v>15692741</v>
      </c>
      <c r="S60" s="30">
        <f>SUM(HEALTH_REFUNDED)</f>
        <v>1450000</v>
      </c>
      <c r="T60" s="30"/>
      <c r="U60" s="30">
        <f>SUM(UNALLOC_CALLED)</f>
        <v>0</v>
      </c>
      <c r="V60" s="31">
        <f>SUM(UNALLOC_REFUNDED)</f>
        <v>0</v>
      </c>
    </row>
    <row r="61" spans="1:22" ht="5.0999999999999996" customHeight="1">
      <c r="B61" s="8"/>
      <c r="G61" s="11"/>
      <c r="L61" s="8"/>
      <c r="V61" s="11"/>
    </row>
    <row r="62" spans="1:22">
      <c r="B62" s="8"/>
      <c r="G62" s="11"/>
      <c r="L62" s="122" t="s">
        <v>80</v>
      </c>
      <c r="M62" s="123"/>
      <c r="N62" s="123"/>
      <c r="O62" s="123"/>
      <c r="P62" s="123"/>
      <c r="Q62" s="123"/>
      <c r="R62" s="123"/>
      <c r="S62" s="123"/>
      <c r="T62" s="123"/>
      <c r="U62" s="123"/>
      <c r="V62" s="124"/>
    </row>
    <row r="63" spans="1:22">
      <c r="B63" s="8"/>
      <c r="G63" s="11"/>
      <c r="L63" s="125"/>
      <c r="M63" s="123"/>
      <c r="N63" s="123"/>
      <c r="O63" s="123"/>
      <c r="P63" s="123"/>
      <c r="Q63" s="123"/>
      <c r="R63" s="123"/>
      <c r="S63" s="123"/>
      <c r="T63" s="123"/>
      <c r="U63" s="123"/>
      <c r="V63" s="124"/>
    </row>
    <row r="64" spans="1:22">
      <c r="B64" s="10"/>
      <c r="C64" s="7"/>
      <c r="D64" s="7"/>
      <c r="E64" s="7"/>
      <c r="F64" s="7"/>
      <c r="G64" s="13"/>
      <c r="L64" s="126"/>
      <c r="M64" s="127"/>
      <c r="N64" s="127"/>
      <c r="O64" s="127"/>
      <c r="P64" s="127"/>
      <c r="Q64" s="127"/>
      <c r="R64" s="127"/>
      <c r="S64" s="127"/>
      <c r="T64" s="127"/>
      <c r="U64" s="127"/>
      <c r="V64" s="128"/>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pageSetUpPr fitToPage="1"/>
  </sheetPr>
  <dimension ref="A1:V64"/>
  <sheetViews>
    <sheetView zoomScale="75" workbookViewId="0">
      <selection sqref="A1:XFD1048576"/>
    </sheetView>
  </sheetViews>
  <sheetFormatPr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129" t="s">
        <v>126</v>
      </c>
      <c r="B1" s="123"/>
      <c r="C1" s="123"/>
      <c r="D1" s="123"/>
      <c r="E1" s="123"/>
      <c r="F1" s="123"/>
      <c r="G1" s="123"/>
    </row>
    <row r="3" spans="1:22">
      <c r="B3" s="130" t="s">
        <v>1</v>
      </c>
      <c r="C3" s="131"/>
      <c r="D3" s="131"/>
      <c r="E3" s="131"/>
      <c r="F3" s="131"/>
      <c r="G3" s="132"/>
      <c r="L3" s="133" t="s">
        <v>2</v>
      </c>
      <c r="M3" s="134"/>
      <c r="N3" s="134"/>
      <c r="O3" s="134"/>
      <c r="P3" s="134"/>
      <c r="Q3" s="134"/>
      <c r="R3" s="134"/>
      <c r="S3" s="134"/>
      <c r="T3" s="134"/>
      <c r="U3" s="134"/>
      <c r="V3" s="135"/>
    </row>
    <row r="4" spans="1:22">
      <c r="B4" s="8"/>
      <c r="G4" s="11"/>
      <c r="L4" s="136" t="s">
        <v>3</v>
      </c>
      <c r="M4" s="137"/>
      <c r="N4" s="4"/>
      <c r="O4" s="138" t="s">
        <v>4</v>
      </c>
      <c r="P4" s="137"/>
      <c r="Q4" s="4"/>
      <c r="R4" s="138" t="s">
        <v>5</v>
      </c>
      <c r="S4" s="137"/>
      <c r="T4" s="4"/>
      <c r="U4" s="138" t="s">
        <v>6</v>
      </c>
      <c r="V4" s="139"/>
    </row>
    <row r="5" spans="1:22" ht="60" customHeight="1">
      <c r="B5" s="9" t="s">
        <v>3</v>
      </c>
      <c r="C5" s="5" t="s">
        <v>4</v>
      </c>
      <c r="D5" s="5" t="s">
        <v>5</v>
      </c>
      <c r="E5" s="5" t="s">
        <v>6</v>
      </c>
      <c r="F5" s="5" t="s">
        <v>7</v>
      </c>
      <c r="G5" s="12" t="s">
        <v>8</v>
      </c>
      <c r="L5" s="15" t="s">
        <v>9</v>
      </c>
      <c r="M5" s="14" t="s">
        <v>10</v>
      </c>
      <c r="N5" s="14"/>
      <c r="O5" s="14" t="s">
        <v>9</v>
      </c>
      <c r="P5" s="14" t="s">
        <v>10</v>
      </c>
      <c r="Q5" s="14"/>
      <c r="R5" s="14" t="s">
        <v>9</v>
      </c>
      <c r="S5" s="14" t="s">
        <v>10</v>
      </c>
      <c r="T5" s="14"/>
      <c r="U5" s="14" t="s">
        <v>9</v>
      </c>
      <c r="V5" s="16" t="s">
        <v>10</v>
      </c>
    </row>
    <row r="6" spans="1:22">
      <c r="A6" s="1" t="s">
        <v>11</v>
      </c>
      <c r="B6" s="29">
        <v>575506.77905280993</v>
      </c>
      <c r="C6" s="30">
        <v>245144.28758403228</v>
      </c>
      <c r="D6" s="30">
        <v>0</v>
      </c>
      <c r="E6" s="30">
        <v>0</v>
      </c>
      <c r="F6" s="30">
        <v>0</v>
      </c>
      <c r="G6" s="31">
        <f>SUM(AL_FINANCIAL)</f>
        <v>820651.06663684221</v>
      </c>
      <c r="H6" s="30"/>
      <c r="I6" s="30"/>
      <c r="J6" s="30"/>
      <c r="K6" s="30"/>
      <c r="L6" s="29">
        <v>1419000</v>
      </c>
      <c r="M6" s="30">
        <v>0</v>
      </c>
      <c r="N6" s="30"/>
      <c r="O6" s="30">
        <v>15909</v>
      </c>
      <c r="P6" s="30">
        <v>0</v>
      </c>
      <c r="Q6" s="30"/>
      <c r="R6" s="30">
        <v>0</v>
      </c>
      <c r="S6" s="30">
        <v>0</v>
      </c>
      <c r="T6" s="30"/>
      <c r="U6" s="30">
        <v>0</v>
      </c>
      <c r="V6" s="31">
        <v>0</v>
      </c>
    </row>
    <row r="7" spans="1:22">
      <c r="A7" s="1" t="s">
        <v>12</v>
      </c>
      <c r="B7" s="29">
        <v>-4552.9972762040634</v>
      </c>
      <c r="C7" s="30">
        <v>0</v>
      </c>
      <c r="D7" s="30">
        <v>0</v>
      </c>
      <c r="E7" s="30">
        <v>0</v>
      </c>
      <c r="F7" s="30">
        <v>0</v>
      </c>
      <c r="G7" s="31">
        <f>SUM(AK_FINANCIAL)</f>
        <v>-4552.9972762040634</v>
      </c>
      <c r="H7" s="30"/>
      <c r="I7" s="32"/>
      <c r="J7" s="33"/>
      <c r="K7" s="30"/>
      <c r="L7" s="29">
        <v>68158</v>
      </c>
      <c r="M7" s="30">
        <v>41500</v>
      </c>
      <c r="N7" s="30"/>
      <c r="O7" s="30">
        <v>0</v>
      </c>
      <c r="P7" s="30">
        <v>0</v>
      </c>
      <c r="Q7" s="30"/>
      <c r="R7" s="30">
        <v>1000</v>
      </c>
      <c r="S7" s="30">
        <v>0</v>
      </c>
      <c r="T7" s="30"/>
      <c r="U7" s="30">
        <v>0</v>
      </c>
      <c r="V7" s="31">
        <v>0</v>
      </c>
    </row>
    <row r="8" spans="1:22">
      <c r="A8" s="1" t="s">
        <v>13</v>
      </c>
      <c r="B8" s="29">
        <v>1386950.5984946908</v>
      </c>
      <c r="C8" s="30">
        <v>77902.019848582626</v>
      </c>
      <c r="D8" s="30">
        <v>0</v>
      </c>
      <c r="E8" s="30">
        <v>0</v>
      </c>
      <c r="F8" s="30">
        <v>0</v>
      </c>
      <c r="G8" s="31">
        <f>SUM(AZ_FINANCIAL)</f>
        <v>1464852.6183432734</v>
      </c>
      <c r="H8" s="30"/>
      <c r="I8" s="34" t="s">
        <v>14</v>
      </c>
      <c r="J8" s="35"/>
      <c r="K8" s="30"/>
      <c r="L8" s="29">
        <v>1251703</v>
      </c>
      <c r="M8" s="30">
        <v>0</v>
      </c>
      <c r="N8" s="30"/>
      <c r="O8" s="30">
        <v>44673</v>
      </c>
      <c r="P8" s="30">
        <v>0</v>
      </c>
      <c r="Q8" s="30"/>
      <c r="R8" s="30">
        <v>0</v>
      </c>
      <c r="S8" s="30">
        <v>0</v>
      </c>
      <c r="T8" s="30"/>
      <c r="U8" s="30">
        <v>0</v>
      </c>
      <c r="V8" s="31">
        <v>0</v>
      </c>
    </row>
    <row r="9" spans="1:22">
      <c r="A9" s="1" t="s">
        <v>15</v>
      </c>
      <c r="B9" s="29">
        <v>519704.03972281993</v>
      </c>
      <c r="C9" s="30">
        <v>0</v>
      </c>
      <c r="D9" s="30">
        <v>0</v>
      </c>
      <c r="E9" s="30">
        <v>0</v>
      </c>
      <c r="F9" s="30">
        <v>0</v>
      </c>
      <c r="G9" s="31">
        <f>SUM(AR_FINANCIAL)</f>
        <v>519704.03972281993</v>
      </c>
      <c r="H9" s="30"/>
      <c r="I9" s="34"/>
      <c r="J9" s="35"/>
      <c r="K9" s="30"/>
      <c r="L9" s="29">
        <v>669513</v>
      </c>
      <c r="M9" s="30">
        <v>0</v>
      </c>
      <c r="N9" s="30"/>
      <c r="O9" s="30">
        <v>0</v>
      </c>
      <c r="P9" s="30">
        <v>0</v>
      </c>
      <c r="Q9" s="30"/>
      <c r="R9" s="30">
        <v>0</v>
      </c>
      <c r="S9" s="30">
        <v>0</v>
      </c>
      <c r="T9" s="30"/>
      <c r="U9" s="30">
        <v>0</v>
      </c>
      <c r="V9" s="31">
        <v>0</v>
      </c>
    </row>
    <row r="10" spans="1:22">
      <c r="A10" s="1" t="s">
        <v>16</v>
      </c>
      <c r="B10" s="29">
        <v>9814042.7385009639</v>
      </c>
      <c r="C10" s="30">
        <v>4615055.5849099187</v>
      </c>
      <c r="D10" s="30">
        <v>0</v>
      </c>
      <c r="E10" s="30">
        <v>0</v>
      </c>
      <c r="F10" s="30">
        <v>0</v>
      </c>
      <c r="G10" s="31">
        <f>SUM(CA_FINANCIAL)</f>
        <v>14429098.323410884</v>
      </c>
      <c r="H10" s="30"/>
      <c r="I10" s="34" t="s">
        <v>17</v>
      </c>
      <c r="J10" s="35">
        <v>72462458.310899913</v>
      </c>
      <c r="K10" s="30"/>
      <c r="L10" s="29">
        <v>17000000</v>
      </c>
      <c r="M10" s="30">
        <v>5715000</v>
      </c>
      <c r="N10" s="30"/>
      <c r="O10" s="30">
        <v>7800000</v>
      </c>
      <c r="P10" s="30">
        <v>8563000</v>
      </c>
      <c r="Q10" s="30"/>
      <c r="R10" s="30">
        <v>270000</v>
      </c>
      <c r="S10" s="30">
        <v>0</v>
      </c>
      <c r="T10" s="30"/>
      <c r="U10" s="30">
        <v>0</v>
      </c>
      <c r="V10" s="31">
        <v>0</v>
      </c>
    </row>
    <row r="11" spans="1:22">
      <c r="A11" s="1" t="s">
        <v>18</v>
      </c>
      <c r="B11" s="29">
        <v>0</v>
      </c>
      <c r="C11" s="30">
        <v>0</v>
      </c>
      <c r="D11" s="30">
        <v>0</v>
      </c>
      <c r="E11" s="30">
        <v>0</v>
      </c>
      <c r="F11" s="30">
        <v>0</v>
      </c>
      <c r="G11" s="31">
        <f>SUM(CO_FINANCIAL)</f>
        <v>0</v>
      </c>
      <c r="H11" s="30"/>
      <c r="I11" s="34"/>
      <c r="J11" s="35"/>
      <c r="K11" s="30"/>
      <c r="L11" s="29"/>
      <c r="M11" s="30"/>
      <c r="N11" s="30"/>
      <c r="O11" s="30"/>
      <c r="P11" s="30"/>
      <c r="Q11" s="30"/>
      <c r="R11" s="30"/>
      <c r="S11" s="30"/>
      <c r="T11" s="30"/>
      <c r="U11" s="30"/>
      <c r="V11" s="31"/>
    </row>
    <row r="12" spans="1:22">
      <c r="A12" s="1" t="s">
        <v>19</v>
      </c>
      <c r="B12" s="29">
        <v>0</v>
      </c>
      <c r="C12" s="30">
        <v>0</v>
      </c>
      <c r="D12" s="30">
        <v>0</v>
      </c>
      <c r="E12" s="30">
        <v>0</v>
      </c>
      <c r="F12" s="30">
        <v>0</v>
      </c>
      <c r="G12" s="31">
        <f>SUM(CT_FINANCIAL)</f>
        <v>0</v>
      </c>
      <c r="H12" s="30"/>
      <c r="I12" s="34" t="s">
        <v>20</v>
      </c>
      <c r="J12" s="35"/>
      <c r="K12" s="30"/>
      <c r="L12" s="29"/>
      <c r="M12" s="30"/>
      <c r="N12" s="30"/>
      <c r="O12" s="30"/>
      <c r="P12" s="30"/>
      <c r="Q12" s="30"/>
      <c r="R12" s="30"/>
      <c r="S12" s="30"/>
      <c r="T12" s="30"/>
      <c r="U12" s="30"/>
      <c r="V12" s="31"/>
    </row>
    <row r="13" spans="1:22">
      <c r="A13" s="1" t="s">
        <v>21</v>
      </c>
      <c r="B13" s="29">
        <v>45369.833579006139</v>
      </c>
      <c r="C13" s="30">
        <v>59975.535650317543</v>
      </c>
      <c r="D13" s="30">
        <v>0</v>
      </c>
      <c r="E13" s="30">
        <v>232037.84091795259</v>
      </c>
      <c r="F13" s="30">
        <v>0</v>
      </c>
      <c r="G13" s="31">
        <f>SUM(DE_FINANCIAL)</f>
        <v>337383.21014727629</v>
      </c>
      <c r="H13" s="30"/>
      <c r="I13" s="34" t="s">
        <v>22</v>
      </c>
      <c r="J13" s="35">
        <v>79125416</v>
      </c>
      <c r="K13" s="30"/>
      <c r="L13" s="29">
        <v>82000</v>
      </c>
      <c r="M13" s="30">
        <v>0</v>
      </c>
      <c r="N13" s="30"/>
      <c r="O13" s="30">
        <v>418000</v>
      </c>
      <c r="P13" s="30">
        <v>0</v>
      </c>
      <c r="Q13" s="30"/>
      <c r="R13" s="30">
        <v>0</v>
      </c>
      <c r="S13" s="30">
        <v>0</v>
      </c>
      <c r="T13" s="30"/>
      <c r="U13" s="30">
        <v>0</v>
      </c>
      <c r="V13" s="31">
        <v>0</v>
      </c>
    </row>
    <row r="14" spans="1:22">
      <c r="A14" s="1" t="s">
        <v>23</v>
      </c>
      <c r="B14" s="29">
        <v>0</v>
      </c>
      <c r="C14" s="30">
        <v>0</v>
      </c>
      <c r="D14" s="30">
        <v>0</v>
      </c>
      <c r="E14" s="30">
        <v>0</v>
      </c>
      <c r="F14" s="30">
        <v>0</v>
      </c>
      <c r="G14" s="31">
        <f>SUM(DC_FINANCIAL)</f>
        <v>0</v>
      </c>
      <c r="H14" s="30"/>
      <c r="I14" s="34" t="s">
        <v>24</v>
      </c>
      <c r="J14" s="35">
        <v>4933932.9999999981</v>
      </c>
      <c r="K14" s="30"/>
      <c r="L14" s="29"/>
      <c r="M14" s="30"/>
      <c r="N14" s="30"/>
      <c r="O14" s="30"/>
      <c r="P14" s="30"/>
      <c r="Q14" s="30"/>
      <c r="R14" s="30"/>
      <c r="S14" s="30"/>
      <c r="T14" s="30"/>
      <c r="U14" s="30"/>
      <c r="V14" s="31"/>
    </row>
    <row r="15" spans="1:22">
      <c r="A15" s="1" t="s">
        <v>25</v>
      </c>
      <c r="B15" s="29">
        <v>2477191.004463701</v>
      </c>
      <c r="C15" s="30">
        <v>1756526.1662031896</v>
      </c>
      <c r="D15" s="30">
        <v>0</v>
      </c>
      <c r="E15" s="30">
        <v>0</v>
      </c>
      <c r="F15" s="30">
        <v>0</v>
      </c>
      <c r="G15" s="31">
        <f>SUM(FL_FINANCIAL)</f>
        <v>4233717.1706668902</v>
      </c>
      <c r="H15" s="30"/>
      <c r="I15" s="34" t="s">
        <v>26</v>
      </c>
      <c r="J15" s="35">
        <v>2897449.169999999</v>
      </c>
      <c r="K15" s="30"/>
      <c r="L15" s="29">
        <v>2300000</v>
      </c>
      <c r="M15" s="30">
        <v>0</v>
      </c>
      <c r="N15" s="30"/>
      <c r="O15" s="30">
        <v>1000000</v>
      </c>
      <c r="P15" s="30">
        <v>0</v>
      </c>
      <c r="Q15" s="30"/>
      <c r="R15" s="30">
        <v>1300000</v>
      </c>
      <c r="S15" s="30">
        <v>0</v>
      </c>
      <c r="T15" s="30"/>
      <c r="U15" s="30">
        <v>0</v>
      </c>
      <c r="V15" s="31">
        <v>0</v>
      </c>
    </row>
    <row r="16" spans="1:22">
      <c r="A16" s="1" t="s">
        <v>27</v>
      </c>
      <c r="B16" s="29">
        <v>1195120.8848296409</v>
      </c>
      <c r="C16" s="30">
        <v>0</v>
      </c>
      <c r="D16" s="30">
        <v>0</v>
      </c>
      <c r="E16" s="30">
        <v>110519.7249168734</v>
      </c>
      <c r="F16" s="30">
        <v>0</v>
      </c>
      <c r="G16" s="31">
        <f>SUM(GA_FINANCIAL)</f>
        <v>1305640.6097465144</v>
      </c>
      <c r="H16" s="30"/>
      <c r="I16" s="34" t="s">
        <v>28</v>
      </c>
      <c r="J16" s="35">
        <v>0</v>
      </c>
      <c r="K16" s="30"/>
      <c r="L16" s="29">
        <v>1630072</v>
      </c>
      <c r="M16" s="30">
        <v>0</v>
      </c>
      <c r="N16" s="30"/>
      <c r="O16" s="30">
        <v>0</v>
      </c>
      <c r="P16" s="30">
        <v>0</v>
      </c>
      <c r="Q16" s="30"/>
      <c r="R16" s="30">
        <v>0</v>
      </c>
      <c r="S16" s="30">
        <v>0</v>
      </c>
      <c r="T16" s="30"/>
      <c r="U16" s="30">
        <v>157061</v>
      </c>
      <c r="V16" s="31">
        <v>-1770.53</v>
      </c>
    </row>
    <row r="17" spans="1:22">
      <c r="A17" s="1" t="s">
        <v>29</v>
      </c>
      <c r="B17" s="29">
        <v>68394.513320275961</v>
      </c>
      <c r="C17" s="30">
        <v>0</v>
      </c>
      <c r="D17" s="30">
        <v>0</v>
      </c>
      <c r="E17" s="30">
        <v>0</v>
      </c>
      <c r="F17" s="30">
        <v>0</v>
      </c>
      <c r="G17" s="31">
        <f>SUM(HI_FINANCIAL)</f>
        <v>68394.513320275961</v>
      </c>
      <c r="H17" s="30"/>
      <c r="I17" s="34"/>
      <c r="J17" s="35"/>
      <c r="K17" s="30"/>
      <c r="L17" s="29">
        <v>0</v>
      </c>
      <c r="M17" s="30">
        <v>19697</v>
      </c>
      <c r="N17" s="30"/>
      <c r="O17" s="30">
        <v>0</v>
      </c>
      <c r="P17" s="30">
        <v>0</v>
      </c>
      <c r="Q17" s="30"/>
      <c r="R17" s="30">
        <v>121409</v>
      </c>
      <c r="S17" s="30">
        <v>0</v>
      </c>
      <c r="T17" s="30"/>
      <c r="U17" s="30">
        <v>0</v>
      </c>
      <c r="V17" s="31">
        <v>0</v>
      </c>
    </row>
    <row r="18" spans="1:22">
      <c r="A18" s="1" t="s">
        <v>30</v>
      </c>
      <c r="B18" s="29">
        <v>131116.69432653923</v>
      </c>
      <c r="C18" s="30">
        <v>0</v>
      </c>
      <c r="D18" s="30">
        <v>0</v>
      </c>
      <c r="E18" s="30">
        <v>0</v>
      </c>
      <c r="F18" s="30">
        <v>0</v>
      </c>
      <c r="G18" s="31">
        <f>SUM(ID_FINANCIAL)</f>
        <v>131116.69432653923</v>
      </c>
      <c r="H18" s="30"/>
      <c r="I18" s="34" t="s">
        <v>31</v>
      </c>
      <c r="J18" s="35"/>
      <c r="K18" s="30"/>
      <c r="L18" s="29">
        <v>275000</v>
      </c>
      <c r="M18" s="30">
        <v>0</v>
      </c>
      <c r="N18" s="30"/>
      <c r="O18" s="30">
        <v>0</v>
      </c>
      <c r="P18" s="30">
        <v>0</v>
      </c>
      <c r="Q18" s="30"/>
      <c r="R18" s="30">
        <v>0</v>
      </c>
      <c r="S18" s="30">
        <v>0</v>
      </c>
      <c r="T18" s="30"/>
      <c r="U18" s="30">
        <v>0</v>
      </c>
      <c r="V18" s="31">
        <v>0</v>
      </c>
    </row>
    <row r="19" spans="1:22">
      <c r="A19" s="1" t="s">
        <v>32</v>
      </c>
      <c r="B19" s="29">
        <v>13188076.258957719</v>
      </c>
      <c r="C19" s="30">
        <v>3314131.1297161132</v>
      </c>
      <c r="D19" s="30">
        <v>0</v>
      </c>
      <c r="E19" s="30">
        <v>2431447.3482384542</v>
      </c>
      <c r="F19" s="30">
        <v>0</v>
      </c>
      <c r="G19" s="31">
        <f>SUM(IL_FINANCIAL)</f>
        <v>18933654.736912288</v>
      </c>
      <c r="H19" s="30"/>
      <c r="I19" s="34" t="s">
        <v>33</v>
      </c>
      <c r="J19" s="35">
        <v>0</v>
      </c>
      <c r="K19" s="30"/>
      <c r="L19" s="29">
        <v>15189000</v>
      </c>
      <c r="M19" s="30">
        <v>7787461</v>
      </c>
      <c r="N19" s="30"/>
      <c r="O19" s="30">
        <v>6029000</v>
      </c>
      <c r="P19" s="30">
        <v>2127010</v>
      </c>
      <c r="Q19" s="30"/>
      <c r="R19" s="30">
        <v>200000</v>
      </c>
      <c r="S19" s="30">
        <v>221540</v>
      </c>
      <c r="T19" s="30"/>
      <c r="U19" s="30">
        <v>15925000</v>
      </c>
      <c r="V19" s="31">
        <v>10987367</v>
      </c>
    </row>
    <row r="20" spans="1:22">
      <c r="A20" s="1" t="s">
        <v>34</v>
      </c>
      <c r="B20" s="29">
        <v>1234196.9246880396</v>
      </c>
      <c r="C20" s="30">
        <v>80397.911154496702</v>
      </c>
      <c r="D20" s="30">
        <v>0</v>
      </c>
      <c r="E20" s="30">
        <v>0</v>
      </c>
      <c r="F20" s="30">
        <v>0</v>
      </c>
      <c r="G20" s="31">
        <f>SUM(IN_FINANCIAL)</f>
        <v>1314594.8358425363</v>
      </c>
      <c r="H20" s="30"/>
      <c r="I20" s="34" t="s">
        <v>35</v>
      </c>
      <c r="J20" s="35">
        <v>-1818282.7484705588</v>
      </c>
      <c r="K20" s="30"/>
      <c r="L20" s="29">
        <v>1004167</v>
      </c>
      <c r="M20" s="30">
        <v>0</v>
      </c>
      <c r="N20" s="30"/>
      <c r="O20" s="30">
        <v>0</v>
      </c>
      <c r="P20" s="30">
        <v>0</v>
      </c>
      <c r="Q20" s="30"/>
      <c r="R20" s="30">
        <v>0</v>
      </c>
      <c r="S20" s="30">
        <v>0</v>
      </c>
      <c r="T20" s="30"/>
      <c r="U20" s="30">
        <v>0</v>
      </c>
      <c r="V20" s="31">
        <v>0</v>
      </c>
    </row>
    <row r="21" spans="1:22">
      <c r="A21" s="1" t="s">
        <v>36</v>
      </c>
      <c r="B21" s="29">
        <v>1320419.0433456562</v>
      </c>
      <c r="C21" s="30">
        <v>100279.3612348779</v>
      </c>
      <c r="D21" s="30">
        <v>0</v>
      </c>
      <c r="E21" s="30">
        <v>0</v>
      </c>
      <c r="F21" s="30">
        <v>0</v>
      </c>
      <c r="G21" s="31">
        <f>SUM(IA_FINANCIAL)</f>
        <v>1420698.4045805342</v>
      </c>
      <c r="H21" s="30"/>
      <c r="I21" s="34" t="s">
        <v>37</v>
      </c>
      <c r="J21" s="35"/>
      <c r="K21" s="30"/>
      <c r="L21" s="29">
        <v>1199870</v>
      </c>
      <c r="M21" s="30">
        <v>0</v>
      </c>
      <c r="N21" s="30"/>
      <c r="O21" s="30">
        <v>436704</v>
      </c>
      <c r="P21" s="30">
        <v>0</v>
      </c>
      <c r="Q21" s="30"/>
      <c r="R21" s="30">
        <v>0</v>
      </c>
      <c r="S21" s="30">
        <v>0</v>
      </c>
      <c r="T21" s="30"/>
      <c r="U21" s="30">
        <v>1040000</v>
      </c>
      <c r="V21" s="31">
        <v>0</v>
      </c>
    </row>
    <row r="22" spans="1:22">
      <c r="A22" s="1" t="s">
        <v>38</v>
      </c>
      <c r="B22" s="29">
        <v>207426.57403413404</v>
      </c>
      <c r="C22" s="30">
        <v>234322.78809978411</v>
      </c>
      <c r="D22" s="30">
        <v>0</v>
      </c>
      <c r="E22" s="30">
        <v>0</v>
      </c>
      <c r="F22" s="30">
        <v>0</v>
      </c>
      <c r="G22" s="31">
        <f>SUM(KS_FINANCIAL)</f>
        <v>441749.36213391816</v>
      </c>
      <c r="H22" s="30"/>
      <c r="I22" s="34" t="s">
        <v>39</v>
      </c>
      <c r="J22" s="35">
        <v>370225</v>
      </c>
      <c r="K22" s="30"/>
      <c r="L22" s="29">
        <v>450000</v>
      </c>
      <c r="M22" s="30">
        <v>0</v>
      </c>
      <c r="N22" s="30"/>
      <c r="O22" s="30">
        <v>300000</v>
      </c>
      <c r="P22" s="30">
        <v>0</v>
      </c>
      <c r="Q22" s="30"/>
      <c r="R22" s="30">
        <v>0</v>
      </c>
      <c r="S22" s="30">
        <v>0</v>
      </c>
      <c r="T22" s="30"/>
      <c r="U22" s="30">
        <v>0</v>
      </c>
      <c r="V22" s="31">
        <v>0</v>
      </c>
    </row>
    <row r="23" spans="1:22">
      <c r="A23" s="1" t="s">
        <v>40</v>
      </c>
      <c r="B23" s="29">
        <v>463898.03573189606</v>
      </c>
      <c r="C23" s="30">
        <v>16323.504421248354</v>
      </c>
      <c r="D23" s="30">
        <v>0</v>
      </c>
      <c r="E23" s="30">
        <v>0</v>
      </c>
      <c r="F23" s="30">
        <v>0</v>
      </c>
      <c r="G23" s="31">
        <f>SUM(KY_FINANCIAL)</f>
        <v>480221.54015314439</v>
      </c>
      <c r="H23" s="30"/>
      <c r="I23" s="34" t="s">
        <v>41</v>
      </c>
      <c r="J23" s="35"/>
      <c r="K23" s="30"/>
      <c r="L23" s="29">
        <v>643875</v>
      </c>
      <c r="M23" s="30">
        <v>150000</v>
      </c>
      <c r="N23" s="30"/>
      <c r="O23" s="30">
        <v>11600</v>
      </c>
      <c r="P23" s="30">
        <v>0</v>
      </c>
      <c r="Q23" s="30"/>
      <c r="R23" s="30">
        <v>0</v>
      </c>
      <c r="S23" s="30">
        <v>0</v>
      </c>
      <c r="T23" s="30"/>
      <c r="U23" s="30">
        <v>0</v>
      </c>
      <c r="V23" s="31">
        <v>0</v>
      </c>
    </row>
    <row r="24" spans="1:22">
      <c r="A24" s="1" t="s">
        <v>42</v>
      </c>
      <c r="B24" s="29">
        <v>-2.3283064365386963E-10</v>
      </c>
      <c r="C24" s="30">
        <v>0</v>
      </c>
      <c r="D24" s="30">
        <v>0</v>
      </c>
      <c r="E24" s="30">
        <v>0</v>
      </c>
      <c r="F24" s="30">
        <v>0</v>
      </c>
      <c r="G24" s="31">
        <f>SUM(LA_FINANCIAL)</f>
        <v>-2.3283064365386963E-10</v>
      </c>
      <c r="H24" s="30"/>
      <c r="I24" s="34" t="s">
        <v>43</v>
      </c>
      <c r="J24" s="35">
        <v>53095510.000000015</v>
      </c>
      <c r="K24" s="30"/>
      <c r="L24" s="29"/>
      <c r="M24" s="30"/>
      <c r="N24" s="30"/>
      <c r="O24" s="30"/>
      <c r="P24" s="30"/>
      <c r="Q24" s="30"/>
      <c r="R24" s="30"/>
      <c r="S24" s="30"/>
      <c r="T24" s="30"/>
      <c r="U24" s="30"/>
      <c r="V24" s="31"/>
    </row>
    <row r="25" spans="1:22">
      <c r="A25" s="1" t="s">
        <v>44</v>
      </c>
      <c r="B25" s="29">
        <v>91296.720195528527</v>
      </c>
      <c r="C25" s="30">
        <v>0</v>
      </c>
      <c r="D25" s="30">
        <v>0</v>
      </c>
      <c r="E25" s="30">
        <v>63667.402396726931</v>
      </c>
      <c r="F25" s="30">
        <v>0</v>
      </c>
      <c r="G25" s="31">
        <f>SUM(ME_FINANCIAL)</f>
        <v>154964.12259225547</v>
      </c>
      <c r="H25" s="30"/>
      <c r="I25" s="34"/>
      <c r="J25" s="35"/>
      <c r="K25" s="30"/>
      <c r="L25" s="29">
        <v>230000</v>
      </c>
      <c r="M25" s="30">
        <v>0</v>
      </c>
      <c r="N25" s="30"/>
      <c r="O25" s="30">
        <v>0</v>
      </c>
      <c r="P25" s="30">
        <v>0</v>
      </c>
      <c r="Q25" s="30"/>
      <c r="R25" s="30">
        <v>0</v>
      </c>
      <c r="S25" s="30">
        <v>0</v>
      </c>
      <c r="T25" s="30"/>
      <c r="U25" s="30">
        <v>0</v>
      </c>
      <c r="V25" s="31">
        <v>0</v>
      </c>
    </row>
    <row r="26" spans="1:22">
      <c r="A26" s="1" t="s">
        <v>45</v>
      </c>
      <c r="B26" s="29">
        <v>-2.3283064365386963E-10</v>
      </c>
      <c r="C26" s="30">
        <v>0</v>
      </c>
      <c r="D26" s="30">
        <v>0</v>
      </c>
      <c r="E26" s="30">
        <v>0</v>
      </c>
      <c r="F26" s="30">
        <v>0</v>
      </c>
      <c r="G26" s="31">
        <f>SUM(MD_FINANCIAL)</f>
        <v>-2.3283064365386963E-10</v>
      </c>
      <c r="H26" s="30"/>
      <c r="I26" s="34" t="s">
        <v>46</v>
      </c>
      <c r="J26" s="35">
        <f>SUM(ADD_FINANCIAL)-SUM(LESS_FINANCIAL)</f>
        <v>107771804.22937045</v>
      </c>
      <c r="K26" s="30"/>
      <c r="L26" s="29"/>
      <c r="M26" s="30"/>
      <c r="N26" s="30"/>
      <c r="O26" s="30"/>
      <c r="P26" s="30"/>
      <c r="Q26" s="30"/>
      <c r="R26" s="30"/>
      <c r="S26" s="30"/>
      <c r="T26" s="30"/>
      <c r="U26" s="30"/>
      <c r="V26" s="31"/>
    </row>
    <row r="27" spans="1:22">
      <c r="A27" s="1" t="s">
        <v>47</v>
      </c>
      <c r="B27" s="29">
        <v>1598221.2706992128</v>
      </c>
      <c r="C27" s="30">
        <v>0</v>
      </c>
      <c r="D27" s="30">
        <v>0</v>
      </c>
      <c r="E27" s="30">
        <v>0</v>
      </c>
      <c r="F27" s="30">
        <v>0</v>
      </c>
      <c r="G27" s="31">
        <f>SUM(MA_FINANCIAL)</f>
        <v>1598221.2706992128</v>
      </c>
      <c r="H27" s="30"/>
      <c r="I27" s="34" t="s">
        <v>48</v>
      </c>
      <c r="J27" s="35">
        <f>SUM(ALL_BLOCKS)</f>
        <v>107771804.22937047</v>
      </c>
      <c r="K27" s="30"/>
      <c r="L27" s="29">
        <v>2000000</v>
      </c>
      <c r="M27" s="30">
        <v>0</v>
      </c>
      <c r="N27" s="30"/>
      <c r="O27" s="30">
        <v>0</v>
      </c>
      <c r="P27" s="30">
        <v>0</v>
      </c>
      <c r="Q27" s="30"/>
      <c r="R27" s="30">
        <v>0</v>
      </c>
      <c r="S27" s="30">
        <v>0</v>
      </c>
      <c r="T27" s="30"/>
      <c r="U27" s="30">
        <v>0</v>
      </c>
      <c r="V27" s="31">
        <v>0</v>
      </c>
    </row>
    <row r="28" spans="1:22">
      <c r="A28" s="1" t="s">
        <v>49</v>
      </c>
      <c r="B28" s="29">
        <v>5156080.9320903979</v>
      </c>
      <c r="C28" s="30">
        <v>1624865.4421040844</v>
      </c>
      <c r="D28" s="30">
        <v>0</v>
      </c>
      <c r="E28" s="30">
        <v>3491311.3666136372</v>
      </c>
      <c r="F28" s="30">
        <v>0</v>
      </c>
      <c r="G28" s="31">
        <f>SUM(MI_FINANCIAL)</f>
        <v>10272257.74080812</v>
      </c>
      <c r="H28" s="30"/>
      <c r="I28" s="36"/>
      <c r="J28" s="37"/>
      <c r="K28" s="30"/>
      <c r="L28" s="29">
        <v>4100000</v>
      </c>
      <c r="M28" s="30">
        <v>900647</v>
      </c>
      <c r="N28" s="30"/>
      <c r="O28" s="30">
        <v>2500000</v>
      </c>
      <c r="P28" s="30">
        <v>0</v>
      </c>
      <c r="Q28" s="30"/>
      <c r="R28" s="30">
        <v>0</v>
      </c>
      <c r="S28" s="30">
        <v>0</v>
      </c>
      <c r="T28" s="30"/>
      <c r="U28" s="30">
        <v>10300000</v>
      </c>
      <c r="V28" s="31">
        <v>4497170</v>
      </c>
    </row>
    <row r="29" spans="1:22">
      <c r="A29" s="1" t="s">
        <v>50</v>
      </c>
      <c r="B29" s="29">
        <v>-0.16064403949885922</v>
      </c>
      <c r="C29" s="30">
        <v>61037.702092913081</v>
      </c>
      <c r="D29" s="30">
        <v>0</v>
      </c>
      <c r="E29" s="30">
        <v>2403902.3604149404</v>
      </c>
      <c r="F29" s="30">
        <v>0</v>
      </c>
      <c r="G29" s="31">
        <f>SUM(MN_FINANCIAL)</f>
        <v>2464939.9018638139</v>
      </c>
      <c r="H29" s="30"/>
      <c r="I29" s="30"/>
      <c r="J29" s="30"/>
      <c r="K29" s="30"/>
      <c r="L29" s="29">
        <v>447000</v>
      </c>
      <c r="M29" s="30">
        <v>353520</v>
      </c>
      <c r="N29" s="30"/>
      <c r="O29" s="30">
        <v>3170000</v>
      </c>
      <c r="P29" s="30">
        <v>2592480</v>
      </c>
      <c r="Q29" s="30"/>
      <c r="R29" s="30">
        <v>0</v>
      </c>
      <c r="S29" s="30">
        <v>0</v>
      </c>
      <c r="T29" s="30"/>
      <c r="U29" s="30">
        <v>0</v>
      </c>
      <c r="V29" s="31">
        <v>0</v>
      </c>
    </row>
    <row r="30" spans="1:22">
      <c r="A30" s="1" t="s">
        <v>51</v>
      </c>
      <c r="B30" s="29">
        <v>276221.05690131889</v>
      </c>
      <c r="C30" s="30">
        <v>17556.147758459134</v>
      </c>
      <c r="D30" s="30">
        <v>0</v>
      </c>
      <c r="E30" s="30">
        <v>0</v>
      </c>
      <c r="F30" s="30">
        <v>0</v>
      </c>
      <c r="G30" s="31">
        <f>SUM(MS_FINANCIAL)</f>
        <v>293777.20465977804</v>
      </c>
      <c r="H30" s="30"/>
      <c r="I30" s="30"/>
      <c r="J30" s="30"/>
      <c r="K30" s="30"/>
      <c r="L30" s="29">
        <v>368000</v>
      </c>
      <c r="M30" s="30">
        <v>0</v>
      </c>
      <c r="N30" s="30"/>
      <c r="O30" s="30">
        <v>32000</v>
      </c>
      <c r="P30" s="30">
        <v>0</v>
      </c>
      <c r="Q30" s="30"/>
      <c r="R30" s="30">
        <v>0</v>
      </c>
      <c r="S30" s="30">
        <v>0</v>
      </c>
      <c r="T30" s="30"/>
      <c r="U30" s="30">
        <v>0</v>
      </c>
      <c r="V30" s="31">
        <v>0</v>
      </c>
    </row>
    <row r="31" spans="1:22">
      <c r="A31" s="1" t="s">
        <v>52</v>
      </c>
      <c r="B31" s="29">
        <v>544027.02898497414</v>
      </c>
      <c r="C31" s="30">
        <v>184480.71788341177</v>
      </c>
      <c r="D31" s="30">
        <v>0</v>
      </c>
      <c r="E31" s="30">
        <v>0</v>
      </c>
      <c r="F31" s="30">
        <v>0</v>
      </c>
      <c r="G31" s="31">
        <f>SUM(MO_FINANCIAL)</f>
        <v>728507.74686838593</v>
      </c>
      <c r="H31" s="30"/>
      <c r="I31" s="30"/>
      <c r="J31" s="30"/>
      <c r="K31" s="30"/>
      <c r="L31" s="29">
        <v>1650000</v>
      </c>
      <c r="M31" s="30">
        <v>0</v>
      </c>
      <c r="N31" s="30"/>
      <c r="O31" s="30">
        <v>353704</v>
      </c>
      <c r="P31" s="30">
        <v>0</v>
      </c>
      <c r="Q31" s="30"/>
      <c r="R31" s="30">
        <v>0</v>
      </c>
      <c r="S31" s="30">
        <v>0</v>
      </c>
      <c r="T31" s="30"/>
      <c r="U31" s="30">
        <v>0</v>
      </c>
      <c r="V31" s="31">
        <v>0</v>
      </c>
    </row>
    <row r="32" spans="1:22">
      <c r="A32" s="1" t="s">
        <v>53</v>
      </c>
      <c r="B32" s="29">
        <v>242544.35738207214</v>
      </c>
      <c r="C32" s="30">
        <v>115273.10882349081</v>
      </c>
      <c r="D32" s="30">
        <v>0</v>
      </c>
      <c r="E32" s="30">
        <v>0</v>
      </c>
      <c r="F32" s="30">
        <v>0</v>
      </c>
      <c r="G32" s="31">
        <f>SUM(MT_FINANCIAL)</f>
        <v>357817.46620556293</v>
      </c>
      <c r="H32" s="30"/>
      <c r="I32" s="30"/>
      <c r="J32" s="30"/>
      <c r="K32" s="30"/>
      <c r="L32" s="29">
        <v>429300</v>
      </c>
      <c r="M32" s="30">
        <v>0</v>
      </c>
      <c r="N32" s="30"/>
      <c r="O32" s="30">
        <v>56000</v>
      </c>
      <c r="P32" s="30">
        <v>0</v>
      </c>
      <c r="Q32" s="30"/>
      <c r="R32" s="30">
        <v>0</v>
      </c>
      <c r="S32" s="30">
        <v>0</v>
      </c>
      <c r="T32" s="30"/>
      <c r="U32" s="30">
        <v>0</v>
      </c>
      <c r="V32" s="31">
        <v>0</v>
      </c>
    </row>
    <row r="33" spans="1:22">
      <c r="A33" s="1" t="s">
        <v>54</v>
      </c>
      <c r="B33" s="29">
        <v>1177367.4095338404</v>
      </c>
      <c r="C33" s="30">
        <v>119062.18176379008</v>
      </c>
      <c r="D33" s="30">
        <v>0</v>
      </c>
      <c r="E33" s="30">
        <v>0</v>
      </c>
      <c r="F33" s="30">
        <v>0</v>
      </c>
      <c r="G33" s="31">
        <f>SUM(NE_FINANCIAL)</f>
        <v>1296429.5912976305</v>
      </c>
      <c r="H33" s="30"/>
      <c r="I33" s="30"/>
      <c r="J33" s="30"/>
      <c r="K33" s="30"/>
      <c r="L33" s="29">
        <v>1639125</v>
      </c>
      <c r="M33" s="30">
        <v>137750</v>
      </c>
      <c r="N33" s="30"/>
      <c r="O33" s="30">
        <v>102116</v>
      </c>
      <c r="P33" s="30">
        <v>7250</v>
      </c>
      <c r="Q33" s="30"/>
      <c r="R33" s="30">
        <v>0</v>
      </c>
      <c r="S33" s="30">
        <v>0</v>
      </c>
      <c r="T33" s="30"/>
      <c r="U33" s="30">
        <v>0</v>
      </c>
      <c r="V33" s="31">
        <v>0</v>
      </c>
    </row>
    <row r="34" spans="1:22">
      <c r="A34" s="1" t="s">
        <v>55</v>
      </c>
      <c r="B34" s="29">
        <v>113329.80264569481</v>
      </c>
      <c r="C34" s="30">
        <v>15775.499696333382</v>
      </c>
      <c r="D34" s="30">
        <v>0</v>
      </c>
      <c r="E34" s="30">
        <v>0</v>
      </c>
      <c r="F34" s="30">
        <v>0</v>
      </c>
      <c r="G34" s="31">
        <f>SUM(NV_FINANCIAL)</f>
        <v>129105.3023420282</v>
      </c>
      <c r="H34" s="30"/>
      <c r="I34" s="30"/>
      <c r="J34" s="30"/>
      <c r="K34" s="30"/>
      <c r="L34" s="29">
        <v>213900</v>
      </c>
      <c r="M34" s="30">
        <v>0</v>
      </c>
      <c r="N34" s="30"/>
      <c r="O34" s="30">
        <v>9500</v>
      </c>
      <c r="P34" s="30">
        <v>0</v>
      </c>
      <c r="Q34" s="30"/>
      <c r="R34" s="30">
        <v>0</v>
      </c>
      <c r="S34" s="30">
        <v>0</v>
      </c>
      <c r="T34" s="30"/>
      <c r="U34" s="30">
        <v>0</v>
      </c>
      <c r="V34" s="31">
        <v>0</v>
      </c>
    </row>
    <row r="35" spans="1:22">
      <c r="A35" s="1" t="s">
        <v>56</v>
      </c>
      <c r="B35" s="29">
        <v>388191.9864102549</v>
      </c>
      <c r="C35" s="30">
        <v>146996.28813317491</v>
      </c>
      <c r="D35" s="30">
        <v>0</v>
      </c>
      <c r="E35" s="30">
        <v>607576.32708864158</v>
      </c>
      <c r="F35" s="30">
        <v>0</v>
      </c>
      <c r="G35" s="31">
        <f>SUM(NH_FINANCIAL)</f>
        <v>1142764.6016320714</v>
      </c>
      <c r="H35" s="30"/>
      <c r="I35" s="30"/>
      <c r="J35" s="30"/>
      <c r="K35" s="30"/>
      <c r="L35" s="29">
        <v>1283000</v>
      </c>
      <c r="M35" s="30">
        <v>250000</v>
      </c>
      <c r="N35" s="30"/>
      <c r="O35" s="30">
        <v>1217000</v>
      </c>
      <c r="P35" s="30">
        <v>550000</v>
      </c>
      <c r="Q35" s="30"/>
      <c r="R35" s="30">
        <v>0</v>
      </c>
      <c r="S35" s="30">
        <v>0</v>
      </c>
      <c r="T35" s="30"/>
      <c r="U35" s="30">
        <v>0</v>
      </c>
      <c r="V35" s="31">
        <v>0</v>
      </c>
    </row>
    <row r="36" spans="1:22">
      <c r="A36" s="1" t="s">
        <v>57</v>
      </c>
      <c r="B36" s="29">
        <v>7671000.4748165421</v>
      </c>
      <c r="C36" s="30">
        <v>1533725.2528033189</v>
      </c>
      <c r="D36" s="30">
        <v>0</v>
      </c>
      <c r="E36" s="30">
        <v>3477971.3466877248</v>
      </c>
      <c r="F36" s="30">
        <v>0</v>
      </c>
      <c r="G36" s="31">
        <f>SUM(NJ_FINANCIAL)</f>
        <v>12682697.074307585</v>
      </c>
      <c r="H36" s="30"/>
      <c r="I36" s="30"/>
      <c r="J36" s="30"/>
      <c r="K36" s="30"/>
      <c r="L36" s="29">
        <v>5500000</v>
      </c>
      <c r="M36" s="30">
        <v>3764806</v>
      </c>
      <c r="N36" s="30"/>
      <c r="O36" s="30">
        <v>2508522</v>
      </c>
      <c r="P36" s="30">
        <v>4520000</v>
      </c>
      <c r="Q36" s="30"/>
      <c r="R36" s="30">
        <v>0</v>
      </c>
      <c r="S36" s="30">
        <v>0</v>
      </c>
      <c r="T36" s="30"/>
      <c r="U36" s="30">
        <v>11404352</v>
      </c>
      <c r="V36" s="31">
        <v>0</v>
      </c>
    </row>
    <row r="37" spans="1:22">
      <c r="A37" s="1" t="s">
        <v>58</v>
      </c>
      <c r="B37" s="29">
        <v>208876.21458554908</v>
      </c>
      <c r="C37" s="30">
        <v>48649.417275770858</v>
      </c>
      <c r="D37" s="30">
        <v>0</v>
      </c>
      <c r="E37" s="30">
        <v>0</v>
      </c>
      <c r="F37" s="30">
        <v>0</v>
      </c>
      <c r="G37" s="31">
        <f>SUM(NM_FINANCIAL)</f>
        <v>257525.63186131994</v>
      </c>
      <c r="H37" s="30"/>
      <c r="I37" s="30"/>
      <c r="J37" s="30"/>
      <c r="K37" s="30"/>
      <c r="L37" s="29">
        <v>260000</v>
      </c>
      <c r="M37" s="30">
        <v>0</v>
      </c>
      <c r="N37" s="30"/>
      <c r="O37" s="30">
        <v>55263</v>
      </c>
      <c r="P37" s="30">
        <v>0</v>
      </c>
      <c r="Q37" s="30"/>
      <c r="R37" s="30">
        <v>0</v>
      </c>
      <c r="S37" s="30">
        <v>0</v>
      </c>
      <c r="T37" s="30"/>
      <c r="U37" s="30">
        <v>0</v>
      </c>
      <c r="V37" s="31">
        <v>0</v>
      </c>
    </row>
    <row r="38" spans="1:22">
      <c r="A38" s="1" t="s">
        <v>59</v>
      </c>
      <c r="B38" s="29">
        <v>4.6566128730773926E-10</v>
      </c>
      <c r="C38" s="30">
        <v>0</v>
      </c>
      <c r="D38" s="30">
        <v>0</v>
      </c>
      <c r="E38" s="30">
        <v>0</v>
      </c>
      <c r="F38" s="30">
        <v>0</v>
      </c>
      <c r="G38" s="31">
        <f>SUM(NY_FINANCIAL)</f>
        <v>4.6566128730773926E-10</v>
      </c>
      <c r="H38" s="30"/>
      <c r="I38" s="30"/>
      <c r="J38" s="30"/>
      <c r="K38" s="30"/>
      <c r="L38" s="29"/>
      <c r="M38" s="30"/>
      <c r="N38" s="30"/>
      <c r="O38" s="30"/>
      <c r="P38" s="30"/>
      <c r="Q38" s="30"/>
      <c r="R38" s="30"/>
      <c r="S38" s="30"/>
      <c r="T38" s="30"/>
      <c r="U38" s="30"/>
      <c r="V38" s="31"/>
    </row>
    <row r="39" spans="1:22">
      <c r="A39" s="1" t="s">
        <v>60</v>
      </c>
      <c r="B39" s="29">
        <v>3056073.9838651726</v>
      </c>
      <c r="C39" s="30">
        <v>343856.2833639218</v>
      </c>
      <c r="D39" s="30">
        <v>0</v>
      </c>
      <c r="E39" s="30">
        <v>220855.22559240862</v>
      </c>
      <c r="F39" s="30">
        <v>0</v>
      </c>
      <c r="G39" s="31">
        <f>SUM(NC_FINANCIAL)</f>
        <v>3620785.492821503</v>
      </c>
      <c r="H39" s="30"/>
      <c r="I39" s="30"/>
      <c r="J39" s="30"/>
      <c r="K39" s="30"/>
      <c r="L39" s="29">
        <v>5044000</v>
      </c>
      <c r="M39" s="30">
        <v>533500</v>
      </c>
      <c r="N39" s="30"/>
      <c r="O39" s="30">
        <v>156000</v>
      </c>
      <c r="P39" s="30">
        <v>0</v>
      </c>
      <c r="Q39" s="30"/>
      <c r="R39" s="30">
        <v>0</v>
      </c>
      <c r="S39" s="30">
        <v>0</v>
      </c>
      <c r="T39" s="30"/>
      <c r="U39" s="30">
        <v>0</v>
      </c>
      <c r="V39" s="31">
        <v>0</v>
      </c>
    </row>
    <row r="40" spans="1:22">
      <c r="A40" s="1" t="s">
        <v>61</v>
      </c>
      <c r="B40" s="29">
        <v>140258.58576626328</v>
      </c>
      <c r="C40" s="30">
        <v>19029.144577259776</v>
      </c>
      <c r="D40" s="30">
        <v>0</v>
      </c>
      <c r="E40" s="30">
        <v>0</v>
      </c>
      <c r="F40" s="30">
        <v>0</v>
      </c>
      <c r="G40" s="31">
        <f>SUM(ND_FINANCIAL)</f>
        <v>159287.73034352306</v>
      </c>
      <c r="H40" s="30"/>
      <c r="I40" s="30"/>
      <c r="J40" s="30"/>
      <c r="K40" s="30"/>
      <c r="L40" s="29">
        <v>192600</v>
      </c>
      <c r="M40" s="30">
        <v>0</v>
      </c>
      <c r="N40" s="30"/>
      <c r="O40" s="30">
        <v>16600</v>
      </c>
      <c r="P40" s="30">
        <v>0</v>
      </c>
      <c r="Q40" s="30"/>
      <c r="R40" s="30">
        <v>0</v>
      </c>
      <c r="S40" s="30">
        <v>0</v>
      </c>
      <c r="T40" s="30"/>
      <c r="U40" s="30">
        <v>0</v>
      </c>
      <c r="V40" s="31">
        <v>0</v>
      </c>
    </row>
    <row r="41" spans="1:22">
      <c r="A41" s="1" t="s">
        <v>62</v>
      </c>
      <c r="B41" s="29">
        <v>3585992.1221347293</v>
      </c>
      <c r="C41" s="30">
        <v>315304.01980564836</v>
      </c>
      <c r="D41" s="30">
        <v>0</v>
      </c>
      <c r="E41" s="30">
        <v>481454.88721310091</v>
      </c>
      <c r="F41" s="30">
        <v>0</v>
      </c>
      <c r="G41" s="31">
        <f>SUM(OH_FINANCIAL)</f>
        <v>4382751.0291534783</v>
      </c>
      <c r="H41" s="30"/>
      <c r="I41" s="30"/>
      <c r="J41" s="30"/>
      <c r="K41" s="30"/>
      <c r="L41" s="29">
        <v>3500000</v>
      </c>
      <c r="M41" s="30">
        <v>0</v>
      </c>
      <c r="N41" s="30"/>
      <c r="O41" s="30">
        <v>200000</v>
      </c>
      <c r="P41" s="30">
        <v>0</v>
      </c>
      <c r="Q41" s="30"/>
      <c r="R41" s="30">
        <v>0</v>
      </c>
      <c r="S41" s="30">
        <v>0</v>
      </c>
      <c r="T41" s="30"/>
      <c r="U41" s="30">
        <v>3000000</v>
      </c>
      <c r="V41" s="31">
        <v>2500000</v>
      </c>
    </row>
    <row r="42" spans="1:22">
      <c r="A42" s="1" t="s">
        <v>63</v>
      </c>
      <c r="B42" s="29">
        <v>410169.41005632852</v>
      </c>
      <c r="C42" s="30">
        <v>258100.05506558172</v>
      </c>
      <c r="D42" s="30">
        <v>0</v>
      </c>
      <c r="E42" s="30">
        <v>0</v>
      </c>
      <c r="F42" s="30">
        <v>0</v>
      </c>
      <c r="G42" s="31">
        <f>SUM(OK_FINANCIAL)</f>
        <v>668269.46512191021</v>
      </c>
      <c r="H42" s="30"/>
      <c r="I42" s="30"/>
      <c r="J42" s="30"/>
      <c r="K42" s="30"/>
      <c r="L42" s="29">
        <v>768000</v>
      </c>
      <c r="M42" s="30">
        <v>160000</v>
      </c>
      <c r="N42" s="30"/>
      <c r="O42" s="30">
        <v>432000</v>
      </c>
      <c r="P42" s="30">
        <v>90000</v>
      </c>
      <c r="Q42" s="30"/>
      <c r="R42" s="30">
        <v>0</v>
      </c>
      <c r="S42" s="30">
        <v>0</v>
      </c>
      <c r="T42" s="30"/>
      <c r="U42" s="30">
        <v>0</v>
      </c>
      <c r="V42" s="31">
        <v>0</v>
      </c>
    </row>
    <row r="43" spans="1:22">
      <c r="A43" s="1" t="s">
        <v>64</v>
      </c>
      <c r="B43" s="29">
        <v>490940.04214307887</v>
      </c>
      <c r="C43" s="30">
        <v>3307.6975564176892</v>
      </c>
      <c r="D43" s="30">
        <v>0</v>
      </c>
      <c r="E43" s="30">
        <v>0</v>
      </c>
      <c r="F43" s="30">
        <v>0</v>
      </c>
      <c r="G43" s="31">
        <f>SUM(OR_FINANCIAL)</f>
        <v>494247.73969949654</v>
      </c>
      <c r="H43" s="30"/>
      <c r="I43" s="30"/>
      <c r="J43" s="30"/>
      <c r="K43" s="30"/>
      <c r="L43" s="29">
        <v>619914</v>
      </c>
      <c r="M43" s="30">
        <v>0</v>
      </c>
      <c r="N43" s="30"/>
      <c r="O43" s="30">
        <v>0</v>
      </c>
      <c r="P43" s="30">
        <v>0</v>
      </c>
      <c r="Q43" s="30"/>
      <c r="R43" s="30">
        <v>0</v>
      </c>
      <c r="S43" s="30">
        <v>0</v>
      </c>
      <c r="T43" s="30"/>
      <c r="U43" s="30">
        <v>0</v>
      </c>
      <c r="V43" s="31">
        <v>0</v>
      </c>
    </row>
    <row r="44" spans="1:22">
      <c r="A44" s="1" t="s">
        <v>65</v>
      </c>
      <c r="B44" s="29">
        <v>4846863.6182279177</v>
      </c>
      <c r="C44" s="30">
        <v>772328.39742092928</v>
      </c>
      <c r="D44" s="30">
        <v>0</v>
      </c>
      <c r="E44" s="30">
        <v>1538614.18334295</v>
      </c>
      <c r="F44" s="30">
        <v>0</v>
      </c>
      <c r="G44" s="31">
        <f>SUM(PA_FINANCIAL)</f>
        <v>7157806.1989917979</v>
      </c>
      <c r="H44" s="30"/>
      <c r="I44" s="30"/>
      <c r="J44" s="30"/>
      <c r="K44" s="30"/>
      <c r="L44" s="29">
        <v>4460640</v>
      </c>
      <c r="M44" s="30">
        <v>0</v>
      </c>
      <c r="N44" s="30"/>
      <c r="O44" s="30">
        <v>5736310</v>
      </c>
      <c r="P44" s="30">
        <v>0</v>
      </c>
      <c r="Q44" s="30"/>
      <c r="R44" s="30">
        <v>803050</v>
      </c>
      <c r="S44" s="30">
        <v>0</v>
      </c>
      <c r="T44" s="30"/>
      <c r="U44" s="30">
        <v>0</v>
      </c>
      <c r="V44" s="31">
        <v>0</v>
      </c>
    </row>
    <row r="45" spans="1:22">
      <c r="A45" s="1" t="s">
        <v>66</v>
      </c>
      <c r="B45" s="29">
        <v>0</v>
      </c>
      <c r="C45" s="30">
        <v>0</v>
      </c>
      <c r="D45" s="30">
        <v>0</v>
      </c>
      <c r="E45" s="30">
        <v>0</v>
      </c>
      <c r="F45" s="30">
        <v>0</v>
      </c>
      <c r="G45" s="31">
        <f>SUM(PR_FINANCIAL)</f>
        <v>0</v>
      </c>
      <c r="H45" s="30"/>
      <c r="I45" s="30"/>
      <c r="J45" s="30"/>
      <c r="K45" s="30"/>
      <c r="L45" s="29">
        <v>14808</v>
      </c>
      <c r="M45" s="30">
        <v>0</v>
      </c>
      <c r="N45" s="30"/>
      <c r="O45" s="30">
        <v>0</v>
      </c>
      <c r="P45" s="30">
        <v>0</v>
      </c>
      <c r="Q45" s="30"/>
      <c r="R45" s="30">
        <v>0</v>
      </c>
      <c r="S45" s="30">
        <v>0</v>
      </c>
      <c r="T45" s="30"/>
      <c r="U45" s="30">
        <v>0</v>
      </c>
      <c r="V45" s="31">
        <v>0</v>
      </c>
    </row>
    <row r="46" spans="1:22">
      <c r="A46" s="1" t="s">
        <v>67</v>
      </c>
      <c r="B46" s="29">
        <v>336135.66800992435</v>
      </c>
      <c r="C46" s="30">
        <v>0</v>
      </c>
      <c r="D46" s="30">
        <v>0</v>
      </c>
      <c r="E46" s="30">
        <v>0</v>
      </c>
      <c r="F46" s="30">
        <v>0</v>
      </c>
      <c r="G46" s="31">
        <f>SUM(RI_FINANCIAL)</f>
        <v>336135.66800992435</v>
      </c>
      <c r="H46" s="30"/>
      <c r="I46" s="30"/>
      <c r="J46" s="30"/>
      <c r="K46" s="30"/>
      <c r="L46" s="29">
        <v>427727</v>
      </c>
      <c r="M46" s="30">
        <v>0</v>
      </c>
      <c r="N46" s="30"/>
      <c r="O46" s="30">
        <v>0</v>
      </c>
      <c r="P46" s="30">
        <v>0</v>
      </c>
      <c r="Q46" s="30"/>
      <c r="R46" s="30">
        <v>0</v>
      </c>
      <c r="S46" s="30">
        <v>0</v>
      </c>
      <c r="T46" s="30"/>
      <c r="U46" s="30">
        <v>0</v>
      </c>
      <c r="V46" s="31">
        <v>0</v>
      </c>
    </row>
    <row r="47" spans="1:22">
      <c r="A47" s="1" t="s">
        <v>68</v>
      </c>
      <c r="B47" s="29">
        <v>844274.53144225897</v>
      </c>
      <c r="C47" s="30">
        <v>200549.89022030809</v>
      </c>
      <c r="D47" s="30">
        <v>0</v>
      </c>
      <c r="E47" s="30">
        <v>0</v>
      </c>
      <c r="F47" s="30">
        <v>0</v>
      </c>
      <c r="G47" s="31">
        <f>SUM(SC_FINANCIAL)</f>
        <v>1044824.4216625671</v>
      </c>
      <c r="H47" s="30"/>
      <c r="I47" s="30"/>
      <c r="J47" s="30"/>
      <c r="K47" s="30"/>
      <c r="L47" s="29">
        <v>928000</v>
      </c>
      <c r="M47" s="30">
        <v>0</v>
      </c>
      <c r="N47" s="30"/>
      <c r="O47" s="30">
        <v>72000</v>
      </c>
      <c r="P47" s="30">
        <v>0</v>
      </c>
      <c r="Q47" s="30"/>
      <c r="R47" s="30">
        <v>0</v>
      </c>
      <c r="S47" s="30">
        <v>0</v>
      </c>
      <c r="T47" s="30"/>
      <c r="U47" s="30">
        <v>0</v>
      </c>
      <c r="V47" s="31">
        <v>0</v>
      </c>
    </row>
    <row r="48" spans="1:22">
      <c r="A48" s="1" t="s">
        <v>69</v>
      </c>
      <c r="B48" s="29">
        <v>132123.37629983868</v>
      </c>
      <c r="C48" s="30">
        <v>0</v>
      </c>
      <c r="D48" s="30">
        <v>0</v>
      </c>
      <c r="E48" s="30">
        <v>0</v>
      </c>
      <c r="F48" s="30">
        <v>0</v>
      </c>
      <c r="G48" s="31">
        <f>SUM(SD_FINANCIAL)</f>
        <v>132123.37629983868</v>
      </c>
      <c r="H48" s="30"/>
      <c r="I48" s="30"/>
      <c r="J48" s="30"/>
      <c r="K48" s="30"/>
      <c r="L48" s="29">
        <v>181962</v>
      </c>
      <c r="M48" s="30">
        <v>0</v>
      </c>
      <c r="N48" s="30"/>
      <c r="O48" s="30">
        <v>0</v>
      </c>
      <c r="P48" s="30">
        <v>0</v>
      </c>
      <c r="Q48" s="30"/>
      <c r="R48" s="30">
        <v>0</v>
      </c>
      <c r="S48" s="30">
        <v>0</v>
      </c>
      <c r="T48" s="30"/>
      <c r="U48" s="30">
        <v>0</v>
      </c>
      <c r="V48" s="31">
        <v>0</v>
      </c>
    </row>
    <row r="49" spans="1:22">
      <c r="A49" s="1" t="s">
        <v>70</v>
      </c>
      <c r="B49" s="29">
        <v>589585.75095035997</v>
      </c>
      <c r="C49" s="30">
        <v>14063.664009104332</v>
      </c>
      <c r="D49" s="30">
        <v>0</v>
      </c>
      <c r="E49" s="30">
        <v>0</v>
      </c>
      <c r="F49" s="30">
        <v>0</v>
      </c>
      <c r="G49" s="31">
        <f>SUM(TN_FINANCIAL)</f>
        <v>603649.41495946434</v>
      </c>
      <c r="H49" s="30"/>
      <c r="I49" s="30"/>
      <c r="J49" s="30"/>
      <c r="K49" s="30"/>
      <c r="L49" s="29">
        <v>800000</v>
      </c>
      <c r="M49" s="30">
        <v>0</v>
      </c>
      <c r="N49" s="30"/>
      <c r="O49" s="30">
        <v>15000</v>
      </c>
      <c r="P49" s="30">
        <v>0</v>
      </c>
      <c r="Q49" s="30"/>
      <c r="R49" s="30">
        <v>0</v>
      </c>
      <c r="S49" s="30">
        <v>0</v>
      </c>
      <c r="T49" s="30"/>
      <c r="U49" s="30">
        <v>0</v>
      </c>
      <c r="V49" s="31">
        <v>0</v>
      </c>
    </row>
    <row r="50" spans="1:22">
      <c r="A50" s="1" t="s">
        <v>71</v>
      </c>
      <c r="B50" s="29">
        <v>4940302.6584821995</v>
      </c>
      <c r="C50" s="30">
        <v>1145849.2949819188</v>
      </c>
      <c r="D50" s="30">
        <v>0</v>
      </c>
      <c r="E50" s="30">
        <v>2829708.7647490716</v>
      </c>
      <c r="F50" s="30">
        <v>0</v>
      </c>
      <c r="G50" s="31">
        <f>SUM(TX_FINANCIAL)</f>
        <v>8915860.7182131894</v>
      </c>
      <c r="H50" s="30"/>
      <c r="I50" s="30"/>
      <c r="J50" s="30"/>
      <c r="K50" s="30"/>
      <c r="L50" s="29">
        <v>7943606</v>
      </c>
      <c r="M50" s="30">
        <v>2763533.6333499998</v>
      </c>
      <c r="N50" s="30"/>
      <c r="O50" s="30">
        <v>3266771</v>
      </c>
      <c r="P50" s="30">
        <v>1029679.6889800001</v>
      </c>
      <c r="Q50" s="30"/>
      <c r="R50" s="30">
        <v>1337174</v>
      </c>
      <c r="S50" s="30">
        <v>421519.62767000002</v>
      </c>
      <c r="T50" s="30"/>
      <c r="U50" s="30">
        <v>0</v>
      </c>
      <c r="V50" s="31">
        <v>0</v>
      </c>
    </row>
    <row r="51" spans="1:22">
      <c r="A51" s="1" t="s">
        <v>72</v>
      </c>
      <c r="B51" s="29">
        <v>340421.35796203499</v>
      </c>
      <c r="C51" s="30">
        <v>69358.267657500081</v>
      </c>
      <c r="D51" s="30">
        <v>0</v>
      </c>
      <c r="E51" s="30">
        <v>72.716908959676857</v>
      </c>
      <c r="F51" s="30">
        <v>0</v>
      </c>
      <c r="G51" s="31">
        <f>SUM(UT_FINANCIAL)</f>
        <v>409852.34252849477</v>
      </c>
      <c r="H51" s="30"/>
      <c r="I51" s="30"/>
      <c r="J51" s="30"/>
      <c r="K51" s="30"/>
      <c r="L51" s="29">
        <v>591592</v>
      </c>
      <c r="M51" s="30">
        <v>0</v>
      </c>
      <c r="N51" s="30"/>
      <c r="O51" s="30">
        <v>97832</v>
      </c>
      <c r="P51" s="30">
        <v>0</v>
      </c>
      <c r="Q51" s="30"/>
      <c r="R51" s="30">
        <v>250</v>
      </c>
      <c r="S51" s="30">
        <v>0</v>
      </c>
      <c r="T51" s="30"/>
      <c r="U51" s="30">
        <v>0</v>
      </c>
      <c r="V51" s="31">
        <v>0</v>
      </c>
    </row>
    <row r="52" spans="1:22">
      <c r="A52" s="1" t="s">
        <v>73</v>
      </c>
      <c r="B52" s="29">
        <v>48628.380846166881</v>
      </c>
      <c r="C52" s="30">
        <v>2813.8426878663549</v>
      </c>
      <c r="D52" s="30">
        <v>0</v>
      </c>
      <c r="E52" s="30">
        <v>0</v>
      </c>
      <c r="F52" s="30">
        <v>0</v>
      </c>
      <c r="G52" s="31">
        <f>SUM(VT_FINANCIAL)</f>
        <v>51442.223534033234</v>
      </c>
      <c r="H52" s="30"/>
      <c r="I52" s="30"/>
      <c r="J52" s="30"/>
      <c r="K52" s="30"/>
      <c r="L52" s="29">
        <v>81000</v>
      </c>
      <c r="M52" s="30">
        <v>0</v>
      </c>
      <c r="N52" s="30"/>
      <c r="O52" s="30">
        <v>6000</v>
      </c>
      <c r="P52" s="30">
        <v>0</v>
      </c>
      <c r="Q52" s="30"/>
      <c r="R52" s="30">
        <v>0</v>
      </c>
      <c r="S52" s="30">
        <v>0</v>
      </c>
      <c r="T52" s="30"/>
      <c r="U52" s="30">
        <v>0</v>
      </c>
      <c r="V52" s="31">
        <v>0</v>
      </c>
    </row>
    <row r="53" spans="1:22">
      <c r="A53" s="1" t="s">
        <v>74</v>
      </c>
      <c r="B53" s="29">
        <v>758017.40106835263</v>
      </c>
      <c r="C53" s="30">
        <v>5759.1419402080737</v>
      </c>
      <c r="D53" s="30">
        <v>0</v>
      </c>
      <c r="E53" s="30">
        <v>0</v>
      </c>
      <c r="F53" s="30">
        <v>0</v>
      </c>
      <c r="G53" s="31">
        <f>SUM(VA_FINANCIAL)</f>
        <v>763776.54300856066</v>
      </c>
      <c r="H53" s="30"/>
      <c r="I53" s="30"/>
      <c r="J53" s="30"/>
      <c r="K53" s="30"/>
      <c r="L53" s="29">
        <v>2000000</v>
      </c>
      <c r="M53" s="30">
        <v>2556164</v>
      </c>
      <c r="N53" s="30"/>
      <c r="O53" s="30">
        <v>85000</v>
      </c>
      <c r="P53" s="30">
        <v>0</v>
      </c>
      <c r="Q53" s="30"/>
      <c r="R53" s="30">
        <v>0</v>
      </c>
      <c r="S53" s="30">
        <v>0</v>
      </c>
      <c r="T53" s="30"/>
      <c r="U53" s="30">
        <v>0</v>
      </c>
      <c r="V53" s="31">
        <v>0</v>
      </c>
    </row>
    <row r="54" spans="1:22">
      <c r="A54" s="1" t="s">
        <v>75</v>
      </c>
      <c r="B54" s="29">
        <v>898985.55433335283</v>
      </c>
      <c r="C54" s="30">
        <v>221020.68532045238</v>
      </c>
      <c r="D54" s="30">
        <v>0</v>
      </c>
      <c r="E54" s="30">
        <v>0</v>
      </c>
      <c r="F54" s="30">
        <v>0</v>
      </c>
      <c r="G54" s="31">
        <f>SUM(WA_FINANCIAL)</f>
        <v>1120006.2396538053</v>
      </c>
      <c r="H54" s="30"/>
      <c r="I54" s="30"/>
      <c r="J54" s="30"/>
      <c r="K54" s="30"/>
      <c r="L54" s="29">
        <v>1175000</v>
      </c>
      <c r="M54" s="30">
        <v>315235</v>
      </c>
      <c r="N54" s="30"/>
      <c r="O54" s="30">
        <v>400000</v>
      </c>
      <c r="P54" s="30">
        <v>288326</v>
      </c>
      <c r="Q54" s="30"/>
      <c r="R54" s="30">
        <v>0</v>
      </c>
      <c r="S54" s="30">
        <v>0</v>
      </c>
      <c r="T54" s="30"/>
      <c r="U54" s="30">
        <v>0</v>
      </c>
      <c r="V54" s="31">
        <v>0</v>
      </c>
    </row>
    <row r="55" spans="1:22">
      <c r="A55" s="1" t="s">
        <v>76</v>
      </c>
      <c r="B55" s="29">
        <v>94345.308271840273</v>
      </c>
      <c r="C55" s="30">
        <v>1053.384859884105</v>
      </c>
      <c r="D55" s="30">
        <v>0</v>
      </c>
      <c r="E55" s="30">
        <v>0</v>
      </c>
      <c r="F55" s="30">
        <v>0</v>
      </c>
      <c r="G55" s="31">
        <f>SUM(WV_FINANCIAL)</f>
        <v>95398.693131724373</v>
      </c>
      <c r="H55" s="30"/>
      <c r="I55" s="30"/>
      <c r="J55" s="30"/>
      <c r="K55" s="30"/>
      <c r="L55" s="29">
        <v>157506</v>
      </c>
      <c r="M55" s="30">
        <v>86553</v>
      </c>
      <c r="N55" s="30"/>
      <c r="O55" s="30">
        <v>101999</v>
      </c>
      <c r="P55" s="30">
        <v>24519</v>
      </c>
      <c r="Q55" s="30"/>
      <c r="R55" s="30">
        <v>0</v>
      </c>
      <c r="S55" s="30">
        <v>0</v>
      </c>
      <c r="T55" s="30"/>
      <c r="U55" s="30">
        <v>0</v>
      </c>
      <c r="V55" s="31">
        <v>0</v>
      </c>
    </row>
    <row r="56" spans="1:22">
      <c r="A56" s="1" t="s">
        <v>77</v>
      </c>
      <c r="B56" s="29">
        <v>200805.41480724691</v>
      </c>
      <c r="C56" s="30">
        <v>199010.16854199956</v>
      </c>
      <c r="D56" s="30">
        <v>0</v>
      </c>
      <c r="E56" s="30">
        <v>0</v>
      </c>
      <c r="F56" s="30">
        <v>0</v>
      </c>
      <c r="G56" s="31">
        <f>SUM(WI_FINANCIAL)</f>
        <v>399815.58334924647</v>
      </c>
      <c r="H56" s="30"/>
      <c r="I56" s="30"/>
      <c r="J56" s="30"/>
      <c r="K56" s="30"/>
      <c r="L56" s="29">
        <v>420000</v>
      </c>
      <c r="M56" s="30">
        <v>0</v>
      </c>
      <c r="N56" s="30"/>
      <c r="O56" s="30">
        <v>320000</v>
      </c>
      <c r="P56" s="30">
        <v>0</v>
      </c>
      <c r="Q56" s="30"/>
      <c r="R56" s="30">
        <v>0</v>
      </c>
      <c r="S56" s="30">
        <v>0</v>
      </c>
      <c r="T56" s="30"/>
      <c r="U56" s="30">
        <v>0</v>
      </c>
      <c r="V56" s="31">
        <v>0</v>
      </c>
    </row>
    <row r="57" spans="1:22">
      <c r="A57" s="1" t="s">
        <v>78</v>
      </c>
      <c r="B57" s="29">
        <v>126241.63883353157</v>
      </c>
      <c r="C57" s="30">
        <v>13597.92624909637</v>
      </c>
      <c r="D57" s="30">
        <v>0</v>
      </c>
      <c r="E57" s="30">
        <v>0</v>
      </c>
      <c r="F57" s="30">
        <v>0</v>
      </c>
      <c r="G57" s="31">
        <f>SUM(WY_FINANCIAL)</f>
        <v>139839.56508262793</v>
      </c>
      <c r="H57" s="30"/>
      <c r="I57" s="30"/>
      <c r="J57" s="30"/>
      <c r="K57" s="30"/>
      <c r="L57" s="29">
        <v>150150</v>
      </c>
      <c r="M57" s="30">
        <v>299619</v>
      </c>
      <c r="N57" s="30"/>
      <c r="O57" s="30">
        <v>200600</v>
      </c>
      <c r="P57" s="30">
        <v>74905</v>
      </c>
      <c r="Q57" s="30"/>
      <c r="R57" s="30">
        <v>0</v>
      </c>
      <c r="S57" s="30">
        <v>0</v>
      </c>
      <c r="T57" s="30"/>
      <c r="U57" s="30">
        <v>0</v>
      </c>
      <c r="V57" s="31">
        <v>0</v>
      </c>
    </row>
    <row r="58" spans="1:22">
      <c r="A58" s="1" t="s">
        <v>79</v>
      </c>
      <c r="B58" s="29">
        <v>0</v>
      </c>
      <c r="C58" s="30">
        <v>0</v>
      </c>
      <c r="D58" s="30">
        <v>0</v>
      </c>
      <c r="E58" s="30">
        <v>0</v>
      </c>
      <c r="F58" s="30">
        <v>0</v>
      </c>
      <c r="G58" s="31">
        <f>SUM(OT_FINANCIAL)</f>
        <v>0</v>
      </c>
      <c r="H58" s="30"/>
      <c r="I58" s="30"/>
      <c r="J58" s="30"/>
      <c r="K58" s="30"/>
      <c r="L58" s="29"/>
      <c r="M58" s="30"/>
      <c r="N58" s="30"/>
      <c r="O58" s="30"/>
      <c r="P58" s="30"/>
      <c r="Q58" s="30"/>
      <c r="R58" s="30"/>
      <c r="S58" s="30"/>
      <c r="T58" s="30"/>
      <c r="U58" s="30"/>
      <c r="V58" s="31"/>
    </row>
    <row r="59" spans="1:22">
      <c r="B59" s="29"/>
      <c r="C59" s="30"/>
      <c r="D59" s="30"/>
      <c r="E59" s="30"/>
      <c r="F59" s="30"/>
      <c r="G59" s="31"/>
      <c r="H59" s="30"/>
      <c r="I59" s="30"/>
      <c r="J59" s="30"/>
      <c r="K59" s="30"/>
      <c r="L59" s="29"/>
      <c r="M59" s="30"/>
      <c r="N59" s="30"/>
      <c r="O59" s="30"/>
      <c r="P59" s="30"/>
      <c r="Q59" s="30"/>
      <c r="R59" s="30"/>
      <c r="S59" s="30"/>
      <c r="T59" s="30"/>
      <c r="U59" s="30"/>
      <c r="V59" s="31"/>
    </row>
    <row r="60" spans="1:22">
      <c r="A60" s="1" t="s">
        <v>8</v>
      </c>
      <c r="B60" s="29">
        <f>SUM(LIFE)</f>
        <v>71930182.822873682</v>
      </c>
      <c r="C60" s="30">
        <f>SUM(ALLOCATED)</f>
        <v>17952481.911415406</v>
      </c>
      <c r="D60" s="30">
        <f>SUM(HEALTH)</f>
        <v>0</v>
      </c>
      <c r="E60" s="30">
        <f>SUM(UNALLOCATED)</f>
        <v>17889139.495081443</v>
      </c>
      <c r="F60" s="30">
        <f>SUM(LTC)</f>
        <v>0</v>
      </c>
      <c r="G60" s="31">
        <f>SUM(ALL_BLOCKS)</f>
        <v>107771804.22937047</v>
      </c>
      <c r="H60" s="30"/>
      <c r="I60" s="30"/>
      <c r="J60" s="30"/>
      <c r="K60" s="30"/>
      <c r="L60" s="29">
        <f>SUM(LIFE_CALLED)</f>
        <v>90759188</v>
      </c>
      <c r="M60" s="30">
        <f>SUM(LIFE_REFUNDED)</f>
        <v>25834985.63335</v>
      </c>
      <c r="N60" s="30"/>
      <c r="O60" s="30">
        <f>SUM(ALLOC_CALLED)</f>
        <v>37166103</v>
      </c>
      <c r="P60" s="30">
        <f>SUM(ALLOC_REFUNDED)</f>
        <v>19867169.688979998</v>
      </c>
      <c r="Q60" s="30"/>
      <c r="R60" s="30">
        <f>SUM(HEALTH_CALLED)</f>
        <v>4032883</v>
      </c>
      <c r="S60" s="30">
        <f>SUM(HEALTH_REFUNDED)</f>
        <v>643059.62767000007</v>
      </c>
      <c r="T60" s="30"/>
      <c r="U60" s="30">
        <f>SUM(UNALLOC_CALLED)</f>
        <v>41826413</v>
      </c>
      <c r="V60" s="31">
        <f>SUM(UNALLOC_REFUNDED)</f>
        <v>17982766.469999999</v>
      </c>
    </row>
    <row r="61" spans="1:22" ht="5.0999999999999996" customHeight="1">
      <c r="B61" s="8"/>
      <c r="G61" s="11"/>
      <c r="L61" s="8"/>
      <c r="V61" s="11"/>
    </row>
    <row r="62" spans="1:22">
      <c r="B62" s="8"/>
      <c r="G62" s="11"/>
      <c r="L62" s="122" t="s">
        <v>80</v>
      </c>
      <c r="M62" s="123"/>
      <c r="N62" s="123"/>
      <c r="O62" s="123"/>
      <c r="P62" s="123"/>
      <c r="Q62" s="123"/>
      <c r="R62" s="123"/>
      <c r="S62" s="123"/>
      <c r="T62" s="123"/>
      <c r="U62" s="123"/>
      <c r="V62" s="124"/>
    </row>
    <row r="63" spans="1:22">
      <c r="B63" s="8"/>
      <c r="G63" s="11"/>
      <c r="L63" s="125"/>
      <c r="M63" s="123"/>
      <c r="N63" s="123"/>
      <c r="O63" s="123"/>
      <c r="P63" s="123"/>
      <c r="Q63" s="123"/>
      <c r="R63" s="123"/>
      <c r="S63" s="123"/>
      <c r="T63" s="123"/>
      <c r="U63" s="123"/>
      <c r="V63" s="124"/>
    </row>
    <row r="64" spans="1:22">
      <c r="B64" s="10"/>
      <c r="C64" s="7"/>
      <c r="D64" s="7"/>
      <c r="E64" s="7"/>
      <c r="F64" s="7"/>
      <c r="G64" s="13"/>
      <c r="L64" s="126"/>
      <c r="M64" s="127"/>
      <c r="N64" s="127"/>
      <c r="O64" s="127"/>
      <c r="P64" s="127"/>
      <c r="Q64" s="127"/>
      <c r="R64" s="127"/>
      <c r="S64" s="127"/>
      <c r="T64" s="127"/>
      <c r="U64" s="127"/>
      <c r="V64" s="128"/>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pageSetUpPr fitToPage="1"/>
  </sheetPr>
  <dimension ref="A1:V64"/>
  <sheetViews>
    <sheetView zoomScale="75" workbookViewId="0">
      <selection sqref="A1:XFD1048576"/>
    </sheetView>
  </sheetViews>
  <sheetFormatPr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129" t="s">
        <v>127</v>
      </c>
      <c r="B1" s="123"/>
      <c r="C1" s="123"/>
      <c r="D1" s="123"/>
      <c r="E1" s="123"/>
      <c r="F1" s="123"/>
      <c r="G1" s="123"/>
    </row>
    <row r="3" spans="1:22">
      <c r="B3" s="130" t="s">
        <v>1</v>
      </c>
      <c r="C3" s="131"/>
      <c r="D3" s="131"/>
      <c r="E3" s="131"/>
      <c r="F3" s="131"/>
      <c r="G3" s="132"/>
      <c r="L3" s="133" t="s">
        <v>2</v>
      </c>
      <c r="M3" s="134"/>
      <c r="N3" s="134"/>
      <c r="O3" s="134"/>
      <c r="P3" s="134"/>
      <c r="Q3" s="134"/>
      <c r="R3" s="134"/>
      <c r="S3" s="134"/>
      <c r="T3" s="134"/>
      <c r="U3" s="134"/>
      <c r="V3" s="135"/>
    </row>
    <row r="4" spans="1:22">
      <c r="B4" s="8"/>
      <c r="G4" s="11"/>
      <c r="L4" s="136" t="s">
        <v>3</v>
      </c>
      <c r="M4" s="137"/>
      <c r="N4" s="4"/>
      <c r="O4" s="138" t="s">
        <v>4</v>
      </c>
      <c r="P4" s="137"/>
      <c r="Q4" s="4"/>
      <c r="R4" s="138" t="s">
        <v>5</v>
      </c>
      <c r="S4" s="137"/>
      <c r="T4" s="4"/>
      <c r="U4" s="138" t="s">
        <v>6</v>
      </c>
      <c r="V4" s="139"/>
    </row>
    <row r="5" spans="1:22" ht="60" customHeight="1">
      <c r="B5" s="9" t="s">
        <v>3</v>
      </c>
      <c r="C5" s="5" t="s">
        <v>4</v>
      </c>
      <c r="D5" s="5" t="s">
        <v>5</v>
      </c>
      <c r="E5" s="5" t="s">
        <v>6</v>
      </c>
      <c r="F5" s="5" t="s">
        <v>7</v>
      </c>
      <c r="G5" s="12" t="s">
        <v>8</v>
      </c>
      <c r="L5" s="15" t="s">
        <v>9</v>
      </c>
      <c r="M5" s="14" t="s">
        <v>10</v>
      </c>
      <c r="N5" s="14"/>
      <c r="O5" s="14" t="s">
        <v>9</v>
      </c>
      <c r="P5" s="14" t="s">
        <v>10</v>
      </c>
      <c r="Q5" s="14"/>
      <c r="R5" s="14" t="s">
        <v>9</v>
      </c>
      <c r="S5" s="14" t="s">
        <v>10</v>
      </c>
      <c r="T5" s="14"/>
      <c r="U5" s="14" t="s">
        <v>9</v>
      </c>
      <c r="V5" s="16" t="s">
        <v>10</v>
      </c>
    </row>
    <row r="6" spans="1:22">
      <c r="A6" s="1" t="s">
        <v>11</v>
      </c>
      <c r="B6" s="29">
        <v>1447.6828388237245</v>
      </c>
      <c r="C6" s="30">
        <v>0</v>
      </c>
      <c r="D6" s="30">
        <v>0</v>
      </c>
      <c r="E6" s="30">
        <v>0</v>
      </c>
      <c r="F6" s="30">
        <v>0</v>
      </c>
      <c r="G6" s="31">
        <f>SUM(AL_FINANCIAL)</f>
        <v>1447.6828388237245</v>
      </c>
      <c r="H6" s="30"/>
      <c r="I6" s="30"/>
      <c r="J6" s="30"/>
      <c r="K6" s="30"/>
      <c r="L6" s="29"/>
      <c r="M6" s="30"/>
      <c r="N6" s="30"/>
      <c r="O6" s="30"/>
      <c r="P6" s="30"/>
      <c r="Q6" s="30"/>
      <c r="R6" s="30"/>
      <c r="S6" s="30"/>
      <c r="T6" s="30"/>
      <c r="U6" s="30"/>
      <c r="V6" s="31"/>
    </row>
    <row r="7" spans="1:22">
      <c r="A7" s="1" t="s">
        <v>12</v>
      </c>
      <c r="B7" s="29">
        <v>602</v>
      </c>
      <c r="C7" s="30">
        <v>0</v>
      </c>
      <c r="D7" s="30">
        <v>0</v>
      </c>
      <c r="E7" s="30">
        <v>0</v>
      </c>
      <c r="F7" s="30">
        <v>0</v>
      </c>
      <c r="G7" s="31">
        <f>SUM(AK_FINANCIAL)</f>
        <v>602</v>
      </c>
      <c r="H7" s="30"/>
      <c r="I7" s="32"/>
      <c r="J7" s="33"/>
      <c r="K7" s="30"/>
      <c r="L7" s="29"/>
      <c r="M7" s="30"/>
      <c r="N7" s="30"/>
      <c r="O7" s="30"/>
      <c r="P7" s="30"/>
      <c r="Q7" s="30"/>
      <c r="R7" s="30"/>
      <c r="S7" s="30"/>
      <c r="T7" s="30"/>
      <c r="U7" s="30"/>
      <c r="V7" s="31"/>
    </row>
    <row r="8" spans="1:22">
      <c r="A8" s="1" t="s">
        <v>13</v>
      </c>
      <c r="B8" s="29">
        <v>82122.277088855219</v>
      </c>
      <c r="C8" s="30">
        <v>49145.865187966992</v>
      </c>
      <c r="D8" s="30">
        <v>0</v>
      </c>
      <c r="E8" s="30">
        <v>0</v>
      </c>
      <c r="F8" s="30">
        <v>0</v>
      </c>
      <c r="G8" s="31">
        <f>SUM(AZ_FINANCIAL)</f>
        <v>131268.14227682221</v>
      </c>
      <c r="H8" s="30"/>
      <c r="I8" s="34" t="s">
        <v>14</v>
      </c>
      <c r="J8" s="35"/>
      <c r="K8" s="30"/>
      <c r="L8" s="29"/>
      <c r="M8" s="30"/>
      <c r="N8" s="30"/>
      <c r="O8" s="30"/>
      <c r="P8" s="30"/>
      <c r="Q8" s="30"/>
      <c r="R8" s="30"/>
      <c r="S8" s="30"/>
      <c r="T8" s="30"/>
      <c r="U8" s="30"/>
      <c r="V8" s="31"/>
    </row>
    <row r="9" spans="1:22">
      <c r="A9" s="1" t="s">
        <v>15</v>
      </c>
      <c r="B9" s="29">
        <v>13532.603127788992</v>
      </c>
      <c r="C9" s="30">
        <v>12683.963821730751</v>
      </c>
      <c r="D9" s="30">
        <v>0</v>
      </c>
      <c r="E9" s="30">
        <v>0</v>
      </c>
      <c r="F9" s="30">
        <v>0</v>
      </c>
      <c r="G9" s="31">
        <f>SUM(AR_FINANCIAL)</f>
        <v>26216.566949519744</v>
      </c>
      <c r="H9" s="30"/>
      <c r="I9" s="34"/>
      <c r="J9" s="35"/>
      <c r="K9" s="30"/>
      <c r="L9" s="29">
        <v>70158</v>
      </c>
      <c r="M9" s="30">
        <v>0</v>
      </c>
      <c r="N9" s="30"/>
      <c r="O9" s="30">
        <v>0</v>
      </c>
      <c r="P9" s="30">
        <v>0</v>
      </c>
      <c r="Q9" s="30"/>
      <c r="R9" s="30">
        <v>0</v>
      </c>
      <c r="S9" s="30">
        <v>0</v>
      </c>
      <c r="T9" s="30"/>
      <c r="U9" s="30">
        <v>0</v>
      </c>
      <c r="V9" s="31">
        <v>0</v>
      </c>
    </row>
    <row r="10" spans="1:22">
      <c r="A10" s="1" t="s">
        <v>16</v>
      </c>
      <c r="B10" s="29">
        <v>170118.25012718188</v>
      </c>
      <c r="C10" s="30">
        <v>24520.92575714807</v>
      </c>
      <c r="D10" s="30">
        <v>0</v>
      </c>
      <c r="E10" s="30">
        <v>0</v>
      </c>
      <c r="F10" s="30">
        <v>0</v>
      </c>
      <c r="G10" s="31">
        <f>SUM(CA_FINANCIAL)</f>
        <v>194639.17588432995</v>
      </c>
      <c r="H10" s="30"/>
      <c r="I10" s="34" t="s">
        <v>17</v>
      </c>
      <c r="J10" s="35">
        <v>12183752</v>
      </c>
      <c r="K10" s="30"/>
      <c r="L10" s="29">
        <v>1393120</v>
      </c>
      <c r="M10" s="30">
        <v>300000</v>
      </c>
      <c r="N10" s="30"/>
      <c r="O10" s="30">
        <v>206880</v>
      </c>
      <c r="P10" s="30">
        <v>0</v>
      </c>
      <c r="Q10" s="30"/>
      <c r="R10" s="30">
        <v>0</v>
      </c>
      <c r="S10" s="30">
        <v>0</v>
      </c>
      <c r="T10" s="30"/>
      <c r="U10" s="30">
        <v>0</v>
      </c>
      <c r="V10" s="31">
        <v>0</v>
      </c>
    </row>
    <row r="11" spans="1:22">
      <c r="A11" s="1" t="s">
        <v>18</v>
      </c>
      <c r="B11" s="29">
        <v>9643.0587551195313</v>
      </c>
      <c r="C11" s="30">
        <v>4498.9033746396126</v>
      </c>
      <c r="D11" s="30">
        <v>0</v>
      </c>
      <c r="E11" s="30">
        <v>0</v>
      </c>
      <c r="F11" s="30">
        <v>0</v>
      </c>
      <c r="G11" s="31">
        <f>SUM(CO_FINANCIAL)</f>
        <v>14141.962129759144</v>
      </c>
      <c r="H11" s="30"/>
      <c r="I11" s="34"/>
      <c r="J11" s="35"/>
      <c r="K11" s="30"/>
      <c r="L11" s="29"/>
      <c r="M11" s="30"/>
      <c r="N11" s="30"/>
      <c r="O11" s="30"/>
      <c r="P11" s="30"/>
      <c r="Q11" s="30"/>
      <c r="R11" s="30"/>
      <c r="S11" s="30"/>
      <c r="T11" s="30"/>
      <c r="U11" s="30"/>
      <c r="V11" s="31"/>
    </row>
    <row r="12" spans="1:22">
      <c r="A12" s="1" t="s">
        <v>19</v>
      </c>
      <c r="B12" s="29">
        <v>1398.9215501613987</v>
      </c>
      <c r="C12" s="30">
        <v>6451.7570119050779</v>
      </c>
      <c r="D12" s="30">
        <v>0</v>
      </c>
      <c r="E12" s="30">
        <v>0</v>
      </c>
      <c r="F12" s="30">
        <v>0</v>
      </c>
      <c r="G12" s="31">
        <f>SUM(CT_FINANCIAL)</f>
        <v>7850.6785620664768</v>
      </c>
      <c r="H12" s="30"/>
      <c r="I12" s="34" t="s">
        <v>20</v>
      </c>
      <c r="J12" s="35"/>
      <c r="K12" s="30"/>
      <c r="L12" s="29"/>
      <c r="M12" s="30"/>
      <c r="N12" s="30"/>
      <c r="O12" s="30"/>
      <c r="P12" s="30"/>
      <c r="Q12" s="30"/>
      <c r="R12" s="30"/>
      <c r="S12" s="30"/>
      <c r="T12" s="30"/>
      <c r="U12" s="30"/>
      <c r="V12" s="31"/>
    </row>
    <row r="13" spans="1:22">
      <c r="A13" s="1" t="s">
        <v>21</v>
      </c>
      <c r="B13" s="29">
        <v>0</v>
      </c>
      <c r="C13" s="30">
        <v>0</v>
      </c>
      <c r="D13" s="30">
        <v>0</v>
      </c>
      <c r="E13" s="30">
        <v>0</v>
      </c>
      <c r="F13" s="30">
        <v>0</v>
      </c>
      <c r="G13" s="31">
        <f>SUM(DE_FINANCIAL)</f>
        <v>0</v>
      </c>
      <c r="H13" s="30"/>
      <c r="I13" s="34" t="s">
        <v>22</v>
      </c>
      <c r="J13" s="35">
        <v>25081</v>
      </c>
      <c r="K13" s="30"/>
      <c r="L13" s="29"/>
      <c r="M13" s="30"/>
      <c r="N13" s="30"/>
      <c r="O13" s="30"/>
      <c r="P13" s="30"/>
      <c r="Q13" s="30"/>
      <c r="R13" s="30"/>
      <c r="S13" s="30"/>
      <c r="T13" s="30"/>
      <c r="U13" s="30"/>
      <c r="V13" s="31"/>
    </row>
    <row r="14" spans="1:22">
      <c r="A14" s="1" t="s">
        <v>23</v>
      </c>
      <c r="B14" s="29">
        <v>-296.26944197306216</v>
      </c>
      <c r="C14" s="30">
        <v>0</v>
      </c>
      <c r="D14" s="30">
        <v>0</v>
      </c>
      <c r="E14" s="30">
        <v>0</v>
      </c>
      <c r="F14" s="30">
        <v>0</v>
      </c>
      <c r="G14" s="31">
        <f>SUM(DC_FINANCIAL)</f>
        <v>-296.26944197306216</v>
      </c>
      <c r="H14" s="30"/>
      <c r="I14" s="34" t="s">
        <v>24</v>
      </c>
      <c r="J14" s="35">
        <v>318423.00000000006</v>
      </c>
      <c r="K14" s="30"/>
      <c r="L14" s="29"/>
      <c r="M14" s="30"/>
      <c r="N14" s="30"/>
      <c r="O14" s="30"/>
      <c r="P14" s="30"/>
      <c r="Q14" s="30"/>
      <c r="R14" s="30"/>
      <c r="S14" s="30"/>
      <c r="T14" s="30"/>
      <c r="U14" s="30"/>
      <c r="V14" s="31"/>
    </row>
    <row r="15" spans="1:22">
      <c r="A15" s="1" t="s">
        <v>25</v>
      </c>
      <c r="B15" s="29">
        <v>30447.354709779316</v>
      </c>
      <c r="C15" s="30">
        <v>40726.002380299571</v>
      </c>
      <c r="D15" s="30">
        <v>0</v>
      </c>
      <c r="E15" s="30">
        <v>0</v>
      </c>
      <c r="F15" s="30">
        <v>0</v>
      </c>
      <c r="G15" s="31">
        <f>SUM(FL_FINANCIAL)</f>
        <v>71173.357090078891</v>
      </c>
      <c r="H15" s="30"/>
      <c r="I15" s="34" t="s">
        <v>26</v>
      </c>
      <c r="J15" s="35">
        <v>394039.02597756055</v>
      </c>
      <c r="K15" s="30"/>
      <c r="L15" s="29"/>
      <c r="M15" s="30"/>
      <c r="N15" s="30"/>
      <c r="O15" s="30"/>
      <c r="P15" s="30"/>
      <c r="Q15" s="30"/>
      <c r="R15" s="30"/>
      <c r="S15" s="30"/>
      <c r="T15" s="30"/>
      <c r="U15" s="30"/>
      <c r="V15" s="31"/>
    </row>
    <row r="16" spans="1:22">
      <c r="A16" s="1" t="s">
        <v>27</v>
      </c>
      <c r="B16" s="29">
        <v>10985.554101273712</v>
      </c>
      <c r="C16" s="30">
        <v>925.30123878272639</v>
      </c>
      <c r="D16" s="30">
        <v>0</v>
      </c>
      <c r="E16" s="30">
        <v>0</v>
      </c>
      <c r="F16" s="30">
        <v>0</v>
      </c>
      <c r="G16" s="31">
        <f>SUM(GA_FINANCIAL)</f>
        <v>11910.855340056438</v>
      </c>
      <c r="H16" s="30"/>
      <c r="I16" s="34" t="s">
        <v>28</v>
      </c>
      <c r="J16" s="35">
        <v>0</v>
      </c>
      <c r="K16" s="30"/>
      <c r="L16" s="29"/>
      <c r="M16" s="30"/>
      <c r="N16" s="30"/>
      <c r="O16" s="30"/>
      <c r="P16" s="30"/>
      <c r="Q16" s="30"/>
      <c r="R16" s="30"/>
      <c r="S16" s="30"/>
      <c r="T16" s="30"/>
      <c r="U16" s="30"/>
      <c r="V16" s="31"/>
    </row>
    <row r="17" spans="1:22">
      <c r="A17" s="1" t="s">
        <v>29</v>
      </c>
      <c r="B17" s="29">
        <v>1870.9831130158077</v>
      </c>
      <c r="C17" s="30">
        <v>0</v>
      </c>
      <c r="D17" s="30">
        <v>0</v>
      </c>
      <c r="E17" s="30">
        <v>0</v>
      </c>
      <c r="F17" s="30">
        <v>0</v>
      </c>
      <c r="G17" s="31">
        <f>SUM(HI_FINANCIAL)</f>
        <v>1870.9831130158077</v>
      </c>
      <c r="H17" s="30"/>
      <c r="I17" s="34"/>
      <c r="J17" s="35"/>
      <c r="K17" s="30"/>
      <c r="L17" s="29"/>
      <c r="M17" s="30"/>
      <c r="N17" s="30"/>
      <c r="O17" s="30"/>
      <c r="P17" s="30"/>
      <c r="Q17" s="30"/>
      <c r="R17" s="30"/>
      <c r="S17" s="30"/>
      <c r="T17" s="30"/>
      <c r="U17" s="30"/>
      <c r="V17" s="31"/>
    </row>
    <row r="18" spans="1:22">
      <c r="A18" s="1" t="s">
        <v>30</v>
      </c>
      <c r="B18" s="29">
        <v>5354.1618790984303</v>
      </c>
      <c r="C18" s="30">
        <v>5519.9086856590857</v>
      </c>
      <c r="D18" s="30">
        <v>0</v>
      </c>
      <c r="E18" s="30">
        <v>0</v>
      </c>
      <c r="F18" s="30">
        <v>0</v>
      </c>
      <c r="G18" s="31">
        <f>SUM(ID_FINANCIAL)</f>
        <v>10874.070564757516</v>
      </c>
      <c r="H18" s="30"/>
      <c r="I18" s="34" t="s">
        <v>31</v>
      </c>
      <c r="J18" s="35"/>
      <c r="K18" s="30"/>
      <c r="L18" s="29"/>
      <c r="M18" s="30"/>
      <c r="N18" s="30"/>
      <c r="O18" s="30"/>
      <c r="P18" s="30"/>
      <c r="Q18" s="30"/>
      <c r="R18" s="30"/>
      <c r="S18" s="30"/>
      <c r="T18" s="30"/>
      <c r="U18" s="30"/>
      <c r="V18" s="31"/>
    </row>
    <row r="19" spans="1:22">
      <c r="A19" s="1" t="s">
        <v>32</v>
      </c>
      <c r="B19" s="29">
        <v>0</v>
      </c>
      <c r="C19" s="30">
        <v>0</v>
      </c>
      <c r="D19" s="30">
        <v>0</v>
      </c>
      <c r="E19" s="30">
        <v>0</v>
      </c>
      <c r="F19" s="30">
        <v>0</v>
      </c>
      <c r="G19" s="31">
        <f>SUM(IL_FINANCIAL)</f>
        <v>0</v>
      </c>
      <c r="H19" s="30"/>
      <c r="I19" s="34" t="s">
        <v>33</v>
      </c>
      <c r="J19" s="35">
        <v>0</v>
      </c>
      <c r="K19" s="30"/>
      <c r="L19" s="29"/>
      <c r="M19" s="30"/>
      <c r="N19" s="30"/>
      <c r="O19" s="30"/>
      <c r="P19" s="30"/>
      <c r="Q19" s="30"/>
      <c r="R19" s="30"/>
      <c r="S19" s="30"/>
      <c r="T19" s="30"/>
      <c r="U19" s="30"/>
      <c r="V19" s="31"/>
    </row>
    <row r="20" spans="1:22">
      <c r="A20" s="1" t="s">
        <v>34</v>
      </c>
      <c r="B20" s="29">
        <v>158441.97183141485</v>
      </c>
      <c r="C20" s="30">
        <v>449115.42820598977</v>
      </c>
      <c r="D20" s="30">
        <v>0</v>
      </c>
      <c r="E20" s="30">
        <v>0</v>
      </c>
      <c r="F20" s="30">
        <v>0</v>
      </c>
      <c r="G20" s="31">
        <f>SUM(IN_FINANCIAL)</f>
        <v>607557.40003740462</v>
      </c>
      <c r="H20" s="30"/>
      <c r="I20" s="34" t="s">
        <v>35</v>
      </c>
      <c r="J20" s="35">
        <v>-406387.00000000012</v>
      </c>
      <c r="K20" s="30"/>
      <c r="L20" s="29"/>
      <c r="M20" s="30"/>
      <c r="N20" s="30"/>
      <c r="O20" s="30"/>
      <c r="P20" s="30"/>
      <c r="Q20" s="30"/>
      <c r="R20" s="30"/>
      <c r="S20" s="30"/>
      <c r="T20" s="30"/>
      <c r="U20" s="30"/>
      <c r="V20" s="31"/>
    </row>
    <row r="21" spans="1:22">
      <c r="A21" s="1" t="s">
        <v>36</v>
      </c>
      <c r="B21" s="29">
        <v>0</v>
      </c>
      <c r="C21" s="30">
        <v>0</v>
      </c>
      <c r="D21" s="30">
        <v>0</v>
      </c>
      <c r="E21" s="30">
        <v>0</v>
      </c>
      <c r="F21" s="30">
        <v>0</v>
      </c>
      <c r="G21" s="31">
        <f>SUM(IA_FINANCIAL)</f>
        <v>0</v>
      </c>
      <c r="H21" s="30"/>
      <c r="I21" s="34" t="s">
        <v>37</v>
      </c>
      <c r="J21" s="35"/>
      <c r="K21" s="30"/>
      <c r="L21" s="29"/>
      <c r="M21" s="30"/>
      <c r="N21" s="30"/>
      <c r="O21" s="30"/>
      <c r="P21" s="30"/>
      <c r="Q21" s="30"/>
      <c r="R21" s="30"/>
      <c r="S21" s="30"/>
      <c r="T21" s="30"/>
      <c r="U21" s="30"/>
      <c r="V21" s="31"/>
    </row>
    <row r="22" spans="1:22">
      <c r="A22" s="1" t="s">
        <v>38</v>
      </c>
      <c r="B22" s="29">
        <v>2973.6676807416843</v>
      </c>
      <c r="C22" s="30">
        <v>1711.5109540268822</v>
      </c>
      <c r="D22" s="30">
        <v>0</v>
      </c>
      <c r="E22" s="30">
        <v>0</v>
      </c>
      <c r="F22" s="30">
        <v>0</v>
      </c>
      <c r="G22" s="31">
        <f>SUM(KS_FINANCIAL)</f>
        <v>4685.1786347685666</v>
      </c>
      <c r="H22" s="30"/>
      <c r="I22" s="34" t="s">
        <v>39</v>
      </c>
      <c r="J22" s="35">
        <v>1953369</v>
      </c>
      <c r="K22" s="30"/>
      <c r="L22" s="29"/>
      <c r="M22" s="30"/>
      <c r="N22" s="30"/>
      <c r="O22" s="30"/>
      <c r="P22" s="30"/>
      <c r="Q22" s="30"/>
      <c r="R22" s="30"/>
      <c r="S22" s="30"/>
      <c r="T22" s="30"/>
      <c r="U22" s="30"/>
      <c r="V22" s="31"/>
    </row>
    <row r="23" spans="1:22">
      <c r="A23" s="1" t="s">
        <v>40</v>
      </c>
      <c r="B23" s="29">
        <v>-892.644810028135</v>
      </c>
      <c r="C23" s="30">
        <v>-415.65903367722296</v>
      </c>
      <c r="D23" s="30">
        <v>0</v>
      </c>
      <c r="E23" s="30">
        <v>0</v>
      </c>
      <c r="F23" s="30">
        <v>0</v>
      </c>
      <c r="G23" s="31">
        <f>SUM(KY_FINANCIAL)</f>
        <v>-1308.3038437053578</v>
      </c>
      <c r="H23" s="30"/>
      <c r="I23" s="34" t="s">
        <v>41</v>
      </c>
      <c r="J23" s="35"/>
      <c r="K23" s="30"/>
      <c r="L23" s="29"/>
      <c r="M23" s="30"/>
      <c r="N23" s="30"/>
      <c r="O23" s="30"/>
      <c r="P23" s="30"/>
      <c r="Q23" s="30"/>
      <c r="R23" s="30"/>
      <c r="S23" s="30"/>
      <c r="T23" s="30"/>
      <c r="U23" s="30"/>
      <c r="V23" s="31"/>
    </row>
    <row r="24" spans="1:22">
      <c r="A24" s="1" t="s">
        <v>42</v>
      </c>
      <c r="B24" s="29">
        <v>2651</v>
      </c>
      <c r="C24" s="30">
        <v>0</v>
      </c>
      <c r="D24" s="30">
        <v>0</v>
      </c>
      <c r="E24" s="30">
        <v>0</v>
      </c>
      <c r="F24" s="30">
        <v>0</v>
      </c>
      <c r="G24" s="31">
        <f>SUM(LA_FINANCIAL)</f>
        <v>2651</v>
      </c>
      <c r="H24" s="30"/>
      <c r="I24" s="34" t="s">
        <v>43</v>
      </c>
      <c r="J24" s="35">
        <v>9499998.0000000019</v>
      </c>
      <c r="K24" s="30"/>
      <c r="L24" s="29"/>
      <c r="M24" s="30"/>
      <c r="N24" s="30"/>
      <c r="O24" s="30"/>
      <c r="P24" s="30"/>
      <c r="Q24" s="30"/>
      <c r="R24" s="30"/>
      <c r="S24" s="30"/>
      <c r="T24" s="30"/>
      <c r="U24" s="30"/>
      <c r="V24" s="31"/>
    </row>
    <row r="25" spans="1:22">
      <c r="A25" s="1" t="s">
        <v>44</v>
      </c>
      <c r="B25" s="29">
        <v>0</v>
      </c>
      <c r="C25" s="30">
        <v>0</v>
      </c>
      <c r="D25" s="30">
        <v>0</v>
      </c>
      <c r="E25" s="30">
        <v>0</v>
      </c>
      <c r="F25" s="30">
        <v>0</v>
      </c>
      <c r="G25" s="31">
        <f>SUM(ME_FINANCIAL)</f>
        <v>0</v>
      </c>
      <c r="H25" s="30"/>
      <c r="I25" s="34"/>
      <c r="J25" s="35"/>
      <c r="K25" s="30"/>
      <c r="L25" s="29"/>
      <c r="M25" s="30"/>
      <c r="N25" s="30"/>
      <c r="O25" s="30"/>
      <c r="P25" s="30"/>
      <c r="Q25" s="30"/>
      <c r="R25" s="30"/>
      <c r="S25" s="30"/>
      <c r="T25" s="30"/>
      <c r="U25" s="30"/>
      <c r="V25" s="31"/>
    </row>
    <row r="26" spans="1:22">
      <c r="A26" s="1" t="s">
        <v>45</v>
      </c>
      <c r="B26" s="29">
        <v>-13.755882507239676</v>
      </c>
      <c r="C26" s="30">
        <v>-14.31236122731525</v>
      </c>
      <c r="D26" s="30">
        <v>0</v>
      </c>
      <c r="E26" s="30">
        <v>0</v>
      </c>
      <c r="F26" s="30">
        <v>0</v>
      </c>
      <c r="G26" s="31">
        <f>SUM(MD_FINANCIAL)</f>
        <v>-28.068243734554926</v>
      </c>
      <c r="H26" s="30"/>
      <c r="I26" s="34" t="s">
        <v>46</v>
      </c>
      <c r="J26" s="35">
        <f>SUM(ADD_FINANCIAL)-SUM(LESS_FINANCIAL)</f>
        <v>1874315.0259775594</v>
      </c>
      <c r="K26" s="30"/>
      <c r="L26" s="29">
        <v>0</v>
      </c>
      <c r="M26" s="30">
        <v>0</v>
      </c>
      <c r="N26" s="30"/>
      <c r="O26" s="30">
        <v>0</v>
      </c>
      <c r="P26" s="30">
        <v>0</v>
      </c>
      <c r="Q26" s="30"/>
      <c r="R26" s="30">
        <v>0</v>
      </c>
      <c r="S26" s="30">
        <v>0</v>
      </c>
      <c r="T26" s="30"/>
      <c r="U26" s="30">
        <v>0</v>
      </c>
      <c r="V26" s="31">
        <v>0</v>
      </c>
    </row>
    <row r="27" spans="1:22">
      <c r="A27" s="1" t="s">
        <v>47</v>
      </c>
      <c r="B27" s="29">
        <v>0</v>
      </c>
      <c r="C27" s="30">
        <v>0</v>
      </c>
      <c r="D27" s="30">
        <v>0</v>
      </c>
      <c r="E27" s="30">
        <v>0</v>
      </c>
      <c r="F27" s="30">
        <v>0</v>
      </c>
      <c r="G27" s="31">
        <f>SUM(MA_FINANCIAL)</f>
        <v>0</v>
      </c>
      <c r="H27" s="30"/>
      <c r="I27" s="34" t="s">
        <v>48</v>
      </c>
      <c r="J27" s="35">
        <f>SUM(ALL_BLOCKS)</f>
        <v>1874315.025977561</v>
      </c>
      <c r="K27" s="30"/>
      <c r="L27" s="29"/>
      <c r="M27" s="30"/>
      <c r="N27" s="30"/>
      <c r="O27" s="30"/>
      <c r="P27" s="30"/>
      <c r="Q27" s="30"/>
      <c r="R27" s="30"/>
      <c r="S27" s="30"/>
      <c r="T27" s="30"/>
      <c r="U27" s="30"/>
      <c r="V27" s="31"/>
    </row>
    <row r="28" spans="1:22">
      <c r="A28" s="1" t="s">
        <v>49</v>
      </c>
      <c r="B28" s="29">
        <v>118</v>
      </c>
      <c r="C28" s="30">
        <v>0</v>
      </c>
      <c r="D28" s="30">
        <v>0</v>
      </c>
      <c r="E28" s="30">
        <v>0</v>
      </c>
      <c r="F28" s="30">
        <v>0</v>
      </c>
      <c r="G28" s="31">
        <f>SUM(MI_FINANCIAL)</f>
        <v>118</v>
      </c>
      <c r="H28" s="30"/>
      <c r="I28" s="36"/>
      <c r="J28" s="37"/>
      <c r="K28" s="30"/>
      <c r="L28" s="29"/>
      <c r="M28" s="30"/>
      <c r="N28" s="30"/>
      <c r="O28" s="30"/>
      <c r="P28" s="30"/>
      <c r="Q28" s="30"/>
      <c r="R28" s="30"/>
      <c r="S28" s="30"/>
      <c r="T28" s="30"/>
      <c r="U28" s="30"/>
      <c r="V28" s="31"/>
    </row>
    <row r="29" spans="1:22">
      <c r="A29" s="1" t="s">
        <v>50</v>
      </c>
      <c r="B29" s="29">
        <v>1770.2335342854349</v>
      </c>
      <c r="C29" s="30">
        <v>6949.8886936039962</v>
      </c>
      <c r="D29" s="30">
        <v>0</v>
      </c>
      <c r="E29" s="30">
        <v>0</v>
      </c>
      <c r="F29" s="30">
        <v>0</v>
      </c>
      <c r="G29" s="31">
        <f>SUM(MN_FINANCIAL)</f>
        <v>8720.1222278894311</v>
      </c>
      <c r="H29" s="30"/>
      <c r="I29" s="30"/>
      <c r="J29" s="30"/>
      <c r="K29" s="30"/>
      <c r="L29" s="29"/>
      <c r="M29" s="30"/>
      <c r="N29" s="30"/>
      <c r="O29" s="30"/>
      <c r="P29" s="30"/>
      <c r="Q29" s="30"/>
      <c r="R29" s="30"/>
      <c r="S29" s="30"/>
      <c r="T29" s="30"/>
      <c r="U29" s="30"/>
      <c r="V29" s="31"/>
    </row>
    <row r="30" spans="1:22">
      <c r="A30" s="1" t="s">
        <v>51</v>
      </c>
      <c r="B30" s="29">
        <v>0</v>
      </c>
      <c r="C30" s="30">
        <v>0</v>
      </c>
      <c r="D30" s="30">
        <v>0</v>
      </c>
      <c r="E30" s="30">
        <v>0</v>
      </c>
      <c r="F30" s="30">
        <v>0</v>
      </c>
      <c r="G30" s="31">
        <f>SUM(MS_FINANCIAL)</f>
        <v>0</v>
      </c>
      <c r="H30" s="30"/>
      <c r="I30" s="30"/>
      <c r="J30" s="30"/>
      <c r="K30" s="30"/>
      <c r="L30" s="29"/>
      <c r="M30" s="30"/>
      <c r="N30" s="30"/>
      <c r="O30" s="30"/>
      <c r="P30" s="30"/>
      <c r="Q30" s="30"/>
      <c r="R30" s="30"/>
      <c r="S30" s="30"/>
      <c r="T30" s="30"/>
      <c r="U30" s="30"/>
      <c r="V30" s="31"/>
    </row>
    <row r="31" spans="1:22">
      <c r="A31" s="1" t="s">
        <v>52</v>
      </c>
      <c r="B31" s="29">
        <v>135693.82162663573</v>
      </c>
      <c r="C31" s="30">
        <v>29355.088174757722</v>
      </c>
      <c r="D31" s="30">
        <v>0</v>
      </c>
      <c r="E31" s="30">
        <v>0</v>
      </c>
      <c r="F31" s="30">
        <v>0</v>
      </c>
      <c r="G31" s="31">
        <f>SUM(MO_FINANCIAL)</f>
        <v>165048.90980139346</v>
      </c>
      <c r="H31" s="30"/>
      <c r="I31" s="30"/>
      <c r="J31" s="30"/>
      <c r="K31" s="30"/>
      <c r="L31" s="29"/>
      <c r="M31" s="30"/>
      <c r="N31" s="30"/>
      <c r="O31" s="30"/>
      <c r="P31" s="30"/>
      <c r="Q31" s="30"/>
      <c r="R31" s="30"/>
      <c r="S31" s="30"/>
      <c r="T31" s="30"/>
      <c r="U31" s="30"/>
      <c r="V31" s="31"/>
    </row>
    <row r="32" spans="1:22">
      <c r="A32" s="1" t="s">
        <v>53</v>
      </c>
      <c r="B32" s="29">
        <v>710</v>
      </c>
      <c r="C32" s="30">
        <v>0</v>
      </c>
      <c r="D32" s="30">
        <v>0</v>
      </c>
      <c r="E32" s="30">
        <v>0</v>
      </c>
      <c r="F32" s="30">
        <v>0</v>
      </c>
      <c r="G32" s="31">
        <f>SUM(MT_FINANCIAL)</f>
        <v>710</v>
      </c>
      <c r="H32" s="30"/>
      <c r="I32" s="30"/>
      <c r="J32" s="30"/>
      <c r="K32" s="30"/>
      <c r="L32" s="29"/>
      <c r="M32" s="30"/>
      <c r="N32" s="30"/>
      <c r="O32" s="30"/>
      <c r="P32" s="30"/>
      <c r="Q32" s="30"/>
      <c r="R32" s="30"/>
      <c r="S32" s="30"/>
      <c r="T32" s="30"/>
      <c r="U32" s="30"/>
      <c r="V32" s="31"/>
    </row>
    <row r="33" spans="1:22">
      <c r="A33" s="1" t="s">
        <v>54</v>
      </c>
      <c r="B33" s="29">
        <v>562.88657529060765</v>
      </c>
      <c r="C33" s="30">
        <v>0</v>
      </c>
      <c r="D33" s="30">
        <v>0</v>
      </c>
      <c r="E33" s="30">
        <v>0</v>
      </c>
      <c r="F33" s="30">
        <v>0</v>
      </c>
      <c r="G33" s="31">
        <f>SUM(NE_FINANCIAL)</f>
        <v>562.88657529060765</v>
      </c>
      <c r="H33" s="30"/>
      <c r="I33" s="30"/>
      <c r="J33" s="30"/>
      <c r="K33" s="30"/>
      <c r="L33" s="29"/>
      <c r="M33" s="30"/>
      <c r="N33" s="30"/>
      <c r="O33" s="30"/>
      <c r="P33" s="30"/>
      <c r="Q33" s="30"/>
      <c r="R33" s="30"/>
      <c r="S33" s="30"/>
      <c r="T33" s="30"/>
      <c r="U33" s="30"/>
      <c r="V33" s="31"/>
    </row>
    <row r="34" spans="1:22">
      <c r="A34" s="1" t="s">
        <v>55</v>
      </c>
      <c r="B34" s="29">
        <v>1776.4720444526906</v>
      </c>
      <c r="C34" s="30">
        <v>121.69987057776552</v>
      </c>
      <c r="D34" s="30">
        <v>0</v>
      </c>
      <c r="E34" s="30">
        <v>0</v>
      </c>
      <c r="F34" s="30">
        <v>0</v>
      </c>
      <c r="G34" s="31">
        <f>SUM(NV_FINANCIAL)</f>
        <v>1898.1719150304561</v>
      </c>
      <c r="H34" s="30"/>
      <c r="I34" s="30"/>
      <c r="J34" s="30"/>
      <c r="K34" s="30"/>
      <c r="L34" s="29"/>
      <c r="M34" s="30"/>
      <c r="N34" s="30"/>
      <c r="O34" s="30"/>
      <c r="P34" s="30"/>
      <c r="Q34" s="30"/>
      <c r="R34" s="30"/>
      <c r="S34" s="30"/>
      <c r="T34" s="30"/>
      <c r="U34" s="30"/>
      <c r="V34" s="31"/>
    </row>
    <row r="35" spans="1:22">
      <c r="A35" s="1" t="s">
        <v>56</v>
      </c>
      <c r="B35" s="29">
        <v>0</v>
      </c>
      <c r="C35" s="30">
        <v>0</v>
      </c>
      <c r="D35" s="30">
        <v>0</v>
      </c>
      <c r="E35" s="30">
        <v>0</v>
      </c>
      <c r="F35" s="30">
        <v>0</v>
      </c>
      <c r="G35" s="31">
        <f>SUM(NH_FINANCIAL)</f>
        <v>0</v>
      </c>
      <c r="H35" s="30"/>
      <c r="I35" s="30"/>
      <c r="J35" s="30"/>
      <c r="K35" s="30"/>
      <c r="L35" s="29"/>
      <c r="M35" s="30"/>
      <c r="N35" s="30"/>
      <c r="O35" s="30"/>
      <c r="P35" s="30"/>
      <c r="Q35" s="30"/>
      <c r="R35" s="30"/>
      <c r="S35" s="30"/>
      <c r="T35" s="30"/>
      <c r="U35" s="30"/>
      <c r="V35" s="31"/>
    </row>
    <row r="36" spans="1:22">
      <c r="A36" s="1" t="s">
        <v>57</v>
      </c>
      <c r="B36" s="29">
        <v>0</v>
      </c>
      <c r="C36" s="30">
        <v>0</v>
      </c>
      <c r="D36" s="30">
        <v>0</v>
      </c>
      <c r="E36" s="30">
        <v>0</v>
      </c>
      <c r="F36" s="30">
        <v>0</v>
      </c>
      <c r="G36" s="31">
        <f>SUM(NJ_FINANCIAL)</f>
        <v>0</v>
      </c>
      <c r="H36" s="30"/>
      <c r="I36" s="30"/>
      <c r="J36" s="30"/>
      <c r="K36" s="30"/>
      <c r="L36" s="29"/>
      <c r="M36" s="30"/>
      <c r="N36" s="30"/>
      <c r="O36" s="30"/>
      <c r="P36" s="30"/>
      <c r="Q36" s="30"/>
      <c r="R36" s="30"/>
      <c r="S36" s="30"/>
      <c r="T36" s="30"/>
      <c r="U36" s="30"/>
      <c r="V36" s="31"/>
    </row>
    <row r="37" spans="1:22">
      <c r="A37" s="1" t="s">
        <v>58</v>
      </c>
      <c r="B37" s="29">
        <v>14754.254825006619</v>
      </c>
      <c r="C37" s="30">
        <v>0</v>
      </c>
      <c r="D37" s="30">
        <v>0</v>
      </c>
      <c r="E37" s="30">
        <v>0</v>
      </c>
      <c r="F37" s="30">
        <v>0</v>
      </c>
      <c r="G37" s="31">
        <f>SUM(NM_FINANCIAL)</f>
        <v>14754.254825006619</v>
      </c>
      <c r="H37" s="30"/>
      <c r="I37" s="30"/>
      <c r="J37" s="30"/>
      <c r="K37" s="30"/>
      <c r="L37" s="29">
        <v>99972</v>
      </c>
      <c r="M37" s="30">
        <v>0</v>
      </c>
      <c r="N37" s="30"/>
      <c r="O37" s="30">
        <v>0</v>
      </c>
      <c r="P37" s="30">
        <v>0</v>
      </c>
      <c r="Q37" s="30"/>
      <c r="R37" s="30">
        <v>0</v>
      </c>
      <c r="S37" s="30">
        <v>0</v>
      </c>
      <c r="T37" s="30"/>
      <c r="U37" s="30">
        <v>0</v>
      </c>
      <c r="V37" s="31">
        <v>0</v>
      </c>
    </row>
    <row r="38" spans="1:22">
      <c r="A38" s="1" t="s">
        <v>59</v>
      </c>
      <c r="B38" s="29">
        <v>0</v>
      </c>
      <c r="C38" s="30">
        <v>0</v>
      </c>
      <c r="D38" s="30">
        <v>0</v>
      </c>
      <c r="E38" s="30">
        <v>0</v>
      </c>
      <c r="F38" s="30">
        <v>0</v>
      </c>
      <c r="G38" s="31">
        <f>SUM(NY_FINANCIAL)</f>
        <v>0</v>
      </c>
      <c r="H38" s="30"/>
      <c r="I38" s="30"/>
      <c r="J38" s="30"/>
      <c r="K38" s="30"/>
      <c r="L38" s="29"/>
      <c r="M38" s="30"/>
      <c r="N38" s="30"/>
      <c r="O38" s="30"/>
      <c r="P38" s="30"/>
      <c r="Q38" s="30"/>
      <c r="R38" s="30"/>
      <c r="S38" s="30"/>
      <c r="T38" s="30"/>
      <c r="U38" s="30"/>
      <c r="V38" s="31"/>
    </row>
    <row r="39" spans="1:22">
      <c r="A39" s="1" t="s">
        <v>60</v>
      </c>
      <c r="B39" s="29">
        <v>940.57131973658102</v>
      </c>
      <c r="C39" s="30">
        <v>6257.4951813048328</v>
      </c>
      <c r="D39" s="30">
        <v>0</v>
      </c>
      <c r="E39" s="30">
        <v>0</v>
      </c>
      <c r="F39" s="30">
        <v>0</v>
      </c>
      <c r="G39" s="31">
        <f>SUM(NC_FINANCIAL)</f>
        <v>7198.0665010414141</v>
      </c>
      <c r="H39" s="30"/>
      <c r="I39" s="30"/>
      <c r="J39" s="30"/>
      <c r="K39" s="30"/>
      <c r="L39" s="29"/>
      <c r="M39" s="30"/>
      <c r="N39" s="30"/>
      <c r="O39" s="30"/>
      <c r="P39" s="30"/>
      <c r="Q39" s="30"/>
      <c r="R39" s="30"/>
      <c r="S39" s="30"/>
      <c r="T39" s="30"/>
      <c r="U39" s="30"/>
      <c r="V39" s="31"/>
    </row>
    <row r="40" spans="1:22">
      <c r="A40" s="1" t="s">
        <v>61</v>
      </c>
      <c r="B40" s="29">
        <v>818</v>
      </c>
      <c r="C40" s="30">
        <v>0</v>
      </c>
      <c r="D40" s="30">
        <v>0</v>
      </c>
      <c r="E40" s="30">
        <v>0</v>
      </c>
      <c r="F40" s="30">
        <v>0</v>
      </c>
      <c r="G40" s="31">
        <f>SUM(ND_FINANCIAL)</f>
        <v>818</v>
      </c>
      <c r="H40" s="30"/>
      <c r="I40" s="30"/>
      <c r="J40" s="30"/>
      <c r="K40" s="30"/>
      <c r="L40" s="29"/>
      <c r="M40" s="30"/>
      <c r="N40" s="30"/>
      <c r="O40" s="30"/>
      <c r="P40" s="30"/>
      <c r="Q40" s="30"/>
      <c r="R40" s="30"/>
      <c r="S40" s="30"/>
      <c r="T40" s="30"/>
      <c r="U40" s="30"/>
      <c r="V40" s="31"/>
    </row>
    <row r="41" spans="1:22">
      <c r="A41" s="1" t="s">
        <v>62</v>
      </c>
      <c r="B41" s="29">
        <v>1941.5727084925784</v>
      </c>
      <c r="C41" s="30">
        <v>2172.8477889215337</v>
      </c>
      <c r="D41" s="30">
        <v>0</v>
      </c>
      <c r="E41" s="30">
        <v>0</v>
      </c>
      <c r="F41" s="30">
        <v>0</v>
      </c>
      <c r="G41" s="31">
        <f>SUM(OH_FINANCIAL)</f>
        <v>4114.4204974141121</v>
      </c>
      <c r="H41" s="30"/>
      <c r="I41" s="30"/>
      <c r="J41" s="30"/>
      <c r="K41" s="30"/>
      <c r="L41" s="29"/>
      <c r="M41" s="30"/>
      <c r="N41" s="30"/>
      <c r="O41" s="30"/>
      <c r="P41" s="30"/>
      <c r="Q41" s="30"/>
      <c r="R41" s="30"/>
      <c r="S41" s="30"/>
      <c r="T41" s="30"/>
      <c r="U41" s="30"/>
      <c r="V41" s="31"/>
    </row>
    <row r="42" spans="1:22">
      <c r="A42" s="1" t="s">
        <v>63</v>
      </c>
      <c r="B42" s="29">
        <v>12253.522952081326</v>
      </c>
      <c r="C42" s="30">
        <v>4557.9918686051569</v>
      </c>
      <c r="D42" s="30">
        <v>0</v>
      </c>
      <c r="E42" s="30">
        <v>0</v>
      </c>
      <c r="F42" s="30">
        <v>0</v>
      </c>
      <c r="G42" s="31">
        <f>SUM(OK_FINANCIAL)</f>
        <v>16811.514820686483</v>
      </c>
      <c r="H42" s="30"/>
      <c r="I42" s="30"/>
      <c r="J42" s="30"/>
      <c r="K42" s="30"/>
      <c r="L42" s="29">
        <v>99000</v>
      </c>
      <c r="M42" s="30">
        <v>0</v>
      </c>
      <c r="N42" s="30"/>
      <c r="O42" s="30">
        <v>1000</v>
      </c>
      <c r="P42" s="30">
        <v>0</v>
      </c>
      <c r="Q42" s="30"/>
      <c r="R42" s="30">
        <v>0</v>
      </c>
      <c r="S42" s="30">
        <v>0</v>
      </c>
      <c r="T42" s="30"/>
      <c r="U42" s="30">
        <v>0</v>
      </c>
      <c r="V42" s="31">
        <v>0</v>
      </c>
    </row>
    <row r="43" spans="1:22">
      <c r="A43" s="1" t="s">
        <v>64</v>
      </c>
      <c r="B43" s="29">
        <v>1311.573704012535</v>
      </c>
      <c r="C43" s="30">
        <v>143.61513501663285</v>
      </c>
      <c r="D43" s="30">
        <v>0</v>
      </c>
      <c r="E43" s="30">
        <v>0</v>
      </c>
      <c r="F43" s="30">
        <v>0</v>
      </c>
      <c r="G43" s="31">
        <f>SUM(OR_FINANCIAL)</f>
        <v>1455.1888390291679</v>
      </c>
      <c r="H43" s="30"/>
      <c r="I43" s="30"/>
      <c r="J43" s="30"/>
      <c r="K43" s="30"/>
      <c r="L43" s="29"/>
      <c r="M43" s="30"/>
      <c r="N43" s="30"/>
      <c r="O43" s="30"/>
      <c r="P43" s="30"/>
      <c r="Q43" s="30"/>
      <c r="R43" s="30"/>
      <c r="S43" s="30"/>
      <c r="T43" s="30"/>
      <c r="U43" s="30"/>
      <c r="V43" s="31"/>
    </row>
    <row r="44" spans="1:22">
      <c r="A44" s="1" t="s">
        <v>65</v>
      </c>
      <c r="B44" s="29">
        <v>154.7143337339983</v>
      </c>
      <c r="C44" s="30">
        <v>0</v>
      </c>
      <c r="D44" s="30">
        <v>0</v>
      </c>
      <c r="E44" s="30">
        <v>0</v>
      </c>
      <c r="F44" s="30">
        <v>0</v>
      </c>
      <c r="G44" s="31">
        <f>SUM(PA_FINANCIAL)</f>
        <v>154.7143337339983</v>
      </c>
      <c r="H44" s="30"/>
      <c r="I44" s="30"/>
      <c r="J44" s="30"/>
      <c r="K44" s="30"/>
      <c r="L44" s="29"/>
      <c r="M44" s="30"/>
      <c r="N44" s="30"/>
      <c r="O44" s="30"/>
      <c r="P44" s="30"/>
      <c r="Q44" s="30"/>
      <c r="R44" s="30"/>
      <c r="S44" s="30"/>
      <c r="T44" s="30"/>
      <c r="U44" s="30"/>
      <c r="V44" s="31"/>
    </row>
    <row r="45" spans="1:22">
      <c r="A45" s="1" t="s">
        <v>66</v>
      </c>
      <c r="B45" s="29">
        <v>0</v>
      </c>
      <c r="C45" s="30">
        <v>0</v>
      </c>
      <c r="D45" s="30">
        <v>0</v>
      </c>
      <c r="E45" s="30">
        <v>0</v>
      </c>
      <c r="F45" s="30">
        <v>0</v>
      </c>
      <c r="G45" s="31">
        <f>SUM(PR_FINANCIAL)</f>
        <v>0</v>
      </c>
      <c r="H45" s="30"/>
      <c r="I45" s="30"/>
      <c r="J45" s="30"/>
      <c r="K45" s="30"/>
      <c r="L45" s="29"/>
      <c r="M45" s="30"/>
      <c r="N45" s="30"/>
      <c r="O45" s="30"/>
      <c r="P45" s="30"/>
      <c r="Q45" s="30"/>
      <c r="R45" s="30"/>
      <c r="S45" s="30"/>
      <c r="T45" s="30"/>
      <c r="U45" s="30"/>
      <c r="V45" s="31"/>
    </row>
    <row r="46" spans="1:22">
      <c r="A46" s="1" t="s">
        <v>67</v>
      </c>
      <c r="B46" s="29">
        <v>0</v>
      </c>
      <c r="C46" s="30">
        <v>0</v>
      </c>
      <c r="D46" s="30">
        <v>0</v>
      </c>
      <c r="E46" s="30">
        <v>0</v>
      </c>
      <c r="F46" s="30">
        <v>0</v>
      </c>
      <c r="G46" s="31">
        <f>SUM(RI_FINANCIAL)</f>
        <v>0</v>
      </c>
      <c r="H46" s="30"/>
      <c r="I46" s="30"/>
      <c r="J46" s="30"/>
      <c r="K46" s="30"/>
      <c r="L46" s="29"/>
      <c r="M46" s="30"/>
      <c r="N46" s="30"/>
      <c r="O46" s="30"/>
      <c r="P46" s="30"/>
      <c r="Q46" s="30"/>
      <c r="R46" s="30"/>
      <c r="S46" s="30"/>
      <c r="T46" s="30"/>
      <c r="U46" s="30"/>
      <c r="V46" s="31"/>
    </row>
    <row r="47" spans="1:22">
      <c r="A47" s="1" t="s">
        <v>68</v>
      </c>
      <c r="B47" s="29">
        <v>2520.7562981871247</v>
      </c>
      <c r="C47" s="30">
        <v>12.061034919555627</v>
      </c>
      <c r="D47" s="30">
        <v>0</v>
      </c>
      <c r="E47" s="30">
        <v>0</v>
      </c>
      <c r="F47" s="30">
        <v>0</v>
      </c>
      <c r="G47" s="31">
        <f>SUM(SC_FINANCIAL)</f>
        <v>2532.8173331066805</v>
      </c>
      <c r="H47" s="30"/>
      <c r="I47" s="30"/>
      <c r="J47" s="30"/>
      <c r="K47" s="30"/>
      <c r="L47" s="29"/>
      <c r="M47" s="30"/>
      <c r="N47" s="30"/>
      <c r="O47" s="30"/>
      <c r="P47" s="30"/>
      <c r="Q47" s="30"/>
      <c r="R47" s="30"/>
      <c r="S47" s="30"/>
      <c r="T47" s="30"/>
      <c r="U47" s="30"/>
      <c r="V47" s="31"/>
    </row>
    <row r="48" spans="1:22">
      <c r="A48" s="1" t="s">
        <v>69</v>
      </c>
      <c r="B48" s="29">
        <v>1026.3730921083566</v>
      </c>
      <c r="C48" s="30">
        <v>0</v>
      </c>
      <c r="D48" s="30">
        <v>0</v>
      </c>
      <c r="E48" s="30">
        <v>0</v>
      </c>
      <c r="F48" s="30">
        <v>0</v>
      </c>
      <c r="G48" s="31">
        <f>SUM(SD_FINANCIAL)</f>
        <v>1026.3730921083566</v>
      </c>
      <c r="H48" s="30"/>
      <c r="I48" s="30"/>
      <c r="J48" s="30"/>
      <c r="K48" s="30"/>
      <c r="L48" s="29"/>
      <c r="M48" s="30"/>
      <c r="N48" s="30"/>
      <c r="O48" s="30"/>
      <c r="P48" s="30"/>
      <c r="Q48" s="30"/>
      <c r="R48" s="30"/>
      <c r="S48" s="30"/>
      <c r="T48" s="30"/>
      <c r="U48" s="30"/>
      <c r="V48" s="31"/>
    </row>
    <row r="49" spans="1:22">
      <c r="A49" s="1" t="s">
        <v>70</v>
      </c>
      <c r="B49" s="29">
        <v>311.5981509965286</v>
      </c>
      <c r="C49" s="30">
        <v>1856.1331876682998</v>
      </c>
      <c r="D49" s="30">
        <v>0</v>
      </c>
      <c r="E49" s="30">
        <v>0</v>
      </c>
      <c r="F49" s="30">
        <v>0</v>
      </c>
      <c r="G49" s="31">
        <f>SUM(TN_FINANCIAL)</f>
        <v>2167.7313386648284</v>
      </c>
      <c r="H49" s="30"/>
      <c r="I49" s="30"/>
      <c r="J49" s="30"/>
      <c r="K49" s="30"/>
      <c r="L49" s="29"/>
      <c r="M49" s="30"/>
      <c r="N49" s="30"/>
      <c r="O49" s="30"/>
      <c r="P49" s="30"/>
      <c r="Q49" s="30"/>
      <c r="R49" s="30"/>
      <c r="S49" s="30"/>
      <c r="T49" s="30"/>
      <c r="U49" s="30"/>
      <c r="V49" s="31"/>
    </row>
    <row r="50" spans="1:22">
      <c r="A50" s="1" t="s">
        <v>71</v>
      </c>
      <c r="B50" s="29">
        <v>453589.87161319377</v>
      </c>
      <c r="C50" s="30">
        <v>27153.248477641755</v>
      </c>
      <c r="D50" s="30">
        <v>0</v>
      </c>
      <c r="E50" s="30">
        <v>0</v>
      </c>
      <c r="F50" s="30">
        <v>0</v>
      </c>
      <c r="G50" s="31">
        <f>SUM(TX_FINANCIAL)</f>
        <v>480743.12009083549</v>
      </c>
      <c r="H50" s="30"/>
      <c r="I50" s="30"/>
      <c r="J50" s="30"/>
      <c r="K50" s="30"/>
      <c r="L50" s="29">
        <v>2898033</v>
      </c>
      <c r="M50" s="30">
        <v>2875000</v>
      </c>
      <c r="N50" s="30"/>
      <c r="O50" s="30">
        <v>0</v>
      </c>
      <c r="P50" s="30">
        <v>0</v>
      </c>
      <c r="Q50" s="30"/>
      <c r="R50" s="30">
        <v>152528</v>
      </c>
      <c r="S50" s="30">
        <v>125000</v>
      </c>
      <c r="T50" s="30"/>
      <c r="U50" s="30">
        <v>0</v>
      </c>
      <c r="V50" s="31">
        <v>0</v>
      </c>
    </row>
    <row r="51" spans="1:22">
      <c r="A51" s="1" t="s">
        <v>72</v>
      </c>
      <c r="B51" s="29">
        <v>851.04855708939931</v>
      </c>
      <c r="C51" s="30">
        <v>1416.4132926742786</v>
      </c>
      <c r="D51" s="30">
        <v>0</v>
      </c>
      <c r="E51" s="30">
        <v>0</v>
      </c>
      <c r="F51" s="30">
        <v>0</v>
      </c>
      <c r="G51" s="31">
        <f>SUM(UT_FINANCIAL)</f>
        <v>2267.4618497636779</v>
      </c>
      <c r="H51" s="30"/>
      <c r="I51" s="30"/>
      <c r="J51" s="30"/>
      <c r="K51" s="30"/>
      <c r="L51" s="29"/>
      <c r="M51" s="30"/>
      <c r="N51" s="30"/>
      <c r="O51" s="30"/>
      <c r="P51" s="30"/>
      <c r="Q51" s="30"/>
      <c r="R51" s="30"/>
      <c r="S51" s="30"/>
      <c r="T51" s="30"/>
      <c r="U51" s="30"/>
      <c r="V51" s="31"/>
    </row>
    <row r="52" spans="1:22">
      <c r="A52" s="1" t="s">
        <v>73</v>
      </c>
      <c r="B52" s="29">
        <v>6964.9905806680072</v>
      </c>
      <c r="C52" s="30">
        <v>0</v>
      </c>
      <c r="D52" s="30">
        <v>0</v>
      </c>
      <c r="E52" s="30">
        <v>0</v>
      </c>
      <c r="F52" s="30">
        <v>0</v>
      </c>
      <c r="G52" s="31">
        <f>SUM(VT_FINANCIAL)</f>
        <v>6964.9905806680072</v>
      </c>
      <c r="H52" s="30"/>
      <c r="I52" s="30"/>
      <c r="J52" s="30"/>
      <c r="K52" s="30"/>
      <c r="L52" s="29"/>
      <c r="M52" s="30"/>
      <c r="N52" s="30"/>
      <c r="O52" s="30"/>
      <c r="P52" s="30"/>
      <c r="Q52" s="30"/>
      <c r="R52" s="30"/>
      <c r="S52" s="30"/>
      <c r="T52" s="30"/>
      <c r="U52" s="30"/>
      <c r="V52" s="31"/>
    </row>
    <row r="53" spans="1:22">
      <c r="A53" s="1" t="s">
        <v>74</v>
      </c>
      <c r="B53" s="29">
        <v>2311.4093045223235</v>
      </c>
      <c r="C53" s="30">
        <v>56903.733171067259</v>
      </c>
      <c r="D53" s="30">
        <v>0</v>
      </c>
      <c r="E53" s="30">
        <v>0</v>
      </c>
      <c r="F53" s="30">
        <v>0</v>
      </c>
      <c r="G53" s="31">
        <f>SUM(VA_FINANCIAL)</f>
        <v>59215.142475589586</v>
      </c>
      <c r="H53" s="30"/>
      <c r="I53" s="30"/>
      <c r="J53" s="30"/>
      <c r="K53" s="30"/>
      <c r="L53" s="29">
        <v>2800</v>
      </c>
      <c r="M53" s="30">
        <v>0</v>
      </c>
      <c r="N53" s="30"/>
      <c r="O53" s="30">
        <v>70000</v>
      </c>
      <c r="P53" s="30">
        <v>0</v>
      </c>
      <c r="Q53" s="30"/>
      <c r="R53" s="30">
        <v>0</v>
      </c>
      <c r="S53" s="30">
        <v>0</v>
      </c>
      <c r="T53" s="30"/>
      <c r="U53" s="30">
        <v>0</v>
      </c>
      <c r="V53" s="31">
        <v>0</v>
      </c>
    </row>
    <row r="54" spans="1:22">
      <c r="A54" s="1" t="s">
        <v>75</v>
      </c>
      <c r="B54" s="29">
        <v>7424.2814524173336</v>
      </c>
      <c r="C54" s="30">
        <v>0</v>
      </c>
      <c r="D54" s="30">
        <v>0</v>
      </c>
      <c r="E54" s="30">
        <v>0</v>
      </c>
      <c r="F54" s="30">
        <v>0</v>
      </c>
      <c r="G54" s="31">
        <f>SUM(WA_FINANCIAL)</f>
        <v>7424.2814524173336</v>
      </c>
      <c r="H54" s="30"/>
      <c r="I54" s="30"/>
      <c r="J54" s="30"/>
      <c r="K54" s="30"/>
      <c r="L54" s="29">
        <v>39000</v>
      </c>
      <c r="M54" s="30">
        <v>0</v>
      </c>
      <c r="N54" s="30"/>
      <c r="O54" s="30">
        <v>0</v>
      </c>
      <c r="P54" s="30">
        <v>0</v>
      </c>
      <c r="Q54" s="30"/>
      <c r="R54" s="30">
        <v>0</v>
      </c>
      <c r="S54" s="30">
        <v>0</v>
      </c>
      <c r="T54" s="30"/>
      <c r="U54" s="30">
        <v>0</v>
      </c>
      <c r="V54" s="31">
        <v>0</v>
      </c>
    </row>
    <row r="55" spans="1:22">
      <c r="A55" s="1" t="s">
        <v>76</v>
      </c>
      <c r="B55" s="29">
        <v>715.46202421591784</v>
      </c>
      <c r="C55" s="30">
        <v>0</v>
      </c>
      <c r="D55" s="30">
        <v>0</v>
      </c>
      <c r="E55" s="30">
        <v>0</v>
      </c>
      <c r="F55" s="30">
        <v>0</v>
      </c>
      <c r="G55" s="31">
        <f>SUM(WV_FINANCIAL)</f>
        <v>715.46202421591784</v>
      </c>
      <c r="H55" s="30"/>
      <c r="I55" s="30"/>
      <c r="J55" s="30"/>
      <c r="K55" s="30"/>
      <c r="L55" s="29"/>
      <c r="M55" s="30"/>
      <c r="N55" s="30"/>
      <c r="O55" s="30"/>
      <c r="P55" s="30"/>
      <c r="Q55" s="30"/>
      <c r="R55" s="30"/>
      <c r="S55" s="30"/>
      <c r="T55" s="30"/>
      <c r="U55" s="30"/>
      <c r="V55" s="31"/>
    </row>
    <row r="56" spans="1:22">
      <c r="A56" s="1" t="s">
        <v>77</v>
      </c>
      <c r="B56" s="29">
        <v>3624.5058959681887</v>
      </c>
      <c r="C56" s="30">
        <v>0</v>
      </c>
      <c r="D56" s="30">
        <v>0</v>
      </c>
      <c r="E56" s="30">
        <v>0</v>
      </c>
      <c r="F56" s="30">
        <v>0</v>
      </c>
      <c r="G56" s="31">
        <f>SUM(WI_FINANCIAL)</f>
        <v>3624.5058959681887</v>
      </c>
      <c r="H56" s="30"/>
      <c r="I56" s="30"/>
      <c r="J56" s="30"/>
      <c r="K56" s="30"/>
      <c r="L56" s="29"/>
      <c r="M56" s="30"/>
      <c r="N56" s="30"/>
      <c r="O56" s="30"/>
      <c r="P56" s="30"/>
      <c r="Q56" s="30"/>
      <c r="R56" s="30"/>
      <c r="S56" s="30"/>
      <c r="T56" s="30"/>
      <c r="U56" s="30"/>
      <c r="V56" s="31"/>
    </row>
    <row r="57" spans="1:22">
      <c r="A57" s="1" t="s">
        <v>78</v>
      </c>
      <c r="B57" s="29">
        <v>0</v>
      </c>
      <c r="C57" s="30">
        <v>12.4776157167276</v>
      </c>
      <c r="D57" s="30">
        <v>0</v>
      </c>
      <c r="E57" s="30">
        <v>0</v>
      </c>
      <c r="F57" s="30">
        <v>0</v>
      </c>
      <c r="G57" s="31">
        <f>SUM(WY_FINANCIAL)</f>
        <v>12.4776157167276</v>
      </c>
      <c r="H57" s="30"/>
      <c r="I57" s="30"/>
      <c r="J57" s="30"/>
      <c r="K57" s="30"/>
      <c r="L57" s="29"/>
      <c r="M57" s="30"/>
      <c r="N57" s="30"/>
      <c r="O57" s="30"/>
      <c r="P57" s="30"/>
      <c r="Q57" s="30"/>
      <c r="R57" s="30"/>
      <c r="S57" s="30"/>
      <c r="T57" s="30"/>
      <c r="U57" s="30"/>
      <c r="V57" s="31"/>
    </row>
    <row r="58" spans="1:22">
      <c r="A58" s="1" t="s">
        <v>79</v>
      </c>
      <c r="B58" s="29">
        <v>0</v>
      </c>
      <c r="C58" s="30">
        <v>0</v>
      </c>
      <c r="D58" s="30">
        <v>0</v>
      </c>
      <c r="E58" s="30">
        <v>0</v>
      </c>
      <c r="F58" s="30">
        <v>0</v>
      </c>
      <c r="G58" s="31">
        <f>SUM(OT_FINANCIAL)</f>
        <v>0</v>
      </c>
      <c r="H58" s="30"/>
      <c r="I58" s="30"/>
      <c r="J58" s="30"/>
      <c r="K58" s="30"/>
      <c r="L58" s="29"/>
      <c r="M58" s="30"/>
      <c r="N58" s="30"/>
      <c r="O58" s="30"/>
      <c r="P58" s="30"/>
      <c r="Q58" s="30"/>
      <c r="R58" s="30"/>
      <c r="S58" s="30"/>
      <c r="T58" s="30"/>
      <c r="U58" s="30"/>
      <c r="V58" s="31"/>
    </row>
    <row r="59" spans="1:22">
      <c r="B59" s="29"/>
      <c r="C59" s="30"/>
      <c r="D59" s="30"/>
      <c r="E59" s="30"/>
      <c r="F59" s="30"/>
      <c r="G59" s="31"/>
      <c r="H59" s="30"/>
      <c r="I59" s="30"/>
      <c r="J59" s="30"/>
      <c r="K59" s="30"/>
      <c r="L59" s="29"/>
      <c r="M59" s="30"/>
      <c r="N59" s="30"/>
      <c r="O59" s="30"/>
      <c r="P59" s="30"/>
      <c r="Q59" s="30"/>
      <c r="R59" s="30"/>
      <c r="S59" s="30"/>
      <c r="T59" s="30"/>
      <c r="U59" s="30"/>
      <c r="V59" s="31"/>
    </row>
    <row r="60" spans="1:22">
      <c r="A60" s="1" t="s">
        <v>8</v>
      </c>
      <c r="B60" s="29">
        <f>SUM(LIFE)</f>
        <v>1142532.7372618408</v>
      </c>
      <c r="C60" s="30">
        <f>SUM(ALLOCATED)</f>
        <v>731782.28871571959</v>
      </c>
      <c r="D60" s="30">
        <f>SUM(HEALTH)</f>
        <v>0</v>
      </c>
      <c r="E60" s="30">
        <f>SUM(UNALLOCATED)</f>
        <v>0</v>
      </c>
      <c r="F60" s="30">
        <f>SUM(LTC)</f>
        <v>0</v>
      </c>
      <c r="G60" s="31">
        <f>SUM(ALL_BLOCKS)</f>
        <v>1874315.025977561</v>
      </c>
      <c r="H60" s="30"/>
      <c r="I60" s="30"/>
      <c r="J60" s="30"/>
      <c r="K60" s="30"/>
      <c r="L60" s="29">
        <f>SUM(LIFE_CALLED)</f>
        <v>4602083</v>
      </c>
      <c r="M60" s="30">
        <f>SUM(LIFE_REFUNDED)</f>
        <v>3175000</v>
      </c>
      <c r="N60" s="30"/>
      <c r="O60" s="30">
        <f>SUM(ALLOC_CALLED)</f>
        <v>277880</v>
      </c>
      <c r="P60" s="30">
        <f>SUM(ALLOC_REFUNDED)</f>
        <v>0</v>
      </c>
      <c r="Q60" s="30"/>
      <c r="R60" s="30">
        <f>SUM(HEALTH_CALLED)</f>
        <v>152528</v>
      </c>
      <c r="S60" s="30">
        <f>SUM(HEALTH_REFUNDED)</f>
        <v>125000</v>
      </c>
      <c r="T60" s="30"/>
      <c r="U60" s="30">
        <f>SUM(UNALLOC_CALLED)</f>
        <v>0</v>
      </c>
      <c r="V60" s="31">
        <f>SUM(UNALLOC_REFUNDED)</f>
        <v>0</v>
      </c>
    </row>
    <row r="61" spans="1:22" ht="5.0999999999999996" customHeight="1">
      <c r="B61" s="8"/>
      <c r="G61" s="11"/>
      <c r="L61" s="8"/>
      <c r="V61" s="11"/>
    </row>
    <row r="62" spans="1:22">
      <c r="B62" s="8"/>
      <c r="G62" s="11"/>
      <c r="L62" s="122" t="s">
        <v>80</v>
      </c>
      <c r="M62" s="123"/>
      <c r="N62" s="123"/>
      <c r="O62" s="123"/>
      <c r="P62" s="123"/>
      <c r="Q62" s="123"/>
      <c r="R62" s="123"/>
      <c r="S62" s="123"/>
      <c r="T62" s="123"/>
      <c r="U62" s="123"/>
      <c r="V62" s="124"/>
    </row>
    <row r="63" spans="1:22">
      <c r="B63" s="8"/>
      <c r="G63" s="11"/>
      <c r="L63" s="125"/>
      <c r="M63" s="123"/>
      <c r="N63" s="123"/>
      <c r="O63" s="123"/>
      <c r="P63" s="123"/>
      <c r="Q63" s="123"/>
      <c r="R63" s="123"/>
      <c r="S63" s="123"/>
      <c r="T63" s="123"/>
      <c r="U63" s="123"/>
      <c r="V63" s="124"/>
    </row>
    <row r="64" spans="1:22">
      <c r="B64" s="10"/>
      <c r="C64" s="7"/>
      <c r="D64" s="7"/>
      <c r="E64" s="7"/>
      <c r="F64" s="7"/>
      <c r="G64" s="13"/>
      <c r="L64" s="126"/>
      <c r="M64" s="127"/>
      <c r="N64" s="127"/>
      <c r="O64" s="127"/>
      <c r="P64" s="127"/>
      <c r="Q64" s="127"/>
      <c r="R64" s="127"/>
      <c r="S64" s="127"/>
      <c r="T64" s="127"/>
      <c r="U64" s="127"/>
      <c r="V64" s="128"/>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pageSetUpPr fitToPage="1"/>
  </sheetPr>
  <dimension ref="A1:V64"/>
  <sheetViews>
    <sheetView zoomScale="75" workbookViewId="0">
      <selection sqref="A1:XFD1048576"/>
    </sheetView>
  </sheetViews>
  <sheetFormatPr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129" t="s">
        <v>128</v>
      </c>
      <c r="B1" s="123"/>
      <c r="C1" s="123"/>
      <c r="D1" s="123"/>
      <c r="E1" s="123"/>
      <c r="F1" s="123"/>
      <c r="G1" s="123"/>
    </row>
    <row r="3" spans="1:22">
      <c r="B3" s="130" t="s">
        <v>1</v>
      </c>
      <c r="C3" s="131"/>
      <c r="D3" s="131"/>
      <c r="E3" s="131"/>
      <c r="F3" s="131"/>
      <c r="G3" s="132"/>
      <c r="L3" s="133" t="s">
        <v>2</v>
      </c>
      <c r="M3" s="134"/>
      <c r="N3" s="134"/>
      <c r="O3" s="134"/>
      <c r="P3" s="134"/>
      <c r="Q3" s="134"/>
      <c r="R3" s="134"/>
      <c r="S3" s="134"/>
      <c r="T3" s="134"/>
      <c r="U3" s="134"/>
      <c r="V3" s="135"/>
    </row>
    <row r="4" spans="1:22">
      <c r="B4" s="8"/>
      <c r="G4" s="11"/>
      <c r="L4" s="136" t="s">
        <v>3</v>
      </c>
      <c r="M4" s="137"/>
      <c r="N4" s="4"/>
      <c r="O4" s="138" t="s">
        <v>4</v>
      </c>
      <c r="P4" s="137"/>
      <c r="Q4" s="4"/>
      <c r="R4" s="138" t="s">
        <v>5</v>
      </c>
      <c r="S4" s="137"/>
      <c r="T4" s="4"/>
      <c r="U4" s="138" t="s">
        <v>6</v>
      </c>
      <c r="V4" s="139"/>
    </row>
    <row r="5" spans="1:22" ht="60" customHeight="1">
      <c r="B5" s="9" t="s">
        <v>3</v>
      </c>
      <c r="C5" s="5" t="s">
        <v>4</v>
      </c>
      <c r="D5" s="5" t="s">
        <v>5</v>
      </c>
      <c r="E5" s="5" t="s">
        <v>6</v>
      </c>
      <c r="F5" s="5" t="s">
        <v>7</v>
      </c>
      <c r="G5" s="12" t="s">
        <v>8</v>
      </c>
      <c r="L5" s="15" t="s">
        <v>9</v>
      </c>
      <c r="M5" s="14" t="s">
        <v>10</v>
      </c>
      <c r="N5" s="14"/>
      <c r="O5" s="14" t="s">
        <v>9</v>
      </c>
      <c r="P5" s="14" t="s">
        <v>10</v>
      </c>
      <c r="Q5" s="14"/>
      <c r="R5" s="14" t="s">
        <v>9</v>
      </c>
      <c r="S5" s="14" t="s">
        <v>10</v>
      </c>
      <c r="T5" s="14"/>
      <c r="U5" s="14" t="s">
        <v>9</v>
      </c>
      <c r="V5" s="16" t="s">
        <v>10</v>
      </c>
    </row>
    <row r="6" spans="1:22">
      <c r="A6" s="1" t="s">
        <v>11</v>
      </c>
      <c r="B6" s="29">
        <v>43008.290737429925</v>
      </c>
      <c r="C6" s="30">
        <v>80950.694796066004</v>
      </c>
      <c r="D6" s="30">
        <v>0</v>
      </c>
      <c r="E6" s="30">
        <v>0</v>
      </c>
      <c r="F6" s="30">
        <v>0</v>
      </c>
      <c r="G6" s="31">
        <f>SUM(AL_FINANCIAL)</f>
        <v>123958.98553349593</v>
      </c>
      <c r="H6" s="30"/>
      <c r="I6" s="30"/>
      <c r="J6" s="30"/>
      <c r="K6" s="30"/>
      <c r="L6" s="29">
        <v>59000</v>
      </c>
      <c r="M6" s="30">
        <v>0</v>
      </c>
      <c r="N6" s="30"/>
      <c r="O6" s="30">
        <v>51893</v>
      </c>
      <c r="P6" s="30">
        <v>0</v>
      </c>
      <c r="Q6" s="30"/>
      <c r="R6" s="30">
        <v>0</v>
      </c>
      <c r="S6" s="30">
        <v>0</v>
      </c>
      <c r="T6" s="30"/>
      <c r="U6" s="30">
        <v>0</v>
      </c>
      <c r="V6" s="31">
        <v>0</v>
      </c>
    </row>
    <row r="7" spans="1:22">
      <c r="A7" s="1" t="s">
        <v>12</v>
      </c>
      <c r="B7" s="29">
        <v>0</v>
      </c>
      <c r="C7" s="30">
        <v>0</v>
      </c>
      <c r="D7" s="30">
        <v>0</v>
      </c>
      <c r="E7" s="30">
        <v>0</v>
      </c>
      <c r="F7" s="30">
        <v>0</v>
      </c>
      <c r="G7" s="31">
        <f>SUM(AK_FINANCIAL)</f>
        <v>0</v>
      </c>
      <c r="H7" s="30"/>
      <c r="I7" s="32"/>
      <c r="J7" s="33"/>
      <c r="K7" s="30"/>
      <c r="L7" s="29"/>
      <c r="M7" s="30"/>
      <c r="N7" s="30"/>
      <c r="O7" s="30"/>
      <c r="P7" s="30"/>
      <c r="Q7" s="30"/>
      <c r="R7" s="30"/>
      <c r="S7" s="30"/>
      <c r="T7" s="30"/>
      <c r="U7" s="30"/>
      <c r="V7" s="31"/>
    </row>
    <row r="8" spans="1:22">
      <c r="A8" s="1" t="s">
        <v>13</v>
      </c>
      <c r="B8" s="29">
        <v>6696.6701440759007</v>
      </c>
      <c r="C8" s="30">
        <v>16811.816136865473</v>
      </c>
      <c r="D8" s="30">
        <v>0</v>
      </c>
      <c r="E8" s="30">
        <v>0</v>
      </c>
      <c r="F8" s="30">
        <v>0</v>
      </c>
      <c r="G8" s="31">
        <f>SUM(AZ_FINANCIAL)</f>
        <v>23508.486280941375</v>
      </c>
      <c r="H8" s="30"/>
      <c r="I8" s="34" t="s">
        <v>14</v>
      </c>
      <c r="J8" s="35"/>
      <c r="K8" s="30"/>
      <c r="L8" s="29">
        <v>3325</v>
      </c>
      <c r="M8" s="30">
        <v>0</v>
      </c>
      <c r="N8" s="30"/>
      <c r="O8" s="30">
        <v>5932</v>
      </c>
      <c r="P8" s="30">
        <v>0</v>
      </c>
      <c r="Q8" s="30"/>
      <c r="R8" s="30">
        <v>0</v>
      </c>
      <c r="S8" s="30">
        <v>0</v>
      </c>
      <c r="T8" s="30"/>
      <c r="U8" s="30">
        <v>0</v>
      </c>
      <c r="V8" s="31">
        <v>0</v>
      </c>
    </row>
    <row r="9" spans="1:22">
      <c r="A9" s="1" t="s">
        <v>15</v>
      </c>
      <c r="B9" s="29">
        <v>381.80872133965261</v>
      </c>
      <c r="C9" s="30">
        <v>19467.497977192128</v>
      </c>
      <c r="D9" s="30">
        <v>0</v>
      </c>
      <c r="E9" s="30">
        <v>0</v>
      </c>
      <c r="F9" s="30">
        <v>0</v>
      </c>
      <c r="G9" s="31">
        <f>SUM(AR_FINANCIAL)</f>
        <v>19849.306698531782</v>
      </c>
      <c r="H9" s="30"/>
      <c r="I9" s="34"/>
      <c r="J9" s="35"/>
      <c r="K9" s="30"/>
      <c r="L9" s="29">
        <v>47114</v>
      </c>
      <c r="M9" s="30">
        <v>0</v>
      </c>
      <c r="N9" s="30"/>
      <c r="O9" s="30">
        <v>0</v>
      </c>
      <c r="P9" s="30">
        <v>0</v>
      </c>
      <c r="Q9" s="30"/>
      <c r="R9" s="30">
        <v>0</v>
      </c>
      <c r="S9" s="30">
        <v>0</v>
      </c>
      <c r="T9" s="30"/>
      <c r="U9" s="30">
        <v>0</v>
      </c>
      <c r="V9" s="31">
        <v>0</v>
      </c>
    </row>
    <row r="10" spans="1:22">
      <c r="A10" s="1" t="s">
        <v>16</v>
      </c>
      <c r="B10" s="29">
        <v>83436.425082498376</v>
      </c>
      <c r="C10" s="30">
        <v>38250.785900899529</v>
      </c>
      <c r="D10" s="30">
        <v>0</v>
      </c>
      <c r="E10" s="30">
        <v>0</v>
      </c>
      <c r="F10" s="30">
        <v>0</v>
      </c>
      <c r="G10" s="31">
        <f>SUM(CA_FINANCIAL)</f>
        <v>121687.2109833979</v>
      </c>
      <c r="H10" s="30"/>
      <c r="I10" s="34" t="s">
        <v>17</v>
      </c>
      <c r="J10" s="35">
        <v>67641599.769650847</v>
      </c>
      <c r="K10" s="30"/>
      <c r="L10" s="29">
        <v>125483</v>
      </c>
      <c r="M10" s="30">
        <v>0</v>
      </c>
      <c r="N10" s="30"/>
      <c r="O10" s="30">
        <v>57507</v>
      </c>
      <c r="P10" s="30">
        <v>0</v>
      </c>
      <c r="Q10" s="30"/>
      <c r="R10" s="30">
        <v>0</v>
      </c>
      <c r="S10" s="30">
        <v>0</v>
      </c>
      <c r="T10" s="30"/>
      <c r="U10" s="30">
        <v>0</v>
      </c>
      <c r="V10" s="31">
        <v>0</v>
      </c>
    </row>
    <row r="11" spans="1:22">
      <c r="A11" s="1" t="s">
        <v>18</v>
      </c>
      <c r="B11" s="29">
        <v>15502.532394991813</v>
      </c>
      <c r="C11" s="30">
        <v>14197.06032458649</v>
      </c>
      <c r="D11" s="30">
        <v>0</v>
      </c>
      <c r="E11" s="30">
        <v>0</v>
      </c>
      <c r="F11" s="30">
        <v>0</v>
      </c>
      <c r="G11" s="31">
        <f>SUM(CO_FINANCIAL)</f>
        <v>29699.592719578301</v>
      </c>
      <c r="H11" s="30"/>
      <c r="I11" s="34"/>
      <c r="J11" s="35"/>
      <c r="K11" s="30"/>
      <c r="L11" s="29">
        <v>25480</v>
      </c>
      <c r="M11" s="30">
        <v>0</v>
      </c>
      <c r="N11" s="30"/>
      <c r="O11" s="30">
        <v>23520</v>
      </c>
      <c r="P11" s="30">
        <v>0</v>
      </c>
      <c r="Q11" s="30"/>
      <c r="R11" s="30">
        <v>0</v>
      </c>
      <c r="S11" s="30">
        <v>0</v>
      </c>
      <c r="T11" s="30"/>
      <c r="U11" s="30">
        <v>0</v>
      </c>
      <c r="V11" s="31">
        <v>0</v>
      </c>
    </row>
    <row r="12" spans="1:22">
      <c r="A12" s="1" t="s">
        <v>19</v>
      </c>
      <c r="B12" s="29">
        <v>0</v>
      </c>
      <c r="C12" s="30">
        <v>0</v>
      </c>
      <c r="D12" s="30">
        <v>0</v>
      </c>
      <c r="E12" s="30">
        <v>0</v>
      </c>
      <c r="F12" s="30">
        <v>0</v>
      </c>
      <c r="G12" s="31">
        <f>SUM(CT_FINANCIAL)</f>
        <v>0</v>
      </c>
      <c r="H12" s="30"/>
      <c r="I12" s="34" t="s">
        <v>20</v>
      </c>
      <c r="J12" s="35"/>
      <c r="K12" s="30"/>
      <c r="L12" s="29"/>
      <c r="M12" s="30"/>
      <c r="N12" s="30"/>
      <c r="O12" s="30"/>
      <c r="P12" s="30"/>
      <c r="Q12" s="30"/>
      <c r="R12" s="30"/>
      <c r="S12" s="30"/>
      <c r="T12" s="30"/>
      <c r="U12" s="30"/>
      <c r="V12" s="31"/>
    </row>
    <row r="13" spans="1:22">
      <c r="A13" s="1" t="s">
        <v>21</v>
      </c>
      <c r="B13" s="29">
        <v>1741.4145412038654</v>
      </c>
      <c r="C13" s="30">
        <v>1420.5825025781294</v>
      </c>
      <c r="D13" s="30">
        <v>0</v>
      </c>
      <c r="E13" s="30">
        <v>0</v>
      </c>
      <c r="F13" s="30">
        <v>0</v>
      </c>
      <c r="G13" s="31">
        <f>SUM(DE_FINANCIAL)</f>
        <v>3161.9970437819948</v>
      </c>
      <c r="H13" s="30"/>
      <c r="I13" s="34" t="s">
        <v>22</v>
      </c>
      <c r="J13" s="35">
        <v>382611.05000000005</v>
      </c>
      <c r="K13" s="30"/>
      <c r="L13" s="29">
        <v>750</v>
      </c>
      <c r="M13" s="30">
        <v>0</v>
      </c>
      <c r="N13" s="30"/>
      <c r="O13" s="30">
        <v>1750</v>
      </c>
      <c r="P13" s="30">
        <v>0</v>
      </c>
      <c r="Q13" s="30"/>
      <c r="R13" s="30">
        <v>0</v>
      </c>
      <c r="S13" s="30">
        <v>0</v>
      </c>
      <c r="T13" s="30"/>
      <c r="U13" s="30">
        <v>0</v>
      </c>
      <c r="V13" s="31">
        <v>0</v>
      </c>
    </row>
    <row r="14" spans="1:22">
      <c r="A14" s="1" t="s">
        <v>23</v>
      </c>
      <c r="B14" s="29">
        <v>0</v>
      </c>
      <c r="C14" s="30">
        <v>0</v>
      </c>
      <c r="D14" s="30">
        <v>0</v>
      </c>
      <c r="E14" s="30">
        <v>0</v>
      </c>
      <c r="F14" s="30">
        <v>0</v>
      </c>
      <c r="G14" s="31">
        <f>SUM(DC_FINANCIAL)</f>
        <v>0</v>
      </c>
      <c r="H14" s="30"/>
      <c r="I14" s="34" t="s">
        <v>24</v>
      </c>
      <c r="J14" s="35">
        <v>994264.99999999977</v>
      </c>
      <c r="K14" s="30"/>
      <c r="L14" s="29"/>
      <c r="M14" s="30"/>
      <c r="N14" s="30"/>
      <c r="O14" s="30"/>
      <c r="P14" s="30"/>
      <c r="Q14" s="30"/>
      <c r="R14" s="30"/>
      <c r="S14" s="30"/>
      <c r="T14" s="30"/>
      <c r="U14" s="30"/>
      <c r="V14" s="31"/>
    </row>
    <row r="15" spans="1:22">
      <c r="A15" s="1" t="s">
        <v>25</v>
      </c>
      <c r="B15" s="29">
        <v>303989.62744072115</v>
      </c>
      <c r="C15" s="30">
        <v>440006.11634247651</v>
      </c>
      <c r="D15" s="30">
        <v>0</v>
      </c>
      <c r="E15" s="30">
        <v>0</v>
      </c>
      <c r="F15" s="30">
        <v>0</v>
      </c>
      <c r="G15" s="31">
        <f>SUM(FL_FINANCIAL)</f>
        <v>743995.7437831976</v>
      </c>
      <c r="H15" s="30"/>
      <c r="I15" s="34" t="s">
        <v>26</v>
      </c>
      <c r="J15" s="35">
        <v>712586.20999999985</v>
      </c>
      <c r="K15" s="30"/>
      <c r="L15" s="29">
        <v>275000</v>
      </c>
      <c r="M15" s="30">
        <v>0</v>
      </c>
      <c r="N15" s="30"/>
      <c r="O15" s="30">
        <v>975000</v>
      </c>
      <c r="P15" s="30">
        <v>0</v>
      </c>
      <c r="Q15" s="30"/>
      <c r="R15" s="30">
        <v>0</v>
      </c>
      <c r="S15" s="30">
        <v>0</v>
      </c>
      <c r="T15" s="30"/>
      <c r="U15" s="30">
        <v>0</v>
      </c>
      <c r="V15" s="31">
        <v>0</v>
      </c>
    </row>
    <row r="16" spans="1:22">
      <c r="A16" s="1" t="s">
        <v>27</v>
      </c>
      <c r="B16" s="29">
        <v>84456.602707979211</v>
      </c>
      <c r="C16" s="30">
        <v>1336680.5301448018</v>
      </c>
      <c r="D16" s="30">
        <v>0</v>
      </c>
      <c r="E16" s="30">
        <v>0</v>
      </c>
      <c r="F16" s="30">
        <v>0</v>
      </c>
      <c r="G16" s="31">
        <f>SUM(GA_FINANCIAL)</f>
        <v>1421137.1328527811</v>
      </c>
      <c r="H16" s="30"/>
      <c r="I16" s="34" t="s">
        <v>28</v>
      </c>
      <c r="J16" s="35">
        <v>0</v>
      </c>
      <c r="K16" s="30"/>
      <c r="L16" s="29">
        <v>112560</v>
      </c>
      <c r="M16" s="30">
        <v>0</v>
      </c>
      <c r="N16" s="30"/>
      <c r="O16" s="30">
        <v>2087440</v>
      </c>
      <c r="P16" s="30">
        <v>92229.35</v>
      </c>
      <c r="Q16" s="30"/>
      <c r="R16" s="30">
        <v>0</v>
      </c>
      <c r="S16" s="30">
        <v>0</v>
      </c>
      <c r="T16" s="30"/>
      <c r="U16" s="30">
        <v>0</v>
      </c>
      <c r="V16" s="31">
        <v>0</v>
      </c>
    </row>
    <row r="17" spans="1:22">
      <c r="A17" s="1" t="s">
        <v>29</v>
      </c>
      <c r="B17" s="29">
        <v>0</v>
      </c>
      <c r="C17" s="30">
        <v>0</v>
      </c>
      <c r="D17" s="30">
        <v>0</v>
      </c>
      <c r="E17" s="30">
        <v>0</v>
      </c>
      <c r="F17" s="30">
        <v>0</v>
      </c>
      <c r="G17" s="31">
        <f>SUM(HI_FINANCIAL)</f>
        <v>0</v>
      </c>
      <c r="H17" s="30"/>
      <c r="I17" s="34"/>
      <c r="J17" s="35"/>
      <c r="K17" s="30"/>
      <c r="L17" s="29"/>
      <c r="M17" s="30"/>
      <c r="N17" s="30"/>
      <c r="O17" s="30"/>
      <c r="P17" s="30"/>
      <c r="Q17" s="30"/>
      <c r="R17" s="30"/>
      <c r="S17" s="30"/>
      <c r="T17" s="30"/>
      <c r="U17" s="30"/>
      <c r="V17" s="31"/>
    </row>
    <row r="18" spans="1:22">
      <c r="A18" s="1" t="s">
        <v>30</v>
      </c>
      <c r="B18" s="29">
        <v>0</v>
      </c>
      <c r="C18" s="30">
        <v>0</v>
      </c>
      <c r="D18" s="30">
        <v>0</v>
      </c>
      <c r="E18" s="30">
        <v>0</v>
      </c>
      <c r="F18" s="30">
        <v>0</v>
      </c>
      <c r="G18" s="31">
        <f>SUM(ID_FINANCIAL)</f>
        <v>0</v>
      </c>
      <c r="H18" s="30"/>
      <c r="I18" s="34" t="s">
        <v>31</v>
      </c>
      <c r="J18" s="35"/>
      <c r="K18" s="30"/>
      <c r="L18" s="29"/>
      <c r="M18" s="30"/>
      <c r="N18" s="30"/>
      <c r="O18" s="30"/>
      <c r="P18" s="30"/>
      <c r="Q18" s="30"/>
      <c r="R18" s="30"/>
      <c r="S18" s="30"/>
      <c r="T18" s="30"/>
      <c r="U18" s="30"/>
      <c r="V18" s="31"/>
    </row>
    <row r="19" spans="1:22">
      <c r="A19" s="1" t="s">
        <v>32</v>
      </c>
      <c r="B19" s="29">
        <v>93099.494201263631</v>
      </c>
      <c r="C19" s="30">
        <v>10239.849632879204</v>
      </c>
      <c r="D19" s="30">
        <v>0</v>
      </c>
      <c r="E19" s="30">
        <v>0</v>
      </c>
      <c r="F19" s="30">
        <v>0</v>
      </c>
      <c r="G19" s="31">
        <f>SUM(IL_FINANCIAL)</f>
        <v>103339.34383414284</v>
      </c>
      <c r="H19" s="30"/>
      <c r="I19" s="34" t="s">
        <v>33</v>
      </c>
      <c r="J19" s="35">
        <v>46001671.584207788</v>
      </c>
      <c r="K19" s="30"/>
      <c r="L19" s="29">
        <v>167000</v>
      </c>
      <c r="M19" s="30">
        <v>0</v>
      </c>
      <c r="N19" s="30"/>
      <c r="O19" s="30">
        <v>8000</v>
      </c>
      <c r="P19" s="30">
        <v>0</v>
      </c>
      <c r="Q19" s="30"/>
      <c r="R19" s="30">
        <v>0</v>
      </c>
      <c r="S19" s="30">
        <v>0</v>
      </c>
      <c r="T19" s="30"/>
      <c r="U19" s="30">
        <v>0</v>
      </c>
      <c r="V19" s="31">
        <v>0</v>
      </c>
    </row>
    <row r="20" spans="1:22">
      <c r="A20" s="1" t="s">
        <v>34</v>
      </c>
      <c r="B20" s="29">
        <v>139.89755854319895</v>
      </c>
      <c r="C20" s="30">
        <v>31231.925416174803</v>
      </c>
      <c r="D20" s="30">
        <v>0</v>
      </c>
      <c r="E20" s="30">
        <v>0</v>
      </c>
      <c r="F20" s="30">
        <v>0</v>
      </c>
      <c r="G20" s="31">
        <f>SUM(IN_FINANCIAL)</f>
        <v>31371.822974718001</v>
      </c>
      <c r="H20" s="30"/>
      <c r="I20" s="34" t="s">
        <v>35</v>
      </c>
      <c r="J20" s="35">
        <v>-131111.8145569294</v>
      </c>
      <c r="K20" s="30"/>
      <c r="L20" s="29"/>
      <c r="M20" s="30"/>
      <c r="N20" s="30"/>
      <c r="O20" s="30"/>
      <c r="P20" s="30"/>
      <c r="Q20" s="30"/>
      <c r="R20" s="30"/>
      <c r="S20" s="30"/>
      <c r="T20" s="30"/>
      <c r="U20" s="30"/>
      <c r="V20" s="31"/>
    </row>
    <row r="21" spans="1:22">
      <c r="A21" s="1" t="s">
        <v>36</v>
      </c>
      <c r="B21" s="29">
        <v>253.07795276521381</v>
      </c>
      <c r="C21" s="30">
        <v>0</v>
      </c>
      <c r="D21" s="30">
        <v>0</v>
      </c>
      <c r="E21" s="30">
        <v>0</v>
      </c>
      <c r="F21" s="30">
        <v>0</v>
      </c>
      <c r="G21" s="31">
        <f>SUM(IA_FINANCIAL)</f>
        <v>253.07795276521381</v>
      </c>
      <c r="H21" s="30"/>
      <c r="I21" s="34" t="s">
        <v>37</v>
      </c>
      <c r="J21" s="35"/>
      <c r="K21" s="30"/>
      <c r="L21" s="29"/>
      <c r="M21" s="30"/>
      <c r="N21" s="30"/>
      <c r="O21" s="30"/>
      <c r="P21" s="30"/>
      <c r="Q21" s="30"/>
      <c r="R21" s="30"/>
      <c r="S21" s="30"/>
      <c r="T21" s="30"/>
      <c r="U21" s="30"/>
      <c r="V21" s="31"/>
    </row>
    <row r="22" spans="1:22">
      <c r="A22" s="1" t="s">
        <v>38</v>
      </c>
      <c r="B22" s="29">
        <v>2108.6193789494937</v>
      </c>
      <c r="C22" s="30">
        <v>4181.0874354103435</v>
      </c>
      <c r="D22" s="30">
        <v>0</v>
      </c>
      <c r="E22" s="30">
        <v>0</v>
      </c>
      <c r="F22" s="30">
        <v>0</v>
      </c>
      <c r="G22" s="31">
        <f>SUM(KS_FINANCIAL)</f>
        <v>6289.7068143598372</v>
      </c>
      <c r="H22" s="30"/>
      <c r="I22" s="34" t="s">
        <v>39</v>
      </c>
      <c r="J22" s="35">
        <v>259235</v>
      </c>
      <c r="K22" s="30"/>
      <c r="L22" s="29"/>
      <c r="M22" s="30"/>
      <c r="N22" s="30"/>
      <c r="O22" s="30"/>
      <c r="P22" s="30"/>
      <c r="Q22" s="30"/>
      <c r="R22" s="30"/>
      <c r="S22" s="30"/>
      <c r="T22" s="30"/>
      <c r="U22" s="30"/>
      <c r="V22" s="31"/>
    </row>
    <row r="23" spans="1:22">
      <c r="A23" s="1" t="s">
        <v>40</v>
      </c>
      <c r="B23" s="29">
        <v>40983.994685723519</v>
      </c>
      <c r="C23" s="30">
        <v>162669.92402872629</v>
      </c>
      <c r="D23" s="30">
        <v>0</v>
      </c>
      <c r="E23" s="30">
        <v>0</v>
      </c>
      <c r="F23" s="30">
        <v>0</v>
      </c>
      <c r="G23" s="31">
        <f>SUM(KY_FINANCIAL)</f>
        <v>203653.9187144498</v>
      </c>
      <c r="H23" s="30"/>
      <c r="I23" s="34" t="s">
        <v>41</v>
      </c>
      <c r="J23" s="35"/>
      <c r="K23" s="30"/>
      <c r="L23" s="29">
        <v>59999</v>
      </c>
      <c r="M23" s="30">
        <v>0</v>
      </c>
      <c r="N23" s="30"/>
      <c r="O23" s="30">
        <v>280671</v>
      </c>
      <c r="P23" s="30">
        <v>50000</v>
      </c>
      <c r="Q23" s="30"/>
      <c r="R23" s="30">
        <v>0</v>
      </c>
      <c r="S23" s="30">
        <v>0</v>
      </c>
      <c r="T23" s="30"/>
      <c r="U23" s="30">
        <v>0</v>
      </c>
      <c r="V23" s="31">
        <v>0</v>
      </c>
    </row>
    <row r="24" spans="1:22">
      <c r="A24" s="1" t="s">
        <v>42</v>
      </c>
      <c r="B24" s="29">
        <v>107658.06154435754</v>
      </c>
      <c r="C24" s="30">
        <v>37534.302992558958</v>
      </c>
      <c r="D24" s="30">
        <v>0</v>
      </c>
      <c r="E24" s="30">
        <v>0</v>
      </c>
      <c r="F24" s="30">
        <v>0</v>
      </c>
      <c r="G24" s="31">
        <f>SUM(LA_FINANCIAL)</f>
        <v>145192.36453691649</v>
      </c>
      <c r="H24" s="30"/>
      <c r="I24" s="34" t="s">
        <v>43</v>
      </c>
      <c r="J24" s="35">
        <v>7843309.1354829157</v>
      </c>
      <c r="K24" s="30"/>
      <c r="L24" s="29">
        <v>110873</v>
      </c>
      <c r="M24" s="30">
        <v>0</v>
      </c>
      <c r="N24" s="30"/>
      <c r="O24" s="30">
        <v>21127</v>
      </c>
      <c r="P24" s="30">
        <v>0</v>
      </c>
      <c r="Q24" s="30"/>
      <c r="R24" s="30">
        <v>0</v>
      </c>
      <c r="S24" s="30">
        <v>0</v>
      </c>
      <c r="T24" s="30"/>
      <c r="U24" s="30">
        <v>0</v>
      </c>
      <c r="V24" s="31">
        <v>0</v>
      </c>
    </row>
    <row r="25" spans="1:22">
      <c r="A25" s="1" t="s">
        <v>44</v>
      </c>
      <c r="B25" s="29">
        <v>0</v>
      </c>
      <c r="C25" s="30">
        <v>0</v>
      </c>
      <c r="D25" s="30">
        <v>0</v>
      </c>
      <c r="E25" s="30">
        <v>0</v>
      </c>
      <c r="F25" s="30">
        <v>0</v>
      </c>
      <c r="G25" s="31">
        <f>SUM(ME_FINANCIAL)</f>
        <v>0</v>
      </c>
      <c r="H25" s="30"/>
      <c r="I25" s="34"/>
      <c r="J25" s="35"/>
      <c r="K25" s="30"/>
      <c r="L25" s="29"/>
      <c r="M25" s="30"/>
      <c r="N25" s="30"/>
      <c r="O25" s="30"/>
      <c r="P25" s="30"/>
      <c r="Q25" s="30"/>
      <c r="R25" s="30"/>
      <c r="S25" s="30"/>
      <c r="T25" s="30"/>
      <c r="U25" s="30"/>
      <c r="V25" s="31"/>
    </row>
    <row r="26" spans="1:22">
      <c r="A26" s="1" t="s">
        <v>45</v>
      </c>
      <c r="B26" s="29">
        <v>26790.754836532</v>
      </c>
      <c r="C26" s="30">
        <v>61328.64965600858</v>
      </c>
      <c r="D26" s="30">
        <v>0</v>
      </c>
      <c r="E26" s="30">
        <v>0</v>
      </c>
      <c r="F26" s="30">
        <v>0</v>
      </c>
      <c r="G26" s="31">
        <f>SUM(MD_FINANCIAL)</f>
        <v>88119.404492540576</v>
      </c>
      <c r="H26" s="30"/>
      <c r="I26" s="34" t="s">
        <v>46</v>
      </c>
      <c r="J26" s="35">
        <f>SUM(ADD_FINANCIAL)-SUM(LESS_FINANCIAL)</f>
        <v>15757958.124517061</v>
      </c>
      <c r="K26" s="30"/>
      <c r="L26" s="29">
        <v>18300</v>
      </c>
      <c r="M26" s="30">
        <v>0</v>
      </c>
      <c r="N26" s="30"/>
      <c r="O26" s="30">
        <v>53700</v>
      </c>
      <c r="P26" s="30">
        <v>0</v>
      </c>
      <c r="Q26" s="30"/>
      <c r="R26" s="30">
        <v>0</v>
      </c>
      <c r="S26" s="30">
        <v>0</v>
      </c>
      <c r="T26" s="30"/>
      <c r="U26" s="30">
        <v>0</v>
      </c>
      <c r="V26" s="31">
        <v>0</v>
      </c>
    </row>
    <row r="27" spans="1:22">
      <c r="A27" s="1" t="s">
        <v>47</v>
      </c>
      <c r="B27" s="29">
        <v>0</v>
      </c>
      <c r="C27" s="30">
        <v>0</v>
      </c>
      <c r="D27" s="30">
        <v>0</v>
      </c>
      <c r="E27" s="30">
        <v>0</v>
      </c>
      <c r="F27" s="30">
        <v>0</v>
      </c>
      <c r="G27" s="31">
        <f>SUM(MA_FINANCIAL)</f>
        <v>0</v>
      </c>
      <c r="H27" s="30"/>
      <c r="I27" s="34" t="s">
        <v>48</v>
      </c>
      <c r="J27" s="35">
        <f>SUM(ALL_BLOCKS)</f>
        <v>15757958.124517081</v>
      </c>
      <c r="K27" s="30"/>
      <c r="L27" s="29"/>
      <c r="M27" s="30"/>
      <c r="N27" s="30"/>
      <c r="O27" s="30"/>
      <c r="P27" s="30"/>
      <c r="Q27" s="30"/>
      <c r="R27" s="30"/>
      <c r="S27" s="30"/>
      <c r="T27" s="30"/>
      <c r="U27" s="30"/>
      <c r="V27" s="31"/>
    </row>
    <row r="28" spans="1:22">
      <c r="A28" s="1" t="s">
        <v>49</v>
      </c>
      <c r="B28" s="29">
        <v>0</v>
      </c>
      <c r="C28" s="30">
        <v>0</v>
      </c>
      <c r="D28" s="30">
        <v>0</v>
      </c>
      <c r="E28" s="30">
        <v>0</v>
      </c>
      <c r="F28" s="30">
        <v>0</v>
      </c>
      <c r="G28" s="31">
        <f>SUM(MI_FINANCIAL)</f>
        <v>0</v>
      </c>
      <c r="H28" s="30"/>
      <c r="I28" s="36"/>
      <c r="J28" s="37"/>
      <c r="K28" s="30"/>
      <c r="L28" s="29"/>
      <c r="M28" s="30"/>
      <c r="N28" s="30"/>
      <c r="O28" s="30"/>
      <c r="P28" s="30"/>
      <c r="Q28" s="30"/>
      <c r="R28" s="30"/>
      <c r="S28" s="30"/>
      <c r="T28" s="30"/>
      <c r="U28" s="30"/>
      <c r="V28" s="31"/>
    </row>
    <row r="29" spans="1:22">
      <c r="A29" s="1" t="s">
        <v>50</v>
      </c>
      <c r="B29" s="29">
        <v>0</v>
      </c>
      <c r="C29" s="30">
        <v>0</v>
      </c>
      <c r="D29" s="30">
        <v>0</v>
      </c>
      <c r="E29" s="30">
        <v>0</v>
      </c>
      <c r="F29" s="30">
        <v>0</v>
      </c>
      <c r="G29" s="31">
        <f>SUM(MN_FINANCIAL)</f>
        <v>0</v>
      </c>
      <c r="H29" s="30"/>
      <c r="I29" s="30"/>
      <c r="J29" s="30"/>
      <c r="K29" s="30"/>
      <c r="L29" s="29"/>
      <c r="M29" s="30"/>
      <c r="N29" s="30"/>
      <c r="O29" s="30"/>
      <c r="P29" s="30"/>
      <c r="Q29" s="30"/>
      <c r="R29" s="30"/>
      <c r="S29" s="30"/>
      <c r="T29" s="30"/>
      <c r="U29" s="30"/>
      <c r="V29" s="31"/>
    </row>
    <row r="30" spans="1:22">
      <c r="A30" s="1" t="s">
        <v>51</v>
      </c>
      <c r="B30" s="29">
        <v>3928.220907894668</v>
      </c>
      <c r="C30" s="30">
        <v>47668.740447080054</v>
      </c>
      <c r="D30" s="30">
        <v>0</v>
      </c>
      <c r="E30" s="30">
        <v>0</v>
      </c>
      <c r="F30" s="30">
        <v>0</v>
      </c>
      <c r="G30" s="31">
        <f>SUM(MS_FINANCIAL)</f>
        <v>51596.961354974723</v>
      </c>
      <c r="H30" s="30"/>
      <c r="I30" s="30"/>
      <c r="J30" s="30"/>
      <c r="K30" s="30"/>
      <c r="L30" s="29"/>
      <c r="M30" s="30"/>
      <c r="N30" s="30"/>
      <c r="O30" s="30"/>
      <c r="P30" s="30"/>
      <c r="Q30" s="30"/>
      <c r="R30" s="30"/>
      <c r="S30" s="30"/>
      <c r="T30" s="30"/>
      <c r="U30" s="30"/>
      <c r="V30" s="31"/>
    </row>
    <row r="31" spans="1:22">
      <c r="A31" s="1" t="s">
        <v>52</v>
      </c>
      <c r="B31" s="29">
        <v>3346.0858168075783</v>
      </c>
      <c r="C31" s="30">
        <v>20059.204683767752</v>
      </c>
      <c r="D31" s="30">
        <v>0</v>
      </c>
      <c r="E31" s="30">
        <v>0</v>
      </c>
      <c r="F31" s="30">
        <v>0</v>
      </c>
      <c r="G31" s="31">
        <f>SUM(MO_FINANCIAL)</f>
        <v>23405.290500575331</v>
      </c>
      <c r="H31" s="30"/>
      <c r="I31" s="30"/>
      <c r="J31" s="30"/>
      <c r="K31" s="30"/>
      <c r="L31" s="29"/>
      <c r="M31" s="30"/>
      <c r="N31" s="30"/>
      <c r="O31" s="30"/>
      <c r="P31" s="30"/>
      <c r="Q31" s="30"/>
      <c r="R31" s="30"/>
      <c r="S31" s="30"/>
      <c r="T31" s="30"/>
      <c r="U31" s="30"/>
      <c r="V31" s="31"/>
    </row>
    <row r="32" spans="1:22">
      <c r="A32" s="1" t="s">
        <v>53</v>
      </c>
      <c r="B32" s="29">
        <v>0</v>
      </c>
      <c r="C32" s="30">
        <v>0</v>
      </c>
      <c r="D32" s="30">
        <v>0</v>
      </c>
      <c r="E32" s="30">
        <v>0</v>
      </c>
      <c r="F32" s="30">
        <v>0</v>
      </c>
      <c r="G32" s="31">
        <f>SUM(MT_FINANCIAL)</f>
        <v>0</v>
      </c>
      <c r="H32" s="30"/>
      <c r="I32" s="30"/>
      <c r="J32" s="30"/>
      <c r="K32" s="30"/>
      <c r="L32" s="29"/>
      <c r="M32" s="30"/>
      <c r="N32" s="30"/>
      <c r="O32" s="30"/>
      <c r="P32" s="30"/>
      <c r="Q32" s="30"/>
      <c r="R32" s="30"/>
      <c r="S32" s="30"/>
      <c r="T32" s="30"/>
      <c r="U32" s="30"/>
      <c r="V32" s="31"/>
    </row>
    <row r="33" spans="1:22">
      <c r="A33" s="1" t="s">
        <v>54</v>
      </c>
      <c r="B33" s="29">
        <v>0</v>
      </c>
      <c r="C33" s="30">
        <v>0</v>
      </c>
      <c r="D33" s="30">
        <v>0</v>
      </c>
      <c r="E33" s="30">
        <v>0</v>
      </c>
      <c r="F33" s="30">
        <v>0</v>
      </c>
      <c r="G33" s="31">
        <f>SUM(NE_FINANCIAL)</f>
        <v>0</v>
      </c>
      <c r="H33" s="30"/>
      <c r="I33" s="30"/>
      <c r="J33" s="30"/>
      <c r="K33" s="30"/>
      <c r="L33" s="29"/>
      <c r="M33" s="30"/>
      <c r="N33" s="30"/>
      <c r="O33" s="30"/>
      <c r="P33" s="30"/>
      <c r="Q33" s="30"/>
      <c r="R33" s="30"/>
      <c r="S33" s="30"/>
      <c r="T33" s="30"/>
      <c r="U33" s="30"/>
      <c r="V33" s="31"/>
    </row>
    <row r="34" spans="1:22">
      <c r="A34" s="1" t="s">
        <v>55</v>
      </c>
      <c r="B34" s="29">
        <v>1176.9330958043447</v>
      </c>
      <c r="C34" s="30">
        <v>0</v>
      </c>
      <c r="D34" s="30">
        <v>0</v>
      </c>
      <c r="E34" s="30">
        <v>0</v>
      </c>
      <c r="F34" s="30">
        <v>0</v>
      </c>
      <c r="G34" s="31">
        <f>SUM(NV_FINANCIAL)</f>
        <v>1176.9330958043447</v>
      </c>
      <c r="H34" s="30"/>
      <c r="I34" s="30"/>
      <c r="J34" s="30"/>
      <c r="K34" s="30"/>
      <c r="L34" s="29"/>
      <c r="M34" s="30"/>
      <c r="N34" s="30"/>
      <c r="O34" s="30"/>
      <c r="P34" s="30"/>
      <c r="Q34" s="30"/>
      <c r="R34" s="30"/>
      <c r="S34" s="30"/>
      <c r="T34" s="30"/>
      <c r="U34" s="30"/>
      <c r="V34" s="31"/>
    </row>
    <row r="35" spans="1:22">
      <c r="A35" s="1" t="s">
        <v>56</v>
      </c>
      <c r="B35" s="29">
        <v>0</v>
      </c>
      <c r="C35" s="30">
        <v>0</v>
      </c>
      <c r="D35" s="30">
        <v>0</v>
      </c>
      <c r="E35" s="30">
        <v>0</v>
      </c>
      <c r="F35" s="30">
        <v>0</v>
      </c>
      <c r="G35" s="31">
        <f>SUM(NH_FINANCIAL)</f>
        <v>0</v>
      </c>
      <c r="H35" s="30"/>
      <c r="I35" s="30"/>
      <c r="J35" s="30"/>
      <c r="K35" s="30"/>
      <c r="L35" s="29"/>
      <c r="M35" s="30"/>
      <c r="N35" s="30"/>
      <c r="O35" s="30"/>
      <c r="P35" s="30"/>
      <c r="Q35" s="30"/>
      <c r="R35" s="30"/>
      <c r="S35" s="30"/>
      <c r="T35" s="30"/>
      <c r="U35" s="30"/>
      <c r="V35" s="31"/>
    </row>
    <row r="36" spans="1:22">
      <c r="A36" s="1" t="s">
        <v>57</v>
      </c>
      <c r="B36" s="29">
        <v>8197.3465400421865</v>
      </c>
      <c r="C36" s="30">
        <v>53103.76735980963</v>
      </c>
      <c r="D36" s="30">
        <v>0</v>
      </c>
      <c r="E36" s="30">
        <v>0</v>
      </c>
      <c r="F36" s="30">
        <v>0</v>
      </c>
      <c r="G36" s="31">
        <f>SUM(NJ_FINANCIAL)</f>
        <v>61301.113899851814</v>
      </c>
      <c r="H36" s="30"/>
      <c r="I36" s="30"/>
      <c r="J36" s="30"/>
      <c r="K36" s="30"/>
      <c r="L36" s="29">
        <v>100000</v>
      </c>
      <c r="M36" s="30">
        <v>0</v>
      </c>
      <c r="N36" s="30"/>
      <c r="O36" s="30">
        <v>0</v>
      </c>
      <c r="P36" s="30">
        <v>0</v>
      </c>
      <c r="Q36" s="30"/>
      <c r="R36" s="30">
        <v>0</v>
      </c>
      <c r="S36" s="30">
        <v>0</v>
      </c>
      <c r="T36" s="30"/>
      <c r="U36" s="30">
        <v>0</v>
      </c>
      <c r="V36" s="31">
        <v>0</v>
      </c>
    </row>
    <row r="37" spans="1:22">
      <c r="A37" s="1" t="s">
        <v>58</v>
      </c>
      <c r="B37" s="29">
        <v>16879.78406160379</v>
      </c>
      <c r="C37" s="30">
        <v>0</v>
      </c>
      <c r="D37" s="30">
        <v>0</v>
      </c>
      <c r="E37" s="30">
        <v>0</v>
      </c>
      <c r="F37" s="30">
        <v>0</v>
      </c>
      <c r="G37" s="31">
        <f>SUM(NM_FINANCIAL)</f>
        <v>16879.78406160379</v>
      </c>
      <c r="H37" s="30"/>
      <c r="I37" s="30"/>
      <c r="J37" s="30"/>
      <c r="K37" s="30"/>
      <c r="L37" s="29"/>
      <c r="M37" s="30"/>
      <c r="N37" s="30"/>
      <c r="O37" s="30"/>
      <c r="P37" s="30"/>
      <c r="Q37" s="30"/>
      <c r="R37" s="30"/>
      <c r="S37" s="30"/>
      <c r="T37" s="30"/>
      <c r="U37" s="30"/>
      <c r="V37" s="31"/>
    </row>
    <row r="38" spans="1:22">
      <c r="A38" s="1" t="s">
        <v>59</v>
      </c>
      <c r="B38" s="29">
        <v>0</v>
      </c>
      <c r="C38" s="30">
        <v>0</v>
      </c>
      <c r="D38" s="30">
        <v>0</v>
      </c>
      <c r="E38" s="30">
        <v>0</v>
      </c>
      <c r="F38" s="30">
        <v>0</v>
      </c>
      <c r="G38" s="31">
        <f>SUM(NY_FINANCIAL)</f>
        <v>0</v>
      </c>
      <c r="H38" s="30"/>
      <c r="I38" s="30"/>
      <c r="J38" s="30"/>
      <c r="K38" s="30"/>
      <c r="L38" s="29"/>
      <c r="M38" s="30"/>
      <c r="N38" s="30"/>
      <c r="O38" s="30"/>
      <c r="P38" s="30"/>
      <c r="Q38" s="30"/>
      <c r="R38" s="30"/>
      <c r="S38" s="30"/>
      <c r="T38" s="30"/>
      <c r="U38" s="30"/>
      <c r="V38" s="31"/>
    </row>
    <row r="39" spans="1:22">
      <c r="A39" s="1" t="s">
        <v>60</v>
      </c>
      <c r="B39" s="29">
        <v>350834.23387268034</v>
      </c>
      <c r="C39" s="30">
        <v>2035493.0079735378</v>
      </c>
      <c r="D39" s="30">
        <v>225</v>
      </c>
      <c r="E39" s="30">
        <v>0</v>
      </c>
      <c r="F39" s="30">
        <v>0</v>
      </c>
      <c r="G39" s="31">
        <f>SUM(NC_FINANCIAL)</f>
        <v>2386552.2418462182</v>
      </c>
      <c r="H39" s="30"/>
      <c r="I39" s="30"/>
      <c r="J39" s="30"/>
      <c r="K39" s="30"/>
      <c r="L39" s="29">
        <v>450000</v>
      </c>
      <c r="M39" s="30">
        <v>60000</v>
      </c>
      <c r="N39" s="30"/>
      <c r="O39" s="30">
        <v>2550000</v>
      </c>
      <c r="P39" s="30">
        <v>340000</v>
      </c>
      <c r="Q39" s="30"/>
      <c r="R39" s="30">
        <v>0</v>
      </c>
      <c r="S39" s="30">
        <v>0</v>
      </c>
      <c r="T39" s="30"/>
      <c r="U39" s="30">
        <v>0</v>
      </c>
      <c r="V39" s="31">
        <v>0</v>
      </c>
    </row>
    <row r="40" spans="1:22">
      <c r="A40" s="1" t="s">
        <v>61</v>
      </c>
      <c r="B40" s="29">
        <v>0</v>
      </c>
      <c r="C40" s="30">
        <v>0</v>
      </c>
      <c r="D40" s="30">
        <v>0</v>
      </c>
      <c r="E40" s="30">
        <v>0</v>
      </c>
      <c r="F40" s="30">
        <v>0</v>
      </c>
      <c r="G40" s="31">
        <f>SUM(ND_FINANCIAL)</f>
        <v>0</v>
      </c>
      <c r="H40" s="30"/>
      <c r="I40" s="30"/>
      <c r="J40" s="30"/>
      <c r="K40" s="30"/>
      <c r="L40" s="29"/>
      <c r="M40" s="30"/>
      <c r="N40" s="30"/>
      <c r="O40" s="30"/>
      <c r="P40" s="30"/>
      <c r="Q40" s="30"/>
      <c r="R40" s="30"/>
      <c r="S40" s="30"/>
      <c r="T40" s="30"/>
      <c r="U40" s="30"/>
      <c r="V40" s="31"/>
    </row>
    <row r="41" spans="1:22">
      <c r="A41" s="1" t="s">
        <v>62</v>
      </c>
      <c r="B41" s="29">
        <v>51276.712705508893</v>
      </c>
      <c r="C41" s="30">
        <v>256316.74198780878</v>
      </c>
      <c r="D41" s="30">
        <v>0</v>
      </c>
      <c r="E41" s="30">
        <v>0</v>
      </c>
      <c r="F41" s="30">
        <v>0</v>
      </c>
      <c r="G41" s="31">
        <f>SUM(OH_FINANCIAL)</f>
        <v>307593.45469331765</v>
      </c>
      <c r="H41" s="30"/>
      <c r="I41" s="30"/>
      <c r="J41" s="30"/>
      <c r="K41" s="30"/>
      <c r="L41" s="29">
        <v>70000</v>
      </c>
      <c r="M41" s="30">
        <v>0</v>
      </c>
      <c r="N41" s="30"/>
      <c r="O41" s="30">
        <v>370000</v>
      </c>
      <c r="P41" s="30">
        <v>0</v>
      </c>
      <c r="Q41" s="30"/>
      <c r="R41" s="30">
        <v>0</v>
      </c>
      <c r="S41" s="30">
        <v>0</v>
      </c>
      <c r="T41" s="30"/>
      <c r="U41" s="30">
        <v>0</v>
      </c>
      <c r="V41" s="31">
        <v>0</v>
      </c>
    </row>
    <row r="42" spans="1:22">
      <c r="A42" s="1" t="s">
        <v>63</v>
      </c>
      <c r="B42" s="29">
        <v>110515.25347375113</v>
      </c>
      <c r="C42" s="30">
        <v>33741.462806039082</v>
      </c>
      <c r="D42" s="30">
        <v>0</v>
      </c>
      <c r="E42" s="30">
        <v>0</v>
      </c>
      <c r="F42" s="30">
        <v>0</v>
      </c>
      <c r="G42" s="31">
        <f>SUM(OK_FINANCIAL)</f>
        <v>144256.71627979021</v>
      </c>
      <c r="H42" s="30"/>
      <c r="I42" s="30"/>
      <c r="J42" s="30"/>
      <c r="K42" s="30"/>
      <c r="L42" s="29">
        <v>52900</v>
      </c>
      <c r="M42" s="30">
        <v>0</v>
      </c>
      <c r="N42" s="30"/>
      <c r="O42" s="30">
        <v>177100</v>
      </c>
      <c r="P42" s="30">
        <v>0</v>
      </c>
      <c r="Q42" s="30"/>
      <c r="R42" s="30">
        <v>0</v>
      </c>
      <c r="S42" s="30">
        <v>0</v>
      </c>
      <c r="T42" s="30"/>
      <c r="U42" s="30">
        <v>0</v>
      </c>
      <c r="V42" s="31">
        <v>0</v>
      </c>
    </row>
    <row r="43" spans="1:22">
      <c r="A43" s="1" t="s">
        <v>64</v>
      </c>
      <c r="B43" s="29">
        <v>6561.4308444343123</v>
      </c>
      <c r="C43" s="30">
        <v>14024.859131698193</v>
      </c>
      <c r="D43" s="30">
        <v>0</v>
      </c>
      <c r="E43" s="30">
        <v>0</v>
      </c>
      <c r="F43" s="30">
        <v>0</v>
      </c>
      <c r="G43" s="31">
        <f>SUM(OR_FINANCIAL)</f>
        <v>20586.289976132506</v>
      </c>
      <c r="H43" s="30"/>
      <c r="I43" s="30"/>
      <c r="J43" s="30"/>
      <c r="K43" s="30"/>
      <c r="L43" s="29"/>
      <c r="M43" s="30"/>
      <c r="N43" s="30"/>
      <c r="O43" s="30"/>
      <c r="P43" s="30"/>
      <c r="Q43" s="30"/>
      <c r="R43" s="30"/>
      <c r="S43" s="30"/>
      <c r="T43" s="30"/>
      <c r="U43" s="30"/>
      <c r="V43" s="31"/>
    </row>
    <row r="44" spans="1:22">
      <c r="A44" s="1" t="s">
        <v>65</v>
      </c>
      <c r="B44" s="29">
        <v>8600.8940236214621</v>
      </c>
      <c r="C44" s="30">
        <v>25770.649321174616</v>
      </c>
      <c r="D44" s="30">
        <v>0</v>
      </c>
      <c r="E44" s="30">
        <v>0</v>
      </c>
      <c r="F44" s="30">
        <v>0</v>
      </c>
      <c r="G44" s="31">
        <f>SUM(PA_FINANCIAL)</f>
        <v>34371.543344796082</v>
      </c>
      <c r="H44" s="30"/>
      <c r="I44" s="30"/>
      <c r="J44" s="30"/>
      <c r="K44" s="30"/>
      <c r="L44" s="29"/>
      <c r="M44" s="30"/>
      <c r="N44" s="30"/>
      <c r="O44" s="30"/>
      <c r="P44" s="30"/>
      <c r="Q44" s="30"/>
      <c r="R44" s="30"/>
      <c r="S44" s="30"/>
      <c r="T44" s="30"/>
      <c r="U44" s="30"/>
      <c r="V44" s="31"/>
    </row>
    <row r="45" spans="1:22">
      <c r="A45" s="1" t="s">
        <v>66</v>
      </c>
      <c r="B45" s="29">
        <v>0</v>
      </c>
      <c r="C45" s="30">
        <v>0</v>
      </c>
      <c r="D45" s="30">
        <v>0</v>
      </c>
      <c r="E45" s="30">
        <v>0</v>
      </c>
      <c r="F45" s="30">
        <v>0</v>
      </c>
      <c r="G45" s="31">
        <f>SUM(PR_FINANCIAL)</f>
        <v>0</v>
      </c>
      <c r="H45" s="30"/>
      <c r="I45" s="30"/>
      <c r="J45" s="30"/>
      <c r="K45" s="30"/>
      <c r="L45" s="29"/>
      <c r="M45" s="30"/>
      <c r="N45" s="30"/>
      <c r="O45" s="30"/>
      <c r="P45" s="30"/>
      <c r="Q45" s="30"/>
      <c r="R45" s="30"/>
      <c r="S45" s="30"/>
      <c r="T45" s="30"/>
      <c r="U45" s="30"/>
      <c r="V45" s="31"/>
    </row>
    <row r="46" spans="1:22">
      <c r="A46" s="1" t="s">
        <v>67</v>
      </c>
      <c r="B46" s="29">
        <v>0</v>
      </c>
      <c r="C46" s="30">
        <v>0</v>
      </c>
      <c r="D46" s="30">
        <v>0</v>
      </c>
      <c r="E46" s="30">
        <v>0</v>
      </c>
      <c r="F46" s="30">
        <v>0</v>
      </c>
      <c r="G46" s="31">
        <f>SUM(RI_FINANCIAL)</f>
        <v>0</v>
      </c>
      <c r="H46" s="30"/>
      <c r="I46" s="30"/>
      <c r="J46" s="30"/>
      <c r="K46" s="30"/>
      <c r="L46" s="29"/>
      <c r="M46" s="30"/>
      <c r="N46" s="30"/>
      <c r="O46" s="30"/>
      <c r="P46" s="30"/>
      <c r="Q46" s="30"/>
      <c r="R46" s="30"/>
      <c r="S46" s="30"/>
      <c r="T46" s="30"/>
      <c r="U46" s="30"/>
      <c r="V46" s="31"/>
    </row>
    <row r="47" spans="1:22">
      <c r="A47" s="1" t="s">
        <v>68</v>
      </c>
      <c r="B47" s="29">
        <v>1591180.4815546824</v>
      </c>
      <c r="C47" s="30">
        <v>4327098.8056921735</v>
      </c>
      <c r="D47" s="30">
        <v>0</v>
      </c>
      <c r="E47" s="30">
        <v>0</v>
      </c>
      <c r="F47" s="30">
        <v>0</v>
      </c>
      <c r="G47" s="31">
        <f>SUM(SC_FINANCIAL)</f>
        <v>5918279.2872468559</v>
      </c>
      <c r="H47" s="30"/>
      <c r="I47" s="30"/>
      <c r="J47" s="30"/>
      <c r="K47" s="30"/>
      <c r="L47" s="29">
        <v>2518615</v>
      </c>
      <c r="M47" s="30">
        <v>0</v>
      </c>
      <c r="N47" s="30"/>
      <c r="O47" s="30">
        <v>6531385</v>
      </c>
      <c r="P47" s="30">
        <v>0</v>
      </c>
      <c r="Q47" s="30"/>
      <c r="R47" s="30">
        <v>0</v>
      </c>
      <c r="S47" s="30">
        <v>0</v>
      </c>
      <c r="T47" s="30"/>
      <c r="U47" s="30">
        <v>0</v>
      </c>
      <c r="V47" s="31">
        <v>0</v>
      </c>
    </row>
    <row r="48" spans="1:22">
      <c r="A48" s="1" t="s">
        <v>69</v>
      </c>
      <c r="B48" s="29">
        <v>49.658604058524176</v>
      </c>
      <c r="C48" s="30">
        <v>0</v>
      </c>
      <c r="D48" s="30">
        <v>0</v>
      </c>
      <c r="E48" s="30">
        <v>0</v>
      </c>
      <c r="F48" s="30">
        <v>0</v>
      </c>
      <c r="G48" s="31">
        <f>SUM(SD_FINANCIAL)</f>
        <v>49.658604058524176</v>
      </c>
      <c r="H48" s="30"/>
      <c r="I48" s="30"/>
      <c r="J48" s="30"/>
      <c r="K48" s="30"/>
      <c r="L48" s="29"/>
      <c r="M48" s="30"/>
      <c r="N48" s="30"/>
      <c r="O48" s="30"/>
      <c r="P48" s="30"/>
      <c r="Q48" s="30"/>
      <c r="R48" s="30"/>
      <c r="S48" s="30"/>
      <c r="T48" s="30"/>
      <c r="U48" s="30"/>
      <c r="V48" s="31"/>
    </row>
    <row r="49" spans="1:22">
      <c r="A49" s="1" t="s">
        <v>70</v>
      </c>
      <c r="B49" s="29">
        <v>18919.799439200928</v>
      </c>
      <c r="C49" s="30">
        <v>1484239.547416246</v>
      </c>
      <c r="D49" s="30">
        <v>0</v>
      </c>
      <c r="E49" s="30">
        <v>0</v>
      </c>
      <c r="F49" s="30">
        <v>0</v>
      </c>
      <c r="G49" s="31">
        <f>SUM(TN_FINANCIAL)</f>
        <v>1503159.3468554469</v>
      </c>
      <c r="H49" s="30"/>
      <c r="I49" s="30"/>
      <c r="J49" s="30"/>
      <c r="K49" s="30"/>
      <c r="L49" s="29">
        <v>50000</v>
      </c>
      <c r="M49" s="30">
        <v>0</v>
      </c>
      <c r="N49" s="30"/>
      <c r="O49" s="30">
        <v>2450000</v>
      </c>
      <c r="P49" s="30">
        <v>0</v>
      </c>
      <c r="Q49" s="30"/>
      <c r="R49" s="30">
        <v>0</v>
      </c>
      <c r="S49" s="30">
        <v>0</v>
      </c>
      <c r="T49" s="30"/>
      <c r="U49" s="30">
        <v>0</v>
      </c>
      <c r="V49" s="31">
        <v>0</v>
      </c>
    </row>
    <row r="50" spans="1:22">
      <c r="A50" s="1" t="s">
        <v>71</v>
      </c>
      <c r="B50" s="29">
        <v>220338.840798044</v>
      </c>
      <c r="C50" s="30">
        <v>391138.75240714214</v>
      </c>
      <c r="D50" s="30">
        <v>15146.34</v>
      </c>
      <c r="E50" s="30">
        <v>0</v>
      </c>
      <c r="F50" s="30">
        <v>0</v>
      </c>
      <c r="G50" s="31">
        <f>SUM(TX_FINANCIAL)</f>
        <v>626623.93320518604</v>
      </c>
      <c r="H50" s="30"/>
      <c r="I50" s="30"/>
      <c r="J50" s="30"/>
      <c r="K50" s="30"/>
      <c r="L50" s="29">
        <v>523717</v>
      </c>
      <c r="M50" s="30">
        <v>139012</v>
      </c>
      <c r="N50" s="30"/>
      <c r="O50" s="30">
        <v>407272</v>
      </c>
      <c r="P50" s="30">
        <v>108114</v>
      </c>
      <c r="Q50" s="30"/>
      <c r="R50" s="30">
        <v>0</v>
      </c>
      <c r="S50" s="30">
        <v>0</v>
      </c>
      <c r="T50" s="30"/>
      <c r="U50" s="30">
        <v>0</v>
      </c>
      <c r="V50" s="31">
        <v>0</v>
      </c>
    </row>
    <row r="51" spans="1:22">
      <c r="A51" s="1" t="s">
        <v>72</v>
      </c>
      <c r="B51" s="29">
        <v>0</v>
      </c>
      <c r="C51" s="30">
        <v>52137.631814468194</v>
      </c>
      <c r="D51" s="30">
        <v>0</v>
      </c>
      <c r="E51" s="30">
        <v>0</v>
      </c>
      <c r="F51" s="30">
        <v>0</v>
      </c>
      <c r="G51" s="31">
        <f>SUM(UT_FINANCIAL)</f>
        <v>52137.631814468194</v>
      </c>
      <c r="H51" s="30"/>
      <c r="I51" s="30"/>
      <c r="J51" s="30"/>
      <c r="K51" s="30"/>
      <c r="L51" s="29">
        <v>0</v>
      </c>
      <c r="M51" s="30">
        <v>0</v>
      </c>
      <c r="N51" s="30"/>
      <c r="O51" s="30">
        <v>47000</v>
      </c>
      <c r="P51" s="30">
        <v>0</v>
      </c>
      <c r="Q51" s="30"/>
      <c r="R51" s="30">
        <v>0</v>
      </c>
      <c r="S51" s="30">
        <v>0</v>
      </c>
      <c r="T51" s="30"/>
      <c r="U51" s="30">
        <v>0</v>
      </c>
      <c r="V51" s="31">
        <v>0</v>
      </c>
    </row>
    <row r="52" spans="1:22">
      <c r="A52" s="1" t="s">
        <v>73</v>
      </c>
      <c r="B52" s="29">
        <v>0</v>
      </c>
      <c r="C52" s="30">
        <v>0</v>
      </c>
      <c r="D52" s="30">
        <v>0</v>
      </c>
      <c r="E52" s="30">
        <v>0</v>
      </c>
      <c r="F52" s="30">
        <v>0</v>
      </c>
      <c r="G52" s="31">
        <f>SUM(VT_FINANCIAL)</f>
        <v>0</v>
      </c>
      <c r="H52" s="30"/>
      <c r="I52" s="30"/>
      <c r="J52" s="30"/>
      <c r="K52" s="30"/>
      <c r="L52" s="29"/>
      <c r="M52" s="30"/>
      <c r="N52" s="30"/>
      <c r="O52" s="30"/>
      <c r="P52" s="30"/>
      <c r="Q52" s="30"/>
      <c r="R52" s="30"/>
      <c r="S52" s="30"/>
      <c r="T52" s="30"/>
      <c r="U52" s="30"/>
      <c r="V52" s="31"/>
    </row>
    <row r="53" spans="1:22">
      <c r="A53" s="1" t="s">
        <v>74</v>
      </c>
      <c r="B53" s="29">
        <v>313306.12760234886</v>
      </c>
      <c r="C53" s="30">
        <v>1002164.885255693</v>
      </c>
      <c r="D53" s="30">
        <v>762.5</v>
      </c>
      <c r="E53" s="30">
        <v>0</v>
      </c>
      <c r="F53" s="30">
        <v>0</v>
      </c>
      <c r="G53" s="31">
        <f>SUM(VA_FINANCIAL)</f>
        <v>1316233.5128580418</v>
      </c>
      <c r="H53" s="30"/>
      <c r="I53" s="30"/>
      <c r="J53" s="30"/>
      <c r="K53" s="30"/>
      <c r="L53" s="29">
        <v>368136</v>
      </c>
      <c r="M53" s="30">
        <v>18000</v>
      </c>
      <c r="N53" s="30"/>
      <c r="O53" s="30">
        <v>1104909</v>
      </c>
      <c r="P53" s="30">
        <v>51387</v>
      </c>
      <c r="Q53" s="30"/>
      <c r="R53" s="30">
        <v>0</v>
      </c>
      <c r="S53" s="30">
        <v>0</v>
      </c>
      <c r="T53" s="30"/>
      <c r="U53" s="30">
        <v>0</v>
      </c>
      <c r="V53" s="31">
        <v>0</v>
      </c>
    </row>
    <row r="54" spans="1:22">
      <c r="A54" s="1" t="s">
        <v>75</v>
      </c>
      <c r="B54" s="29">
        <v>57405.019176084359</v>
      </c>
      <c r="C54" s="30">
        <v>61.577341307127163</v>
      </c>
      <c r="D54" s="30">
        <v>0</v>
      </c>
      <c r="E54" s="30">
        <v>0</v>
      </c>
      <c r="F54" s="30">
        <v>0</v>
      </c>
      <c r="G54" s="31">
        <f>SUM(WA_FINANCIAL)</f>
        <v>57466.596517391488</v>
      </c>
      <c r="H54" s="30"/>
      <c r="I54" s="30"/>
      <c r="J54" s="30"/>
      <c r="K54" s="30"/>
      <c r="L54" s="29"/>
      <c r="M54" s="30"/>
      <c r="N54" s="30"/>
      <c r="O54" s="30"/>
      <c r="P54" s="30"/>
      <c r="Q54" s="30"/>
      <c r="R54" s="30"/>
      <c r="S54" s="30"/>
      <c r="T54" s="30"/>
      <c r="U54" s="30"/>
      <c r="V54" s="31"/>
    </row>
    <row r="55" spans="1:22">
      <c r="A55" s="1" t="s">
        <v>76</v>
      </c>
      <c r="B55" s="29">
        <v>27919.251701609261</v>
      </c>
      <c r="C55" s="30">
        <v>135462.05039854109</v>
      </c>
      <c r="D55" s="30">
        <v>0</v>
      </c>
      <c r="E55" s="30">
        <v>0</v>
      </c>
      <c r="F55" s="30">
        <v>0</v>
      </c>
      <c r="G55" s="31">
        <f>SUM(WV_FINANCIAL)</f>
        <v>163381.30210015035</v>
      </c>
      <c r="H55" s="30"/>
      <c r="I55" s="30"/>
      <c r="J55" s="30"/>
      <c r="K55" s="30"/>
      <c r="L55" s="29">
        <v>132436</v>
      </c>
      <c r="M55" s="30">
        <v>139679</v>
      </c>
      <c r="N55" s="30"/>
      <c r="O55" s="30">
        <v>642564</v>
      </c>
      <c r="P55" s="30">
        <v>683850</v>
      </c>
      <c r="Q55" s="30"/>
      <c r="R55" s="30">
        <v>0</v>
      </c>
      <c r="S55" s="30">
        <v>0</v>
      </c>
      <c r="T55" s="30"/>
      <c r="U55" s="30">
        <v>0</v>
      </c>
      <c r="V55" s="31">
        <v>0</v>
      </c>
    </row>
    <row r="56" spans="1:22">
      <c r="A56" s="1" t="s">
        <v>77</v>
      </c>
      <c r="B56" s="29">
        <v>215.26495886147637</v>
      </c>
      <c r="C56" s="30">
        <v>7473.1660879587407</v>
      </c>
      <c r="D56" s="30">
        <v>0</v>
      </c>
      <c r="E56" s="30">
        <v>0</v>
      </c>
      <c r="F56" s="30">
        <v>0</v>
      </c>
      <c r="G56" s="31">
        <f>SUM(WI_FINANCIAL)</f>
        <v>7688.4310468202175</v>
      </c>
      <c r="H56" s="30"/>
      <c r="I56" s="30"/>
      <c r="J56" s="30"/>
      <c r="K56" s="30"/>
      <c r="L56" s="29"/>
      <c r="M56" s="30"/>
      <c r="N56" s="30"/>
      <c r="O56" s="30"/>
      <c r="P56" s="30"/>
      <c r="Q56" s="30"/>
      <c r="R56" s="30"/>
      <c r="S56" s="30"/>
      <c r="T56" s="30"/>
      <c r="U56" s="30"/>
      <c r="V56" s="31"/>
    </row>
    <row r="57" spans="1:22">
      <c r="A57" s="1" t="s">
        <v>78</v>
      </c>
      <c r="B57" s="29">
        <v>0</v>
      </c>
      <c r="C57" s="30">
        <v>0</v>
      </c>
      <c r="D57" s="30">
        <v>0</v>
      </c>
      <c r="E57" s="30">
        <v>0</v>
      </c>
      <c r="F57" s="30">
        <v>0</v>
      </c>
      <c r="G57" s="31">
        <f>SUM(WY_FINANCIAL)</f>
        <v>0</v>
      </c>
      <c r="H57" s="30"/>
      <c r="I57" s="30"/>
      <c r="J57" s="30"/>
      <c r="K57" s="30"/>
      <c r="L57" s="29"/>
      <c r="M57" s="30"/>
      <c r="N57" s="30"/>
      <c r="O57" s="30"/>
      <c r="P57" s="30"/>
      <c r="Q57" s="30"/>
      <c r="R57" s="30"/>
      <c r="S57" s="30"/>
      <c r="T57" s="30"/>
      <c r="U57" s="30"/>
      <c r="V57" s="31"/>
    </row>
    <row r="58" spans="1:22">
      <c r="A58" s="1" t="s">
        <v>79</v>
      </c>
      <c r="B58" s="29">
        <v>0</v>
      </c>
      <c r="C58" s="30">
        <v>0</v>
      </c>
      <c r="D58" s="30">
        <v>0</v>
      </c>
      <c r="E58" s="30">
        <v>0</v>
      </c>
      <c r="F58" s="30">
        <v>0</v>
      </c>
      <c r="G58" s="31">
        <f>SUM(OT_FINANCIAL)</f>
        <v>0</v>
      </c>
      <c r="H58" s="30"/>
      <c r="I58" s="30"/>
      <c r="J58" s="30"/>
      <c r="K58" s="30"/>
      <c r="L58" s="29"/>
      <c r="M58" s="30"/>
      <c r="N58" s="30"/>
      <c r="O58" s="30"/>
      <c r="P58" s="30"/>
      <c r="Q58" s="30"/>
      <c r="R58" s="30"/>
      <c r="S58" s="30"/>
      <c r="T58" s="30"/>
      <c r="U58" s="30"/>
      <c r="V58" s="31"/>
    </row>
    <row r="59" spans="1:22">
      <c r="B59" s="29"/>
      <c r="C59" s="30"/>
      <c r="D59" s="30"/>
      <c r="E59" s="30"/>
      <c r="F59" s="30"/>
      <c r="G59" s="31"/>
      <c r="H59" s="30"/>
      <c r="I59" s="30"/>
      <c r="J59" s="30"/>
      <c r="K59" s="30"/>
      <c r="L59" s="29"/>
      <c r="M59" s="30"/>
      <c r="N59" s="30"/>
      <c r="O59" s="30"/>
      <c r="P59" s="30"/>
      <c r="Q59" s="30"/>
      <c r="R59" s="30"/>
      <c r="S59" s="30"/>
      <c r="T59" s="30"/>
      <c r="U59" s="30"/>
      <c r="V59" s="31"/>
    </row>
    <row r="60" spans="1:22">
      <c r="A60" s="1" t="s">
        <v>8</v>
      </c>
      <c r="B60" s="29">
        <f>SUM(LIFE)</f>
        <v>3600898.6111054136</v>
      </c>
      <c r="C60" s="30">
        <f>SUM(ALLOCATED)</f>
        <v>12140925.673411671</v>
      </c>
      <c r="D60" s="30">
        <f>SUM(HEALTH)</f>
        <v>16133.84</v>
      </c>
      <c r="E60" s="30">
        <f>SUM(UNALLOCATED)</f>
        <v>0</v>
      </c>
      <c r="F60" s="30">
        <f>SUM(LTC)</f>
        <v>0</v>
      </c>
      <c r="G60" s="31">
        <f>SUM(ALL_BLOCKS)</f>
        <v>15757958.124517081</v>
      </c>
      <c r="H60" s="30"/>
      <c r="I60" s="30"/>
      <c r="J60" s="30"/>
      <c r="K60" s="30"/>
      <c r="L60" s="29">
        <f>SUM(LIFE_CALLED)</f>
        <v>5270688</v>
      </c>
      <c r="M60" s="30">
        <f>SUM(LIFE_REFUNDED)</f>
        <v>356691</v>
      </c>
      <c r="N60" s="30"/>
      <c r="O60" s="30">
        <f>SUM(ALLOC_CALLED)</f>
        <v>17846770</v>
      </c>
      <c r="P60" s="30">
        <f>SUM(ALLOC_REFUNDED)</f>
        <v>1325580.3500000001</v>
      </c>
      <c r="Q60" s="30"/>
      <c r="R60" s="30">
        <f>SUM(HEALTH_CALLED)</f>
        <v>0</v>
      </c>
      <c r="S60" s="30">
        <f>SUM(HEALTH_REFUNDED)</f>
        <v>0</v>
      </c>
      <c r="T60" s="30"/>
      <c r="U60" s="30">
        <f>SUM(UNALLOC_CALLED)</f>
        <v>0</v>
      </c>
      <c r="V60" s="31">
        <f>SUM(UNALLOC_REFUNDED)</f>
        <v>0</v>
      </c>
    </row>
    <row r="61" spans="1:22" ht="5.0999999999999996" customHeight="1">
      <c r="B61" s="8"/>
      <c r="G61" s="11"/>
      <c r="L61" s="8"/>
      <c r="V61" s="11"/>
    </row>
    <row r="62" spans="1:22">
      <c r="B62" s="8"/>
      <c r="G62" s="11"/>
      <c r="L62" s="122" t="s">
        <v>80</v>
      </c>
      <c r="M62" s="123"/>
      <c r="N62" s="123"/>
      <c r="O62" s="123"/>
      <c r="P62" s="123"/>
      <c r="Q62" s="123"/>
      <c r="R62" s="123"/>
      <c r="S62" s="123"/>
      <c r="T62" s="123"/>
      <c r="U62" s="123"/>
      <c r="V62" s="124"/>
    </row>
    <row r="63" spans="1:22">
      <c r="B63" s="8"/>
      <c r="G63" s="11"/>
      <c r="L63" s="125"/>
      <c r="M63" s="123"/>
      <c r="N63" s="123"/>
      <c r="O63" s="123"/>
      <c r="P63" s="123"/>
      <c r="Q63" s="123"/>
      <c r="R63" s="123"/>
      <c r="S63" s="123"/>
      <c r="T63" s="123"/>
      <c r="U63" s="123"/>
      <c r="V63" s="124"/>
    </row>
    <row r="64" spans="1:22">
      <c r="B64" s="10"/>
      <c r="C64" s="7"/>
      <c r="D64" s="7"/>
      <c r="E64" s="7"/>
      <c r="F64" s="7"/>
      <c r="G64" s="13"/>
      <c r="L64" s="126"/>
      <c r="M64" s="127"/>
      <c r="N64" s="127"/>
      <c r="O64" s="127"/>
      <c r="P64" s="127"/>
      <c r="Q64" s="127"/>
      <c r="R64" s="127"/>
      <c r="S64" s="127"/>
      <c r="T64" s="127"/>
      <c r="U64" s="127"/>
      <c r="V64" s="128"/>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V64"/>
  <sheetViews>
    <sheetView zoomScale="75" workbookViewId="0">
      <selection sqref="A1:XFD1048576"/>
    </sheetView>
  </sheetViews>
  <sheetFormatPr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129" t="s">
        <v>84</v>
      </c>
      <c r="B1" s="123"/>
      <c r="C1" s="123"/>
      <c r="D1" s="123"/>
      <c r="E1" s="123"/>
      <c r="F1" s="123"/>
      <c r="G1" s="123"/>
    </row>
    <row r="3" spans="1:22">
      <c r="B3" s="130" t="s">
        <v>1</v>
      </c>
      <c r="C3" s="131"/>
      <c r="D3" s="131"/>
      <c r="E3" s="131"/>
      <c r="F3" s="131"/>
      <c r="G3" s="132"/>
      <c r="L3" s="133" t="s">
        <v>2</v>
      </c>
      <c r="M3" s="134"/>
      <c r="N3" s="134"/>
      <c r="O3" s="134"/>
      <c r="P3" s="134"/>
      <c r="Q3" s="134"/>
      <c r="R3" s="134"/>
      <c r="S3" s="134"/>
      <c r="T3" s="134"/>
      <c r="U3" s="134"/>
      <c r="V3" s="135"/>
    </row>
    <row r="4" spans="1:22">
      <c r="B4" s="8"/>
      <c r="G4" s="11"/>
      <c r="L4" s="136" t="s">
        <v>3</v>
      </c>
      <c r="M4" s="137"/>
      <c r="N4" s="4"/>
      <c r="O4" s="138" t="s">
        <v>4</v>
      </c>
      <c r="P4" s="137"/>
      <c r="Q4" s="4"/>
      <c r="R4" s="138" t="s">
        <v>5</v>
      </c>
      <c r="S4" s="137"/>
      <c r="T4" s="4"/>
      <c r="U4" s="138" t="s">
        <v>6</v>
      </c>
      <c r="V4" s="139"/>
    </row>
    <row r="5" spans="1:22" ht="60" customHeight="1">
      <c r="B5" s="9" t="s">
        <v>3</v>
      </c>
      <c r="C5" s="5" t="s">
        <v>4</v>
      </c>
      <c r="D5" s="5" t="s">
        <v>5</v>
      </c>
      <c r="E5" s="5" t="s">
        <v>6</v>
      </c>
      <c r="F5" s="5" t="s">
        <v>7</v>
      </c>
      <c r="G5" s="12" t="s">
        <v>8</v>
      </c>
      <c r="L5" s="15" t="s">
        <v>9</v>
      </c>
      <c r="M5" s="14" t="s">
        <v>10</v>
      </c>
      <c r="N5" s="14"/>
      <c r="O5" s="14" t="s">
        <v>9</v>
      </c>
      <c r="P5" s="14" t="s">
        <v>10</v>
      </c>
      <c r="Q5" s="14"/>
      <c r="R5" s="14" t="s">
        <v>9</v>
      </c>
      <c r="S5" s="14" t="s">
        <v>10</v>
      </c>
      <c r="T5" s="14"/>
      <c r="U5" s="14" t="s">
        <v>9</v>
      </c>
      <c r="V5" s="16" t="s">
        <v>10</v>
      </c>
    </row>
    <row r="6" spans="1:22">
      <c r="A6" s="1" t="s">
        <v>11</v>
      </c>
      <c r="B6" s="29">
        <v>0</v>
      </c>
      <c r="C6" s="30">
        <v>0</v>
      </c>
      <c r="D6" s="30">
        <v>695387.70500532654</v>
      </c>
      <c r="E6" s="30">
        <v>0</v>
      </c>
      <c r="F6" s="30">
        <v>0</v>
      </c>
      <c r="G6" s="31">
        <f>SUM(AL_FINANCIAL)</f>
        <v>695387.70500532654</v>
      </c>
      <c r="H6" s="30"/>
      <c r="I6" s="30"/>
      <c r="J6" s="30"/>
      <c r="K6" s="30"/>
      <c r="L6" s="29">
        <v>0</v>
      </c>
      <c r="M6" s="30">
        <v>0</v>
      </c>
      <c r="N6" s="30"/>
      <c r="O6" s="30">
        <v>0</v>
      </c>
      <c r="P6" s="30">
        <v>0</v>
      </c>
      <c r="Q6" s="30"/>
      <c r="R6" s="30">
        <v>1008000</v>
      </c>
      <c r="S6" s="30">
        <v>0</v>
      </c>
      <c r="T6" s="30"/>
      <c r="U6" s="30">
        <v>0</v>
      </c>
      <c r="V6" s="31">
        <v>0</v>
      </c>
    </row>
    <row r="7" spans="1:22">
      <c r="A7" s="1" t="s">
        <v>12</v>
      </c>
      <c r="B7" s="29">
        <v>0</v>
      </c>
      <c r="C7" s="30">
        <v>0</v>
      </c>
      <c r="D7" s="30">
        <v>5923.6025289548452</v>
      </c>
      <c r="E7" s="30">
        <v>0</v>
      </c>
      <c r="F7" s="30">
        <v>0</v>
      </c>
      <c r="G7" s="31">
        <f>SUM(AK_FINANCIAL)</f>
        <v>5923.6025289548452</v>
      </c>
      <c r="H7" s="30"/>
      <c r="I7" s="32"/>
      <c r="J7" s="33"/>
      <c r="K7" s="30"/>
      <c r="L7" s="29">
        <v>9517</v>
      </c>
      <c r="M7" s="30">
        <v>0</v>
      </c>
      <c r="N7" s="30"/>
      <c r="O7" s="30">
        <v>0</v>
      </c>
      <c r="P7" s="30">
        <v>0</v>
      </c>
      <c r="Q7" s="30"/>
      <c r="R7" s="30">
        <v>20000</v>
      </c>
      <c r="S7" s="30">
        <v>20000</v>
      </c>
      <c r="T7" s="30"/>
      <c r="U7" s="30">
        <v>0</v>
      </c>
      <c r="V7" s="31">
        <v>0</v>
      </c>
    </row>
    <row r="8" spans="1:22">
      <c r="A8" s="1" t="s">
        <v>13</v>
      </c>
      <c r="B8" s="29">
        <v>0</v>
      </c>
      <c r="C8" s="30">
        <v>0</v>
      </c>
      <c r="D8" s="30">
        <v>668556.1467076079</v>
      </c>
      <c r="E8" s="30">
        <v>0</v>
      </c>
      <c r="F8" s="30">
        <v>0</v>
      </c>
      <c r="G8" s="31">
        <f>SUM(AZ_FINANCIAL)</f>
        <v>668556.1467076079</v>
      </c>
      <c r="H8" s="30"/>
      <c r="I8" s="34" t="s">
        <v>14</v>
      </c>
      <c r="J8" s="35"/>
      <c r="K8" s="30"/>
      <c r="L8" s="29">
        <v>0</v>
      </c>
      <c r="M8" s="30">
        <v>0</v>
      </c>
      <c r="N8" s="30"/>
      <c r="O8" s="30">
        <v>0</v>
      </c>
      <c r="P8" s="30">
        <v>0</v>
      </c>
      <c r="Q8" s="30"/>
      <c r="R8" s="30">
        <v>1323320</v>
      </c>
      <c r="S8" s="30">
        <v>0</v>
      </c>
      <c r="T8" s="30"/>
      <c r="U8" s="30">
        <v>0</v>
      </c>
      <c r="V8" s="31">
        <v>0</v>
      </c>
    </row>
    <row r="9" spans="1:22">
      <c r="A9" s="1" t="s">
        <v>15</v>
      </c>
      <c r="B9" s="29">
        <v>0</v>
      </c>
      <c r="C9" s="30">
        <v>0</v>
      </c>
      <c r="D9" s="30">
        <v>105925.44597516643</v>
      </c>
      <c r="E9" s="30">
        <v>0</v>
      </c>
      <c r="F9" s="30">
        <v>0</v>
      </c>
      <c r="G9" s="31">
        <f>SUM(AR_FINANCIAL)</f>
        <v>105925.44597516643</v>
      </c>
      <c r="H9" s="30"/>
      <c r="I9" s="34"/>
      <c r="J9" s="35"/>
      <c r="K9" s="30"/>
      <c r="L9" s="29">
        <v>0</v>
      </c>
      <c r="M9" s="30">
        <v>0</v>
      </c>
      <c r="N9" s="30"/>
      <c r="O9" s="30">
        <v>0</v>
      </c>
      <c r="P9" s="30">
        <v>0</v>
      </c>
      <c r="Q9" s="30"/>
      <c r="R9" s="30">
        <v>335216</v>
      </c>
      <c r="S9" s="30">
        <v>0</v>
      </c>
      <c r="T9" s="30"/>
      <c r="U9" s="30">
        <v>0</v>
      </c>
      <c r="V9" s="31">
        <v>0</v>
      </c>
    </row>
    <row r="10" spans="1:22">
      <c r="A10" s="1" t="s">
        <v>16</v>
      </c>
      <c r="B10" s="29">
        <v>0</v>
      </c>
      <c r="C10" s="30">
        <v>0</v>
      </c>
      <c r="D10" s="30">
        <v>3879887.0449922271</v>
      </c>
      <c r="E10" s="30">
        <v>0</v>
      </c>
      <c r="F10" s="30">
        <v>0</v>
      </c>
      <c r="G10" s="31">
        <f>SUM(CA_FINANCIAL)</f>
        <v>3879887.0449922271</v>
      </c>
      <c r="H10" s="30"/>
      <c r="I10" s="34" t="s">
        <v>17</v>
      </c>
      <c r="J10" s="35">
        <v>91380543.070000038</v>
      </c>
      <c r="K10" s="30"/>
      <c r="L10" s="29">
        <v>0</v>
      </c>
      <c r="M10" s="30">
        <v>0</v>
      </c>
      <c r="N10" s="30"/>
      <c r="O10" s="30">
        <v>0</v>
      </c>
      <c r="P10" s="30">
        <v>0</v>
      </c>
      <c r="Q10" s="30"/>
      <c r="R10" s="30">
        <v>10000000</v>
      </c>
      <c r="S10" s="30">
        <v>5650000</v>
      </c>
      <c r="T10" s="30"/>
      <c r="U10" s="30">
        <v>0</v>
      </c>
      <c r="V10" s="31">
        <v>0</v>
      </c>
    </row>
    <row r="11" spans="1:22">
      <c r="A11" s="1" t="s">
        <v>18</v>
      </c>
      <c r="B11" s="29">
        <v>0</v>
      </c>
      <c r="C11" s="30">
        <v>0</v>
      </c>
      <c r="D11" s="30">
        <v>1427062.6392851444</v>
      </c>
      <c r="E11" s="30">
        <v>0</v>
      </c>
      <c r="F11" s="30">
        <v>0</v>
      </c>
      <c r="G11" s="31">
        <f>SUM(CO_FINANCIAL)</f>
        <v>1427062.6392851444</v>
      </c>
      <c r="H11" s="30"/>
      <c r="I11" s="34"/>
      <c r="J11" s="35"/>
      <c r="K11" s="30"/>
      <c r="L11" s="29">
        <v>0</v>
      </c>
      <c r="M11" s="30">
        <v>0</v>
      </c>
      <c r="N11" s="30"/>
      <c r="O11" s="30">
        <v>0</v>
      </c>
      <c r="P11" s="30">
        <v>0</v>
      </c>
      <c r="Q11" s="30"/>
      <c r="R11" s="30">
        <v>2200000</v>
      </c>
      <c r="S11" s="30">
        <v>2356918</v>
      </c>
      <c r="T11" s="30"/>
      <c r="U11" s="30">
        <v>0</v>
      </c>
      <c r="V11" s="31">
        <v>0</v>
      </c>
    </row>
    <row r="12" spans="1:22">
      <c r="A12" s="1" t="s">
        <v>19</v>
      </c>
      <c r="B12" s="29">
        <v>0</v>
      </c>
      <c r="C12" s="30">
        <v>0</v>
      </c>
      <c r="D12" s="30">
        <v>0</v>
      </c>
      <c r="E12" s="30">
        <v>0</v>
      </c>
      <c r="F12" s="30">
        <v>0</v>
      </c>
      <c r="G12" s="31">
        <f>SUM(CT_FINANCIAL)</f>
        <v>0</v>
      </c>
      <c r="H12" s="30"/>
      <c r="I12" s="34" t="s">
        <v>20</v>
      </c>
      <c r="J12" s="35"/>
      <c r="K12" s="30"/>
      <c r="L12" s="29"/>
      <c r="M12" s="30"/>
      <c r="N12" s="30"/>
      <c r="O12" s="30"/>
      <c r="P12" s="30"/>
      <c r="Q12" s="30"/>
      <c r="R12" s="30"/>
      <c r="S12" s="30"/>
      <c r="T12" s="30"/>
      <c r="U12" s="30"/>
      <c r="V12" s="31"/>
    </row>
    <row r="13" spans="1:22">
      <c r="A13" s="1" t="s">
        <v>21</v>
      </c>
      <c r="B13" s="29">
        <v>0</v>
      </c>
      <c r="C13" s="30">
        <v>0</v>
      </c>
      <c r="D13" s="30">
        <v>26466.226061845264</v>
      </c>
      <c r="E13" s="30">
        <v>0</v>
      </c>
      <c r="F13" s="30">
        <v>0</v>
      </c>
      <c r="G13" s="31">
        <f>SUM(DE_FINANCIAL)</f>
        <v>26466.226061845264</v>
      </c>
      <c r="H13" s="30"/>
      <c r="I13" s="34" t="s">
        <v>22</v>
      </c>
      <c r="J13" s="35">
        <v>20254758.070000004</v>
      </c>
      <c r="K13" s="30"/>
      <c r="L13" s="29">
        <v>0</v>
      </c>
      <c r="M13" s="30">
        <v>0</v>
      </c>
      <c r="N13" s="30"/>
      <c r="O13" s="30">
        <v>0</v>
      </c>
      <c r="P13" s="30">
        <v>0</v>
      </c>
      <c r="Q13" s="30"/>
      <c r="R13" s="30">
        <v>50000</v>
      </c>
      <c r="S13" s="30">
        <v>0</v>
      </c>
      <c r="T13" s="30"/>
      <c r="U13" s="30">
        <v>0</v>
      </c>
      <c r="V13" s="31">
        <v>0</v>
      </c>
    </row>
    <row r="14" spans="1:22">
      <c r="A14" s="1" t="s">
        <v>23</v>
      </c>
      <c r="B14" s="29">
        <v>0</v>
      </c>
      <c r="C14" s="30">
        <v>0</v>
      </c>
      <c r="D14" s="30">
        <v>2674.0296415620005</v>
      </c>
      <c r="E14" s="30">
        <v>0</v>
      </c>
      <c r="F14" s="30">
        <v>0</v>
      </c>
      <c r="G14" s="31">
        <f>SUM(DC_FINANCIAL)</f>
        <v>2674.0296415620005</v>
      </c>
      <c r="H14" s="30"/>
      <c r="I14" s="34" t="s">
        <v>24</v>
      </c>
      <c r="J14" s="35">
        <v>3000034.2600000002</v>
      </c>
      <c r="K14" s="30"/>
      <c r="L14" s="29">
        <v>0</v>
      </c>
      <c r="M14" s="30">
        <v>0</v>
      </c>
      <c r="N14" s="30"/>
      <c r="O14" s="30">
        <v>0</v>
      </c>
      <c r="P14" s="30">
        <v>0</v>
      </c>
      <c r="Q14" s="30"/>
      <c r="R14" s="30">
        <v>20000</v>
      </c>
      <c r="S14" s="30">
        <v>15780</v>
      </c>
      <c r="T14" s="30"/>
      <c r="U14" s="30">
        <v>0</v>
      </c>
      <c r="V14" s="31">
        <v>0</v>
      </c>
    </row>
    <row r="15" spans="1:22">
      <c r="A15" s="1" t="s">
        <v>25</v>
      </c>
      <c r="B15" s="29">
        <v>0</v>
      </c>
      <c r="C15" s="30">
        <v>0</v>
      </c>
      <c r="D15" s="30">
        <v>2513409.5087764235</v>
      </c>
      <c r="E15" s="30">
        <v>0</v>
      </c>
      <c r="F15" s="30">
        <v>0</v>
      </c>
      <c r="G15" s="31">
        <f>SUM(FL_FINANCIAL)</f>
        <v>2513409.5087764235</v>
      </c>
      <c r="H15" s="30"/>
      <c r="I15" s="34" t="s">
        <v>26</v>
      </c>
      <c r="J15" s="35">
        <v>1354168.0199999991</v>
      </c>
      <c r="K15" s="30"/>
      <c r="L15" s="29">
        <v>0</v>
      </c>
      <c r="M15" s="30">
        <v>0</v>
      </c>
      <c r="N15" s="30"/>
      <c r="O15" s="30">
        <v>0</v>
      </c>
      <c r="P15" s="30">
        <v>0</v>
      </c>
      <c r="Q15" s="30"/>
      <c r="R15" s="30">
        <v>4000000</v>
      </c>
      <c r="S15" s="30">
        <v>0</v>
      </c>
      <c r="T15" s="30"/>
      <c r="U15" s="30">
        <v>0</v>
      </c>
      <c r="V15" s="31">
        <v>0</v>
      </c>
    </row>
    <row r="16" spans="1:22">
      <c r="A16" s="1" t="s">
        <v>27</v>
      </c>
      <c r="B16" s="29">
        <v>0</v>
      </c>
      <c r="C16" s="30">
        <v>0</v>
      </c>
      <c r="D16" s="30">
        <v>403124.40494929696</v>
      </c>
      <c r="E16" s="30">
        <v>0</v>
      </c>
      <c r="F16" s="30">
        <v>0</v>
      </c>
      <c r="G16" s="31">
        <f>SUM(GA_FINANCIAL)</f>
        <v>403124.40494929696</v>
      </c>
      <c r="H16" s="30"/>
      <c r="I16" s="34" t="s">
        <v>28</v>
      </c>
      <c r="J16" s="35">
        <v>0</v>
      </c>
      <c r="K16" s="30"/>
      <c r="L16" s="29">
        <v>0</v>
      </c>
      <c r="M16" s="30">
        <v>0</v>
      </c>
      <c r="N16" s="30"/>
      <c r="O16" s="30">
        <v>0</v>
      </c>
      <c r="P16" s="30">
        <v>0</v>
      </c>
      <c r="Q16" s="30"/>
      <c r="R16" s="30">
        <v>400000</v>
      </c>
      <c r="S16" s="30">
        <v>0</v>
      </c>
      <c r="T16" s="30"/>
      <c r="U16" s="30">
        <v>0</v>
      </c>
      <c r="V16" s="31">
        <v>0</v>
      </c>
    </row>
    <row r="17" spans="1:22">
      <c r="A17" s="1" t="s">
        <v>29</v>
      </c>
      <c r="B17" s="29">
        <v>0</v>
      </c>
      <c r="C17" s="30">
        <v>0</v>
      </c>
      <c r="D17" s="30">
        <v>2800.4555484134835</v>
      </c>
      <c r="E17" s="30">
        <v>0</v>
      </c>
      <c r="F17" s="30">
        <v>0</v>
      </c>
      <c r="G17" s="31">
        <f>SUM(HI_FINANCIAL)</f>
        <v>2800.4555484134835</v>
      </c>
      <c r="H17" s="30"/>
      <c r="I17" s="34"/>
      <c r="J17" s="35"/>
      <c r="K17" s="30"/>
      <c r="L17" s="29">
        <v>0</v>
      </c>
      <c r="M17" s="30">
        <v>9780</v>
      </c>
      <c r="N17" s="30"/>
      <c r="O17" s="30">
        <v>0</v>
      </c>
      <c r="P17" s="30">
        <v>0</v>
      </c>
      <c r="Q17" s="30"/>
      <c r="R17" s="30">
        <v>27420</v>
      </c>
      <c r="S17" s="30">
        <v>0</v>
      </c>
      <c r="T17" s="30"/>
      <c r="U17" s="30">
        <v>0</v>
      </c>
      <c r="V17" s="31">
        <v>0</v>
      </c>
    </row>
    <row r="18" spans="1:22">
      <c r="A18" s="1" t="s">
        <v>30</v>
      </c>
      <c r="B18" s="29">
        <v>0</v>
      </c>
      <c r="C18" s="30">
        <v>0</v>
      </c>
      <c r="D18" s="30">
        <v>133553.02735693546</v>
      </c>
      <c r="E18" s="30">
        <v>0</v>
      </c>
      <c r="F18" s="30">
        <v>0</v>
      </c>
      <c r="G18" s="31">
        <f>SUM(ID_FINANCIAL)</f>
        <v>133553.02735693546</v>
      </c>
      <c r="H18" s="30"/>
      <c r="I18" s="34" t="s">
        <v>31</v>
      </c>
      <c r="J18" s="35"/>
      <c r="K18" s="30"/>
      <c r="L18" s="29">
        <v>0</v>
      </c>
      <c r="M18" s="30">
        <v>0</v>
      </c>
      <c r="N18" s="30"/>
      <c r="O18" s="30">
        <v>0</v>
      </c>
      <c r="P18" s="30">
        <v>0</v>
      </c>
      <c r="Q18" s="30"/>
      <c r="R18" s="30">
        <v>377000</v>
      </c>
      <c r="S18" s="30">
        <v>0</v>
      </c>
      <c r="T18" s="30"/>
      <c r="U18" s="30">
        <v>0</v>
      </c>
      <c r="V18" s="31">
        <v>0</v>
      </c>
    </row>
    <row r="19" spans="1:22">
      <c r="A19" s="1" t="s">
        <v>32</v>
      </c>
      <c r="B19" s="29">
        <v>0</v>
      </c>
      <c r="C19" s="30">
        <v>0</v>
      </c>
      <c r="D19" s="30">
        <v>5457920.8855743799</v>
      </c>
      <c r="E19" s="30">
        <v>0</v>
      </c>
      <c r="F19" s="30">
        <v>0</v>
      </c>
      <c r="G19" s="31">
        <f>SUM(IL_FINANCIAL)</f>
        <v>5457920.8855743799</v>
      </c>
      <c r="H19" s="30"/>
      <c r="I19" s="34" t="s">
        <v>33</v>
      </c>
      <c r="J19" s="35">
        <v>0</v>
      </c>
      <c r="K19" s="30"/>
      <c r="L19" s="29">
        <v>0</v>
      </c>
      <c r="M19" s="30">
        <v>0</v>
      </c>
      <c r="N19" s="30"/>
      <c r="O19" s="30">
        <v>0</v>
      </c>
      <c r="P19" s="30">
        <v>0</v>
      </c>
      <c r="Q19" s="30"/>
      <c r="R19" s="30">
        <v>14800000</v>
      </c>
      <c r="S19" s="30">
        <v>9450000</v>
      </c>
      <c r="T19" s="30"/>
      <c r="U19" s="30">
        <v>0</v>
      </c>
      <c r="V19" s="31">
        <v>0</v>
      </c>
    </row>
    <row r="20" spans="1:22">
      <c r="A20" s="1" t="s">
        <v>34</v>
      </c>
      <c r="B20" s="29">
        <v>0</v>
      </c>
      <c r="C20" s="30">
        <v>0</v>
      </c>
      <c r="D20" s="30">
        <v>1016048.3061618884</v>
      </c>
      <c r="E20" s="30">
        <v>0</v>
      </c>
      <c r="F20" s="30">
        <v>0</v>
      </c>
      <c r="G20" s="31">
        <f>SUM(IN_FINANCIAL)</f>
        <v>1016048.3061618884</v>
      </c>
      <c r="H20" s="30"/>
      <c r="I20" s="34" t="s">
        <v>35</v>
      </c>
      <c r="J20" s="35">
        <v>20254758.070000004</v>
      </c>
      <c r="K20" s="30"/>
      <c r="L20" s="29">
        <v>0</v>
      </c>
      <c r="M20" s="30">
        <v>0</v>
      </c>
      <c r="N20" s="30"/>
      <c r="O20" s="30">
        <v>0</v>
      </c>
      <c r="P20" s="30">
        <v>0</v>
      </c>
      <c r="Q20" s="30"/>
      <c r="R20" s="30">
        <v>2893631</v>
      </c>
      <c r="S20" s="30">
        <v>0</v>
      </c>
      <c r="T20" s="30"/>
      <c r="U20" s="30">
        <v>0</v>
      </c>
      <c r="V20" s="31">
        <v>0</v>
      </c>
    </row>
    <row r="21" spans="1:22">
      <c r="A21" s="1" t="s">
        <v>36</v>
      </c>
      <c r="B21" s="29">
        <v>0</v>
      </c>
      <c r="C21" s="30">
        <v>0</v>
      </c>
      <c r="D21" s="30">
        <v>454668.30902198842</v>
      </c>
      <c r="E21" s="30">
        <v>0</v>
      </c>
      <c r="F21" s="30">
        <v>0</v>
      </c>
      <c r="G21" s="31">
        <f>SUM(IA_FINANCIAL)</f>
        <v>454668.30902198842</v>
      </c>
      <c r="H21" s="30"/>
      <c r="I21" s="34" t="s">
        <v>37</v>
      </c>
      <c r="J21" s="35"/>
      <c r="K21" s="30"/>
      <c r="L21" s="29">
        <v>0</v>
      </c>
      <c r="M21" s="30">
        <v>0</v>
      </c>
      <c r="N21" s="30"/>
      <c r="O21" s="30">
        <v>0</v>
      </c>
      <c r="P21" s="30">
        <v>0</v>
      </c>
      <c r="Q21" s="30"/>
      <c r="R21" s="30">
        <v>1725000</v>
      </c>
      <c r="S21" s="30">
        <v>0</v>
      </c>
      <c r="T21" s="30"/>
      <c r="U21" s="30">
        <v>0</v>
      </c>
      <c r="V21" s="31">
        <v>0</v>
      </c>
    </row>
    <row r="22" spans="1:22">
      <c r="A22" s="1" t="s">
        <v>38</v>
      </c>
      <c r="B22" s="29">
        <v>0</v>
      </c>
      <c r="C22" s="30">
        <v>0</v>
      </c>
      <c r="D22" s="30">
        <v>173319.16661035793</v>
      </c>
      <c r="E22" s="30">
        <v>0</v>
      </c>
      <c r="F22" s="30">
        <v>0</v>
      </c>
      <c r="G22" s="31">
        <f>SUM(KS_FINANCIAL)</f>
        <v>173319.16661035793</v>
      </c>
      <c r="H22" s="30"/>
      <c r="I22" s="34" t="s">
        <v>39</v>
      </c>
      <c r="J22" s="35">
        <v>743000</v>
      </c>
      <c r="K22" s="30"/>
      <c r="L22" s="29">
        <v>0</v>
      </c>
      <c r="M22" s="30">
        <v>0</v>
      </c>
      <c r="N22" s="30"/>
      <c r="O22" s="30">
        <v>0</v>
      </c>
      <c r="P22" s="30">
        <v>0</v>
      </c>
      <c r="Q22" s="30"/>
      <c r="R22" s="30">
        <v>500000</v>
      </c>
      <c r="S22" s="30">
        <v>0</v>
      </c>
      <c r="T22" s="30"/>
      <c r="U22" s="30">
        <v>0</v>
      </c>
      <c r="V22" s="31">
        <v>0</v>
      </c>
    </row>
    <row r="23" spans="1:22">
      <c r="A23" s="1" t="s">
        <v>40</v>
      </c>
      <c r="B23" s="29">
        <v>0</v>
      </c>
      <c r="C23" s="30">
        <v>0</v>
      </c>
      <c r="D23" s="30">
        <v>485493.38072546665</v>
      </c>
      <c r="E23" s="30">
        <v>0</v>
      </c>
      <c r="F23" s="30">
        <v>0</v>
      </c>
      <c r="G23" s="31">
        <f>SUM(KY_FINANCIAL)</f>
        <v>485493.38072546665</v>
      </c>
      <c r="H23" s="30"/>
      <c r="I23" s="34" t="s">
        <v>41</v>
      </c>
      <c r="J23" s="35"/>
      <c r="K23" s="30"/>
      <c r="L23" s="29">
        <v>0</v>
      </c>
      <c r="M23" s="30">
        <v>0</v>
      </c>
      <c r="N23" s="30"/>
      <c r="O23" s="30">
        <v>0</v>
      </c>
      <c r="P23" s="30">
        <v>0</v>
      </c>
      <c r="Q23" s="30"/>
      <c r="R23" s="30">
        <v>1341501</v>
      </c>
      <c r="S23" s="30">
        <v>522000</v>
      </c>
      <c r="T23" s="30"/>
      <c r="U23" s="30">
        <v>0</v>
      </c>
      <c r="V23" s="31">
        <v>0</v>
      </c>
    </row>
    <row r="24" spans="1:22">
      <c r="A24" s="1" t="s">
        <v>42</v>
      </c>
      <c r="B24" s="29">
        <v>0</v>
      </c>
      <c r="C24" s="30">
        <v>0</v>
      </c>
      <c r="D24" s="30">
        <v>45627.404682400957</v>
      </c>
      <c r="E24" s="30">
        <v>0</v>
      </c>
      <c r="F24" s="30">
        <v>0</v>
      </c>
      <c r="G24" s="31">
        <f>SUM(LA_FINANCIAL)</f>
        <v>45627.404682400957</v>
      </c>
      <c r="H24" s="30"/>
      <c r="I24" s="34" t="s">
        <v>43</v>
      </c>
      <c r="J24" s="35">
        <v>60769110.859999992</v>
      </c>
      <c r="K24" s="30"/>
      <c r="L24" s="29">
        <v>0</v>
      </c>
      <c r="M24" s="30">
        <v>0</v>
      </c>
      <c r="N24" s="30"/>
      <c r="O24" s="30">
        <v>0</v>
      </c>
      <c r="P24" s="30">
        <v>0</v>
      </c>
      <c r="Q24" s="30"/>
      <c r="R24" s="30">
        <v>509121</v>
      </c>
      <c r="S24" s="30">
        <v>0</v>
      </c>
      <c r="T24" s="30"/>
      <c r="U24" s="30">
        <v>0</v>
      </c>
      <c r="V24" s="31">
        <v>0</v>
      </c>
    </row>
    <row r="25" spans="1:22">
      <c r="A25" s="1" t="s">
        <v>44</v>
      </c>
      <c r="B25" s="29">
        <v>0</v>
      </c>
      <c r="C25" s="30">
        <v>0</v>
      </c>
      <c r="D25" s="30">
        <v>55278.739512028333</v>
      </c>
      <c r="E25" s="30">
        <v>0</v>
      </c>
      <c r="F25" s="30">
        <v>0</v>
      </c>
      <c r="G25" s="31">
        <f>SUM(ME_FINANCIAL)</f>
        <v>55278.739512028333</v>
      </c>
      <c r="H25" s="30"/>
      <c r="I25" s="34"/>
      <c r="J25" s="35"/>
      <c r="K25" s="30"/>
      <c r="L25" s="29">
        <v>0</v>
      </c>
      <c r="M25" s="30">
        <v>0</v>
      </c>
      <c r="N25" s="30"/>
      <c r="O25" s="30">
        <v>0</v>
      </c>
      <c r="P25" s="30">
        <v>0</v>
      </c>
      <c r="Q25" s="30"/>
      <c r="R25" s="30">
        <v>175000</v>
      </c>
      <c r="S25" s="30">
        <v>0</v>
      </c>
      <c r="T25" s="30"/>
      <c r="U25" s="30">
        <v>0</v>
      </c>
      <c r="V25" s="31">
        <v>0</v>
      </c>
    </row>
    <row r="26" spans="1:22">
      <c r="A26" s="1" t="s">
        <v>45</v>
      </c>
      <c r="B26" s="29">
        <v>0</v>
      </c>
      <c r="C26" s="30">
        <v>0</v>
      </c>
      <c r="D26" s="30">
        <v>495450.94925008772</v>
      </c>
      <c r="E26" s="30">
        <v>0</v>
      </c>
      <c r="F26" s="30">
        <v>0</v>
      </c>
      <c r="G26" s="31">
        <f>SUM(MD_FINANCIAL)</f>
        <v>495450.94925008772</v>
      </c>
      <c r="H26" s="30"/>
      <c r="I26" s="34" t="s">
        <v>46</v>
      </c>
      <c r="J26" s="35">
        <f>SUM(ADD_FINANCIAL)-SUM(LESS_FINANCIAL)</f>
        <v>34222634.490000054</v>
      </c>
      <c r="K26" s="30"/>
      <c r="L26" s="29">
        <v>0</v>
      </c>
      <c r="M26" s="30">
        <v>0</v>
      </c>
      <c r="N26" s="30"/>
      <c r="O26" s="30">
        <v>0</v>
      </c>
      <c r="P26" s="30">
        <v>0</v>
      </c>
      <c r="Q26" s="30"/>
      <c r="R26" s="30">
        <v>1700000</v>
      </c>
      <c r="S26" s="30">
        <v>0</v>
      </c>
      <c r="T26" s="30"/>
      <c r="U26" s="30">
        <v>0</v>
      </c>
      <c r="V26" s="31">
        <v>0</v>
      </c>
    </row>
    <row r="27" spans="1:22">
      <c r="A27" s="1" t="s">
        <v>47</v>
      </c>
      <c r="B27" s="29">
        <v>0</v>
      </c>
      <c r="C27" s="30">
        <v>0</v>
      </c>
      <c r="D27" s="30">
        <v>163930.41337618587</v>
      </c>
      <c r="E27" s="30">
        <v>0</v>
      </c>
      <c r="F27" s="30">
        <v>0</v>
      </c>
      <c r="G27" s="31">
        <f>SUM(MA_FINANCIAL)</f>
        <v>163930.41337618587</v>
      </c>
      <c r="H27" s="30"/>
      <c r="I27" s="34" t="s">
        <v>48</v>
      </c>
      <c r="J27" s="35">
        <f>SUM(ALL_BLOCKS)</f>
        <v>34222634.49000001</v>
      </c>
      <c r="K27" s="30"/>
      <c r="L27" s="29">
        <v>0</v>
      </c>
      <c r="M27" s="30">
        <v>0</v>
      </c>
      <c r="N27" s="30"/>
      <c r="O27" s="30">
        <v>0</v>
      </c>
      <c r="P27" s="30">
        <v>0</v>
      </c>
      <c r="Q27" s="30"/>
      <c r="R27" s="30">
        <v>456000</v>
      </c>
      <c r="S27" s="30">
        <v>75000</v>
      </c>
      <c r="T27" s="30"/>
      <c r="U27" s="30">
        <v>0</v>
      </c>
      <c r="V27" s="31">
        <v>0</v>
      </c>
    </row>
    <row r="28" spans="1:22">
      <c r="A28" s="1" t="s">
        <v>49</v>
      </c>
      <c r="B28" s="29">
        <v>0</v>
      </c>
      <c r="C28" s="30">
        <v>0</v>
      </c>
      <c r="D28" s="30">
        <v>0</v>
      </c>
      <c r="E28" s="30">
        <v>0</v>
      </c>
      <c r="F28" s="30">
        <v>0</v>
      </c>
      <c r="G28" s="31">
        <f>SUM(MI_FINANCIAL)</f>
        <v>0</v>
      </c>
      <c r="H28" s="30"/>
      <c r="I28" s="36"/>
      <c r="J28" s="37"/>
      <c r="K28" s="30"/>
      <c r="L28" s="29"/>
      <c r="M28" s="30"/>
      <c r="N28" s="30"/>
      <c r="O28" s="30"/>
      <c r="P28" s="30"/>
      <c r="Q28" s="30"/>
      <c r="R28" s="30"/>
      <c r="S28" s="30"/>
      <c r="T28" s="30"/>
      <c r="U28" s="30"/>
      <c r="V28" s="31"/>
    </row>
    <row r="29" spans="1:22">
      <c r="A29" s="1" t="s">
        <v>50</v>
      </c>
      <c r="B29" s="29">
        <v>0</v>
      </c>
      <c r="C29" s="30">
        <v>0</v>
      </c>
      <c r="D29" s="30">
        <v>52315.316401278746</v>
      </c>
      <c r="E29" s="30">
        <v>0</v>
      </c>
      <c r="F29" s="30">
        <v>0</v>
      </c>
      <c r="G29" s="31">
        <f>SUM(MN_FINANCIAL)</f>
        <v>52315.316401278746</v>
      </c>
      <c r="H29" s="30"/>
      <c r="I29" s="30"/>
      <c r="J29" s="30"/>
      <c r="K29" s="30"/>
      <c r="L29" s="29"/>
      <c r="M29" s="30"/>
      <c r="N29" s="30"/>
      <c r="O29" s="30"/>
      <c r="P29" s="30"/>
      <c r="Q29" s="30"/>
      <c r="R29" s="30"/>
      <c r="S29" s="30"/>
      <c r="T29" s="30"/>
      <c r="U29" s="30"/>
      <c r="V29" s="31"/>
    </row>
    <row r="30" spans="1:22">
      <c r="A30" s="1" t="s">
        <v>51</v>
      </c>
      <c r="B30" s="29">
        <v>0</v>
      </c>
      <c r="C30" s="30">
        <v>0</v>
      </c>
      <c r="D30" s="30">
        <v>103783.90654544503</v>
      </c>
      <c r="E30" s="30">
        <v>0</v>
      </c>
      <c r="F30" s="30">
        <v>0</v>
      </c>
      <c r="G30" s="31">
        <f>SUM(MS_FINANCIAL)</f>
        <v>103783.90654544503</v>
      </c>
      <c r="H30" s="30"/>
      <c r="I30" s="30"/>
      <c r="J30" s="30"/>
      <c r="K30" s="30"/>
      <c r="L30" s="29">
        <v>0</v>
      </c>
      <c r="M30" s="30">
        <v>0</v>
      </c>
      <c r="N30" s="30"/>
      <c r="O30" s="30">
        <v>0</v>
      </c>
      <c r="P30" s="30">
        <v>0</v>
      </c>
      <c r="Q30" s="30"/>
      <c r="R30" s="30">
        <v>210000</v>
      </c>
      <c r="S30" s="30">
        <v>0</v>
      </c>
      <c r="T30" s="30"/>
      <c r="U30" s="30">
        <v>0</v>
      </c>
      <c r="V30" s="31">
        <v>0</v>
      </c>
    </row>
    <row r="31" spans="1:22">
      <c r="A31" s="1" t="s">
        <v>52</v>
      </c>
      <c r="B31" s="29">
        <v>0</v>
      </c>
      <c r="C31" s="30">
        <v>0</v>
      </c>
      <c r="D31" s="30">
        <v>2352831.9530095244</v>
      </c>
      <c r="E31" s="30">
        <v>0</v>
      </c>
      <c r="F31" s="30">
        <v>0</v>
      </c>
      <c r="G31" s="31">
        <f>SUM(MO_FINANCIAL)</f>
        <v>2352831.9530095244</v>
      </c>
      <c r="H31" s="30"/>
      <c r="I31" s="30"/>
      <c r="J31" s="30"/>
      <c r="K31" s="30"/>
      <c r="L31" s="29">
        <v>0</v>
      </c>
      <c r="M31" s="30">
        <v>0</v>
      </c>
      <c r="N31" s="30"/>
      <c r="O31" s="30">
        <v>0</v>
      </c>
      <c r="P31" s="30">
        <v>0</v>
      </c>
      <c r="Q31" s="30"/>
      <c r="R31" s="30">
        <v>8354499</v>
      </c>
      <c r="S31" s="30">
        <v>0</v>
      </c>
      <c r="T31" s="30"/>
      <c r="U31" s="30">
        <v>0</v>
      </c>
      <c r="V31" s="31">
        <v>0</v>
      </c>
    </row>
    <row r="32" spans="1:22">
      <c r="A32" s="1" t="s">
        <v>53</v>
      </c>
      <c r="B32" s="29">
        <v>0</v>
      </c>
      <c r="C32" s="30">
        <v>0</v>
      </c>
      <c r="D32" s="30">
        <v>432351.28770421119</v>
      </c>
      <c r="E32" s="30">
        <v>0</v>
      </c>
      <c r="F32" s="30">
        <v>0</v>
      </c>
      <c r="G32" s="31">
        <f>SUM(MT_FINANCIAL)</f>
        <v>432351.28770421119</v>
      </c>
      <c r="H32" s="30"/>
      <c r="I32" s="30"/>
      <c r="J32" s="30"/>
      <c r="K32" s="30"/>
      <c r="L32" s="29">
        <v>0</v>
      </c>
      <c r="M32" s="30">
        <v>0</v>
      </c>
      <c r="N32" s="30"/>
      <c r="O32" s="30">
        <v>0</v>
      </c>
      <c r="P32" s="30">
        <v>0</v>
      </c>
      <c r="Q32" s="30"/>
      <c r="R32" s="30">
        <v>670000</v>
      </c>
      <c r="S32" s="30">
        <v>0</v>
      </c>
      <c r="T32" s="30"/>
      <c r="U32" s="30">
        <v>0</v>
      </c>
      <c r="V32" s="31">
        <v>0</v>
      </c>
    </row>
    <row r="33" spans="1:22">
      <c r="A33" s="1" t="s">
        <v>54</v>
      </c>
      <c r="B33" s="29">
        <v>0</v>
      </c>
      <c r="C33" s="30">
        <v>0</v>
      </c>
      <c r="D33" s="30">
        <v>1233700.4604683197</v>
      </c>
      <c r="E33" s="30">
        <v>0</v>
      </c>
      <c r="F33" s="30">
        <v>0</v>
      </c>
      <c r="G33" s="31">
        <f>SUM(NE_FINANCIAL)</f>
        <v>1233700.4604683197</v>
      </c>
      <c r="H33" s="30"/>
      <c r="I33" s="30"/>
      <c r="J33" s="30"/>
      <c r="K33" s="30"/>
      <c r="L33" s="29">
        <v>0</v>
      </c>
      <c r="M33" s="30">
        <v>0</v>
      </c>
      <c r="N33" s="30"/>
      <c r="O33" s="30">
        <v>0</v>
      </c>
      <c r="P33" s="30">
        <v>0</v>
      </c>
      <c r="Q33" s="30"/>
      <c r="R33" s="30">
        <v>4475000</v>
      </c>
      <c r="S33" s="30">
        <v>5300000</v>
      </c>
      <c r="T33" s="30"/>
      <c r="U33" s="30">
        <v>0</v>
      </c>
      <c r="V33" s="31">
        <v>0</v>
      </c>
    </row>
    <row r="34" spans="1:22">
      <c r="A34" s="1" t="s">
        <v>55</v>
      </c>
      <c r="B34" s="29">
        <v>0</v>
      </c>
      <c r="C34" s="30">
        <v>0</v>
      </c>
      <c r="D34" s="30">
        <v>149461.60147172029</v>
      </c>
      <c r="E34" s="30">
        <v>0</v>
      </c>
      <c r="F34" s="30">
        <v>0</v>
      </c>
      <c r="G34" s="31">
        <f>SUM(NV_FINANCIAL)</f>
        <v>149461.60147172029</v>
      </c>
      <c r="H34" s="30"/>
      <c r="I34" s="30"/>
      <c r="J34" s="30"/>
      <c r="K34" s="30"/>
      <c r="L34" s="29">
        <v>0</v>
      </c>
      <c r="M34" s="30">
        <v>0</v>
      </c>
      <c r="N34" s="30"/>
      <c r="O34" s="30">
        <v>0</v>
      </c>
      <c r="P34" s="30">
        <v>0</v>
      </c>
      <c r="Q34" s="30"/>
      <c r="R34" s="30">
        <v>370000</v>
      </c>
      <c r="S34" s="30">
        <v>178000</v>
      </c>
      <c r="T34" s="30"/>
      <c r="U34" s="30">
        <v>0</v>
      </c>
      <c r="V34" s="31">
        <v>0</v>
      </c>
    </row>
    <row r="35" spans="1:22">
      <c r="A35" s="1" t="s">
        <v>56</v>
      </c>
      <c r="B35" s="29">
        <v>0</v>
      </c>
      <c r="C35" s="30">
        <v>0</v>
      </c>
      <c r="D35" s="30">
        <v>1388.4564093102472</v>
      </c>
      <c r="E35" s="30">
        <v>0</v>
      </c>
      <c r="F35" s="30">
        <v>0</v>
      </c>
      <c r="G35" s="31">
        <f>SUM(NH_FINANCIAL)</f>
        <v>1388.4564093102472</v>
      </c>
      <c r="H35" s="30"/>
      <c r="I35" s="30"/>
      <c r="J35" s="30"/>
      <c r="K35" s="30"/>
      <c r="L35" s="29"/>
      <c r="M35" s="30"/>
      <c r="N35" s="30"/>
      <c r="O35" s="30"/>
      <c r="P35" s="30"/>
      <c r="Q35" s="30"/>
      <c r="R35" s="30"/>
      <c r="S35" s="30"/>
      <c r="T35" s="30"/>
      <c r="U35" s="30"/>
      <c r="V35" s="31"/>
    </row>
    <row r="36" spans="1:22">
      <c r="A36" s="1" t="s">
        <v>57</v>
      </c>
      <c r="B36" s="29">
        <v>0</v>
      </c>
      <c r="C36" s="30">
        <v>0</v>
      </c>
      <c r="D36" s="30">
        <v>461092.29489941511</v>
      </c>
      <c r="E36" s="30">
        <v>0</v>
      </c>
      <c r="F36" s="30">
        <v>0</v>
      </c>
      <c r="G36" s="31">
        <f>SUM(NJ_FINANCIAL)</f>
        <v>461092.29489941511</v>
      </c>
      <c r="H36" s="30"/>
      <c r="I36" s="30"/>
      <c r="J36" s="30"/>
      <c r="K36" s="30"/>
      <c r="L36" s="29">
        <v>0</v>
      </c>
      <c r="M36" s="30">
        <v>0</v>
      </c>
      <c r="N36" s="30"/>
      <c r="O36" s="30">
        <v>0</v>
      </c>
      <c r="P36" s="30">
        <v>0</v>
      </c>
      <c r="Q36" s="30"/>
      <c r="R36" s="30">
        <v>1250000</v>
      </c>
      <c r="S36" s="30">
        <v>151039</v>
      </c>
      <c r="T36" s="30"/>
      <c r="U36" s="30">
        <v>0</v>
      </c>
      <c r="V36" s="31">
        <v>0</v>
      </c>
    </row>
    <row r="37" spans="1:22">
      <c r="A37" s="1" t="s">
        <v>58</v>
      </c>
      <c r="B37" s="29">
        <v>0</v>
      </c>
      <c r="C37" s="30">
        <v>0</v>
      </c>
      <c r="D37" s="30">
        <v>140043.72777535047</v>
      </c>
      <c r="E37" s="30">
        <v>0</v>
      </c>
      <c r="F37" s="30">
        <v>0</v>
      </c>
      <c r="G37" s="31">
        <f>SUM(NM_FINANCIAL)</f>
        <v>140043.72777535047</v>
      </c>
      <c r="H37" s="30"/>
      <c r="I37" s="30"/>
      <c r="J37" s="30"/>
      <c r="K37" s="30"/>
      <c r="L37" s="29">
        <v>0</v>
      </c>
      <c r="M37" s="30">
        <v>120000</v>
      </c>
      <c r="N37" s="30"/>
      <c r="O37" s="30">
        <v>0</v>
      </c>
      <c r="P37" s="30">
        <v>0</v>
      </c>
      <c r="Q37" s="30"/>
      <c r="R37" s="30">
        <v>350000</v>
      </c>
      <c r="S37" s="30">
        <v>0</v>
      </c>
      <c r="T37" s="30"/>
      <c r="U37" s="30">
        <v>0</v>
      </c>
      <c r="V37" s="31">
        <v>0</v>
      </c>
    </row>
    <row r="38" spans="1:22">
      <c r="A38" s="1" t="s">
        <v>59</v>
      </c>
      <c r="B38" s="29">
        <v>0</v>
      </c>
      <c r="C38" s="30">
        <v>0</v>
      </c>
      <c r="D38" s="30">
        <v>0</v>
      </c>
      <c r="E38" s="30">
        <v>0</v>
      </c>
      <c r="F38" s="30">
        <v>0</v>
      </c>
      <c r="G38" s="31">
        <f>SUM(NY_FINANCIAL)</f>
        <v>0</v>
      </c>
      <c r="H38" s="30"/>
      <c r="I38" s="30"/>
      <c r="J38" s="30"/>
      <c r="K38" s="30"/>
      <c r="L38" s="29"/>
      <c r="M38" s="30"/>
      <c r="N38" s="30"/>
      <c r="O38" s="30"/>
      <c r="P38" s="30"/>
      <c r="Q38" s="30"/>
      <c r="R38" s="30"/>
      <c r="S38" s="30"/>
      <c r="T38" s="30"/>
      <c r="U38" s="30"/>
      <c r="V38" s="31"/>
    </row>
    <row r="39" spans="1:22">
      <c r="A39" s="1" t="s">
        <v>60</v>
      </c>
      <c r="B39" s="29">
        <v>0</v>
      </c>
      <c r="C39" s="30">
        <v>0</v>
      </c>
      <c r="D39" s="30">
        <v>439138.24588632514</v>
      </c>
      <c r="E39" s="30">
        <v>0</v>
      </c>
      <c r="F39" s="30">
        <v>0</v>
      </c>
      <c r="G39" s="31">
        <f>SUM(NC_FINANCIAL)</f>
        <v>439138.24588632514</v>
      </c>
      <c r="H39" s="30"/>
      <c r="I39" s="30"/>
      <c r="J39" s="30"/>
      <c r="K39" s="30"/>
      <c r="L39" s="29">
        <v>0</v>
      </c>
      <c r="M39" s="30">
        <v>0</v>
      </c>
      <c r="N39" s="30"/>
      <c r="O39" s="30">
        <v>0</v>
      </c>
      <c r="P39" s="30">
        <v>0</v>
      </c>
      <c r="Q39" s="30"/>
      <c r="R39" s="30">
        <v>800000</v>
      </c>
      <c r="S39" s="30">
        <v>0</v>
      </c>
      <c r="T39" s="30"/>
      <c r="U39" s="30">
        <v>0</v>
      </c>
      <c r="V39" s="31">
        <v>0</v>
      </c>
    </row>
    <row r="40" spans="1:22">
      <c r="A40" s="1" t="s">
        <v>61</v>
      </c>
      <c r="B40" s="29">
        <v>0</v>
      </c>
      <c r="C40" s="30">
        <v>0</v>
      </c>
      <c r="D40" s="30">
        <v>1185626.6976548356</v>
      </c>
      <c r="E40" s="30">
        <v>0</v>
      </c>
      <c r="F40" s="30">
        <v>0</v>
      </c>
      <c r="G40" s="31">
        <f>SUM(ND_FINANCIAL)</f>
        <v>1185626.6976548356</v>
      </c>
      <c r="H40" s="30"/>
      <c r="I40" s="30"/>
      <c r="J40" s="30"/>
      <c r="K40" s="30"/>
      <c r="L40" s="29">
        <v>0</v>
      </c>
      <c r="M40" s="30">
        <v>0</v>
      </c>
      <c r="N40" s="30"/>
      <c r="O40" s="30">
        <v>0</v>
      </c>
      <c r="P40" s="30">
        <v>0</v>
      </c>
      <c r="Q40" s="30"/>
      <c r="R40" s="30">
        <v>3202700</v>
      </c>
      <c r="S40" s="30">
        <v>924599</v>
      </c>
      <c r="T40" s="30"/>
      <c r="U40" s="30">
        <v>0</v>
      </c>
      <c r="V40" s="31">
        <v>0</v>
      </c>
    </row>
    <row r="41" spans="1:22">
      <c r="A41" s="1" t="s">
        <v>62</v>
      </c>
      <c r="B41" s="29">
        <v>0</v>
      </c>
      <c r="C41" s="30">
        <v>0</v>
      </c>
      <c r="D41" s="30">
        <v>1669458.0664728074</v>
      </c>
      <c r="E41" s="30">
        <v>0</v>
      </c>
      <c r="F41" s="30">
        <v>0</v>
      </c>
      <c r="G41" s="31">
        <f>SUM(OH_FINANCIAL)</f>
        <v>1669458.0664728074</v>
      </c>
      <c r="H41" s="30"/>
      <c r="I41" s="30"/>
      <c r="J41" s="30"/>
      <c r="K41" s="30"/>
      <c r="L41" s="29">
        <v>0</v>
      </c>
      <c r="M41" s="30">
        <v>0</v>
      </c>
      <c r="N41" s="30"/>
      <c r="O41" s="30">
        <v>0</v>
      </c>
      <c r="P41" s="30">
        <v>0</v>
      </c>
      <c r="Q41" s="30"/>
      <c r="R41" s="30">
        <v>5600000</v>
      </c>
      <c r="S41" s="30">
        <v>0</v>
      </c>
      <c r="T41" s="30"/>
      <c r="U41" s="30">
        <v>0</v>
      </c>
      <c r="V41" s="31">
        <v>0</v>
      </c>
    </row>
    <row r="42" spans="1:22">
      <c r="A42" s="1" t="s">
        <v>63</v>
      </c>
      <c r="B42" s="29">
        <v>0</v>
      </c>
      <c r="C42" s="30">
        <v>0</v>
      </c>
      <c r="D42" s="30">
        <v>257536.20378070883</v>
      </c>
      <c r="E42" s="30">
        <v>0</v>
      </c>
      <c r="F42" s="30">
        <v>0</v>
      </c>
      <c r="G42" s="31">
        <f>SUM(OK_FINANCIAL)</f>
        <v>257536.20378070883</v>
      </c>
      <c r="H42" s="30"/>
      <c r="I42" s="30"/>
      <c r="J42" s="30"/>
      <c r="K42" s="30"/>
      <c r="L42" s="29">
        <v>0</v>
      </c>
      <c r="M42" s="30">
        <v>0</v>
      </c>
      <c r="N42" s="30"/>
      <c r="O42" s="30">
        <v>0</v>
      </c>
      <c r="P42" s="30">
        <v>0</v>
      </c>
      <c r="Q42" s="30"/>
      <c r="R42" s="30">
        <v>850000</v>
      </c>
      <c r="S42" s="30">
        <v>500000</v>
      </c>
      <c r="T42" s="30"/>
      <c r="U42" s="30">
        <v>0</v>
      </c>
      <c r="V42" s="31">
        <v>0</v>
      </c>
    </row>
    <row r="43" spans="1:22">
      <c r="A43" s="1" t="s">
        <v>64</v>
      </c>
      <c r="B43" s="29">
        <v>0</v>
      </c>
      <c r="C43" s="30">
        <v>0</v>
      </c>
      <c r="D43" s="30">
        <v>448643.51960224716</v>
      </c>
      <c r="E43" s="30">
        <v>0</v>
      </c>
      <c r="F43" s="30">
        <v>0</v>
      </c>
      <c r="G43" s="31">
        <f>SUM(OR_FINANCIAL)</f>
        <v>448643.51960224716</v>
      </c>
      <c r="H43" s="30"/>
      <c r="I43" s="30"/>
      <c r="J43" s="30"/>
      <c r="K43" s="30"/>
      <c r="L43" s="29">
        <v>0</v>
      </c>
      <c r="M43" s="30">
        <v>0</v>
      </c>
      <c r="N43" s="30"/>
      <c r="O43" s="30">
        <v>0</v>
      </c>
      <c r="P43" s="30">
        <v>0</v>
      </c>
      <c r="Q43" s="30"/>
      <c r="R43" s="30">
        <v>1688644</v>
      </c>
      <c r="S43" s="30">
        <v>0</v>
      </c>
      <c r="T43" s="30"/>
      <c r="U43" s="30">
        <v>0</v>
      </c>
      <c r="V43" s="31">
        <v>0</v>
      </c>
    </row>
    <row r="44" spans="1:22">
      <c r="A44" s="1" t="s">
        <v>65</v>
      </c>
      <c r="B44" s="29">
        <v>0</v>
      </c>
      <c r="C44" s="30">
        <v>0</v>
      </c>
      <c r="D44" s="30">
        <v>394999.11377018644</v>
      </c>
      <c r="E44" s="30">
        <v>0</v>
      </c>
      <c r="F44" s="30">
        <v>0</v>
      </c>
      <c r="G44" s="31">
        <f>SUM(PA_FINANCIAL)</f>
        <v>394999.11377018644</v>
      </c>
      <c r="H44" s="30"/>
      <c r="I44" s="30"/>
      <c r="J44" s="30"/>
      <c r="K44" s="30"/>
      <c r="L44" s="29">
        <v>0</v>
      </c>
      <c r="M44" s="30">
        <v>0</v>
      </c>
      <c r="N44" s="30"/>
      <c r="O44" s="30">
        <v>0</v>
      </c>
      <c r="P44" s="30">
        <v>0</v>
      </c>
      <c r="Q44" s="30"/>
      <c r="R44" s="30">
        <v>1000000</v>
      </c>
      <c r="S44" s="30">
        <v>0</v>
      </c>
      <c r="T44" s="30"/>
      <c r="U44" s="30">
        <v>0</v>
      </c>
      <c r="V44" s="31">
        <v>0</v>
      </c>
    </row>
    <row r="45" spans="1:22">
      <c r="A45" s="1" t="s">
        <v>66</v>
      </c>
      <c r="B45" s="29">
        <v>0</v>
      </c>
      <c r="C45" s="30">
        <v>0</v>
      </c>
      <c r="D45" s="30">
        <v>0</v>
      </c>
      <c r="E45" s="30">
        <v>0</v>
      </c>
      <c r="F45" s="30">
        <v>0</v>
      </c>
      <c r="G45" s="31">
        <f>SUM(PR_FINANCIAL)</f>
        <v>0</v>
      </c>
      <c r="H45" s="30"/>
      <c r="I45" s="30"/>
      <c r="J45" s="30"/>
      <c r="K45" s="30"/>
      <c r="L45" s="29"/>
      <c r="M45" s="30"/>
      <c r="N45" s="30"/>
      <c r="O45" s="30"/>
      <c r="P45" s="30"/>
      <c r="Q45" s="30"/>
      <c r="R45" s="30"/>
      <c r="S45" s="30"/>
      <c r="T45" s="30"/>
      <c r="U45" s="30"/>
      <c r="V45" s="31"/>
    </row>
    <row r="46" spans="1:22">
      <c r="A46" s="1" t="s">
        <v>67</v>
      </c>
      <c r="B46" s="29">
        <v>0</v>
      </c>
      <c r="C46" s="30">
        <v>0</v>
      </c>
      <c r="D46" s="30">
        <v>3197.1472625904426</v>
      </c>
      <c r="E46" s="30">
        <v>0</v>
      </c>
      <c r="F46" s="30">
        <v>0</v>
      </c>
      <c r="G46" s="31">
        <f>SUM(RI_FINANCIAL)</f>
        <v>3197.1472625904426</v>
      </c>
      <c r="H46" s="30"/>
      <c r="I46" s="30"/>
      <c r="J46" s="30"/>
      <c r="K46" s="30"/>
      <c r="L46" s="29"/>
      <c r="M46" s="30"/>
      <c r="N46" s="30"/>
      <c r="O46" s="30"/>
      <c r="P46" s="30"/>
      <c r="Q46" s="30"/>
      <c r="R46" s="30"/>
      <c r="S46" s="30"/>
      <c r="T46" s="30"/>
      <c r="U46" s="30"/>
      <c r="V46" s="31"/>
    </row>
    <row r="47" spans="1:22">
      <c r="A47" s="1" t="s">
        <v>68</v>
      </c>
      <c r="B47" s="29">
        <v>0</v>
      </c>
      <c r="C47" s="30">
        <v>0</v>
      </c>
      <c r="D47" s="30">
        <v>205817.4714043815</v>
      </c>
      <c r="E47" s="30">
        <v>0</v>
      </c>
      <c r="F47" s="30">
        <v>0</v>
      </c>
      <c r="G47" s="31">
        <f>SUM(SC_FINANCIAL)</f>
        <v>205817.4714043815</v>
      </c>
      <c r="H47" s="30"/>
      <c r="I47" s="30"/>
      <c r="J47" s="30"/>
      <c r="K47" s="30"/>
      <c r="L47" s="29">
        <v>0</v>
      </c>
      <c r="M47" s="30">
        <v>0</v>
      </c>
      <c r="N47" s="30"/>
      <c r="O47" s="30">
        <v>0</v>
      </c>
      <c r="P47" s="30">
        <v>0</v>
      </c>
      <c r="Q47" s="30"/>
      <c r="R47" s="30">
        <v>600000</v>
      </c>
      <c r="S47" s="30">
        <v>0</v>
      </c>
      <c r="T47" s="30"/>
      <c r="U47" s="30">
        <v>0</v>
      </c>
      <c r="V47" s="31">
        <v>0</v>
      </c>
    </row>
    <row r="48" spans="1:22">
      <c r="A48" s="1" t="s">
        <v>69</v>
      </c>
      <c r="B48" s="29">
        <v>0</v>
      </c>
      <c r="C48" s="30">
        <v>0</v>
      </c>
      <c r="D48" s="30">
        <v>1385577.7453399794</v>
      </c>
      <c r="E48" s="30">
        <v>0</v>
      </c>
      <c r="F48" s="30">
        <v>0</v>
      </c>
      <c r="G48" s="31">
        <f>SUM(SD_FINANCIAL)</f>
        <v>1385577.7453399794</v>
      </c>
      <c r="H48" s="30"/>
      <c r="I48" s="30"/>
      <c r="J48" s="30"/>
      <c r="K48" s="30"/>
      <c r="L48" s="29">
        <v>0</v>
      </c>
      <c r="M48" s="30">
        <v>0</v>
      </c>
      <c r="N48" s="30"/>
      <c r="O48" s="30">
        <v>0</v>
      </c>
      <c r="P48" s="30">
        <v>0</v>
      </c>
      <c r="Q48" s="30"/>
      <c r="R48" s="30">
        <v>3748806</v>
      </c>
      <c r="S48" s="30">
        <v>1475000</v>
      </c>
      <c r="T48" s="30"/>
      <c r="U48" s="30">
        <v>0</v>
      </c>
      <c r="V48" s="31">
        <v>0</v>
      </c>
    </row>
    <row r="49" spans="1:22">
      <c r="A49" s="1" t="s">
        <v>70</v>
      </c>
      <c r="B49" s="29">
        <v>0</v>
      </c>
      <c r="C49" s="30">
        <v>0</v>
      </c>
      <c r="D49" s="30">
        <v>304483.02869709744</v>
      </c>
      <c r="E49" s="30">
        <v>0</v>
      </c>
      <c r="F49" s="30">
        <v>0</v>
      </c>
      <c r="G49" s="31">
        <f>SUM(TN_FINANCIAL)</f>
        <v>304483.02869709744</v>
      </c>
      <c r="H49" s="30"/>
      <c r="I49" s="30"/>
      <c r="J49" s="30"/>
      <c r="K49" s="30"/>
      <c r="L49" s="29">
        <v>0</v>
      </c>
      <c r="M49" s="30">
        <v>0</v>
      </c>
      <c r="N49" s="30"/>
      <c r="O49" s="30">
        <v>0</v>
      </c>
      <c r="P49" s="30">
        <v>0</v>
      </c>
      <c r="Q49" s="30"/>
      <c r="R49" s="30">
        <v>1000000</v>
      </c>
      <c r="S49" s="30">
        <v>0</v>
      </c>
      <c r="T49" s="30"/>
      <c r="U49" s="30">
        <v>0</v>
      </c>
      <c r="V49" s="31">
        <v>0</v>
      </c>
    </row>
    <row r="50" spans="1:22">
      <c r="A50" s="1" t="s">
        <v>71</v>
      </c>
      <c r="B50" s="29">
        <v>0</v>
      </c>
      <c r="C50" s="30">
        <v>0</v>
      </c>
      <c r="D50" s="30">
        <v>999098.45080373227</v>
      </c>
      <c r="E50" s="30">
        <v>0</v>
      </c>
      <c r="F50" s="30">
        <v>0</v>
      </c>
      <c r="G50" s="31">
        <f>SUM(TX_FINANCIAL)</f>
        <v>999098.45080373227</v>
      </c>
      <c r="H50" s="30"/>
      <c r="I50" s="30"/>
      <c r="J50" s="30"/>
      <c r="K50" s="30"/>
      <c r="L50" s="29">
        <v>0</v>
      </c>
      <c r="M50" s="30">
        <v>600000</v>
      </c>
      <c r="N50" s="30"/>
      <c r="O50" s="30">
        <v>0</v>
      </c>
      <c r="P50" s="30">
        <v>0</v>
      </c>
      <c r="Q50" s="30"/>
      <c r="R50" s="30">
        <v>3221193.5</v>
      </c>
      <c r="S50" s="30">
        <v>1164901</v>
      </c>
      <c r="T50" s="30"/>
      <c r="U50" s="30">
        <v>0</v>
      </c>
      <c r="V50" s="31">
        <v>0</v>
      </c>
    </row>
    <row r="51" spans="1:22">
      <c r="A51" s="1" t="s">
        <v>72</v>
      </c>
      <c r="B51" s="29">
        <v>0</v>
      </c>
      <c r="C51" s="30">
        <v>0</v>
      </c>
      <c r="D51" s="30">
        <v>41239.544410369781</v>
      </c>
      <c r="E51" s="30">
        <v>0</v>
      </c>
      <c r="F51" s="30">
        <v>0</v>
      </c>
      <c r="G51" s="31">
        <f>SUM(UT_FINANCIAL)</f>
        <v>41239.544410369781</v>
      </c>
      <c r="H51" s="30"/>
      <c r="I51" s="30"/>
      <c r="J51" s="30"/>
      <c r="K51" s="30"/>
      <c r="L51" s="29">
        <v>0</v>
      </c>
      <c r="M51" s="30">
        <v>0</v>
      </c>
      <c r="N51" s="30"/>
      <c r="O51" s="30">
        <v>0</v>
      </c>
      <c r="P51" s="30">
        <v>0</v>
      </c>
      <c r="Q51" s="30"/>
      <c r="R51" s="30">
        <v>125000</v>
      </c>
      <c r="S51" s="30">
        <v>0</v>
      </c>
      <c r="T51" s="30"/>
      <c r="U51" s="30">
        <v>0</v>
      </c>
      <c r="V51" s="31">
        <v>0</v>
      </c>
    </row>
    <row r="52" spans="1:22">
      <c r="A52" s="1" t="s">
        <v>73</v>
      </c>
      <c r="B52" s="29">
        <v>0</v>
      </c>
      <c r="C52" s="30">
        <v>0</v>
      </c>
      <c r="D52" s="30">
        <v>9549.0587860707419</v>
      </c>
      <c r="E52" s="30">
        <v>0</v>
      </c>
      <c r="F52" s="30">
        <v>0</v>
      </c>
      <c r="G52" s="31">
        <f>SUM(VT_FINANCIAL)</f>
        <v>9549.0587860707419</v>
      </c>
      <c r="H52" s="30"/>
      <c r="I52" s="30"/>
      <c r="J52" s="30"/>
      <c r="K52" s="30"/>
      <c r="L52" s="29">
        <v>0</v>
      </c>
      <c r="M52" s="30">
        <v>0</v>
      </c>
      <c r="N52" s="30"/>
      <c r="O52" s="30">
        <v>0</v>
      </c>
      <c r="P52" s="30">
        <v>0</v>
      </c>
      <c r="Q52" s="30"/>
      <c r="R52" s="30">
        <v>27500</v>
      </c>
      <c r="S52" s="30">
        <v>0</v>
      </c>
      <c r="T52" s="30"/>
      <c r="U52" s="30">
        <v>0</v>
      </c>
      <c r="V52" s="31">
        <v>0</v>
      </c>
    </row>
    <row r="53" spans="1:22">
      <c r="A53" s="1" t="s">
        <v>74</v>
      </c>
      <c r="B53" s="29">
        <v>0</v>
      </c>
      <c r="C53" s="30">
        <v>0</v>
      </c>
      <c r="D53" s="30">
        <v>280134.47212240438</v>
      </c>
      <c r="E53" s="30">
        <v>0</v>
      </c>
      <c r="F53" s="30">
        <v>0</v>
      </c>
      <c r="G53" s="31">
        <f>SUM(VA_FINANCIAL)</f>
        <v>280134.47212240438</v>
      </c>
      <c r="H53" s="30"/>
      <c r="I53" s="30"/>
      <c r="J53" s="30"/>
      <c r="K53" s="30"/>
      <c r="L53" s="29">
        <v>0</v>
      </c>
      <c r="M53" s="30">
        <v>0</v>
      </c>
      <c r="N53" s="30"/>
      <c r="O53" s="30">
        <v>0</v>
      </c>
      <c r="P53" s="30">
        <v>0</v>
      </c>
      <c r="Q53" s="30"/>
      <c r="R53" s="30">
        <v>850915</v>
      </c>
      <c r="S53" s="30">
        <v>455000</v>
      </c>
      <c r="T53" s="30"/>
      <c r="U53" s="30">
        <v>0</v>
      </c>
      <c r="V53" s="31">
        <v>0</v>
      </c>
    </row>
    <row r="54" spans="1:22">
      <c r="A54" s="1" t="s">
        <v>75</v>
      </c>
      <c r="B54" s="29">
        <v>0</v>
      </c>
      <c r="C54" s="30">
        <v>0</v>
      </c>
      <c r="D54" s="30">
        <v>3137064.872541381</v>
      </c>
      <c r="E54" s="30">
        <v>0</v>
      </c>
      <c r="F54" s="30">
        <v>0</v>
      </c>
      <c r="G54" s="31">
        <f>SUM(WA_FINANCIAL)</f>
        <v>3137064.872541381</v>
      </c>
      <c r="H54" s="30"/>
      <c r="I54" s="30"/>
      <c r="J54" s="30"/>
      <c r="K54" s="30"/>
      <c r="L54" s="29">
        <v>0</v>
      </c>
      <c r="M54" s="30">
        <v>0</v>
      </c>
      <c r="N54" s="30"/>
      <c r="O54" s="30">
        <v>0</v>
      </c>
      <c r="P54" s="30">
        <v>0</v>
      </c>
      <c r="Q54" s="30"/>
      <c r="R54" s="30">
        <v>3000000</v>
      </c>
      <c r="S54" s="30">
        <v>2169430</v>
      </c>
      <c r="T54" s="30"/>
      <c r="U54" s="30">
        <v>0</v>
      </c>
      <c r="V54" s="31">
        <v>0</v>
      </c>
    </row>
    <row r="55" spans="1:22">
      <c r="A55" s="1" t="s">
        <v>76</v>
      </c>
      <c r="B55" s="29">
        <v>0</v>
      </c>
      <c r="C55" s="30">
        <v>0</v>
      </c>
      <c r="D55" s="30">
        <v>82842.771334038349</v>
      </c>
      <c r="E55" s="30">
        <v>0</v>
      </c>
      <c r="F55" s="30">
        <v>0</v>
      </c>
      <c r="G55" s="31">
        <f>SUM(WV_FINANCIAL)</f>
        <v>82842.771334038349</v>
      </c>
      <c r="H55" s="30"/>
      <c r="I55" s="30"/>
      <c r="J55" s="30"/>
      <c r="K55" s="30"/>
      <c r="L55" s="29">
        <v>0</v>
      </c>
      <c r="M55" s="30">
        <v>0</v>
      </c>
      <c r="N55" s="30"/>
      <c r="O55" s="30">
        <v>0</v>
      </c>
      <c r="P55" s="30">
        <v>0</v>
      </c>
      <c r="Q55" s="30"/>
      <c r="R55" s="30">
        <v>350000</v>
      </c>
      <c r="S55" s="30">
        <v>280</v>
      </c>
      <c r="T55" s="30"/>
      <c r="U55" s="30">
        <v>0</v>
      </c>
      <c r="V55" s="31">
        <v>0</v>
      </c>
    </row>
    <row r="56" spans="1:22">
      <c r="A56" s="1" t="s">
        <v>77</v>
      </c>
      <c r="B56" s="29">
        <v>0</v>
      </c>
      <c r="C56" s="30">
        <v>0</v>
      </c>
      <c r="D56" s="30">
        <v>62557.916053683613</v>
      </c>
      <c r="E56" s="30">
        <v>0</v>
      </c>
      <c r="F56" s="30">
        <v>0</v>
      </c>
      <c r="G56" s="31">
        <f>SUM(WI_FINANCIAL)</f>
        <v>62557.916053683613</v>
      </c>
      <c r="H56" s="30"/>
      <c r="I56" s="30"/>
      <c r="J56" s="30"/>
      <c r="K56" s="30"/>
      <c r="L56" s="29"/>
      <c r="M56" s="30"/>
      <c r="N56" s="30"/>
      <c r="O56" s="30"/>
      <c r="P56" s="30"/>
      <c r="Q56" s="30"/>
      <c r="R56" s="30"/>
      <c r="S56" s="30"/>
      <c r="T56" s="30"/>
      <c r="U56" s="30"/>
      <c r="V56" s="31"/>
    </row>
    <row r="57" spans="1:22">
      <c r="A57" s="1" t="s">
        <v>78</v>
      </c>
      <c r="B57" s="29">
        <v>0</v>
      </c>
      <c r="C57" s="30">
        <v>0</v>
      </c>
      <c r="D57" s="30">
        <v>175996.52870981046</v>
      </c>
      <c r="E57" s="30">
        <v>0</v>
      </c>
      <c r="F57" s="30">
        <v>0</v>
      </c>
      <c r="G57" s="31">
        <f>SUM(WY_FINANCIAL)</f>
        <v>175996.52870981046</v>
      </c>
      <c r="H57" s="30"/>
      <c r="I57" s="30"/>
      <c r="J57" s="30"/>
      <c r="K57" s="30"/>
      <c r="L57" s="29">
        <v>0</v>
      </c>
      <c r="M57" s="30">
        <v>0</v>
      </c>
      <c r="N57" s="30"/>
      <c r="O57" s="30">
        <v>0</v>
      </c>
      <c r="P57" s="30">
        <v>0</v>
      </c>
      <c r="Q57" s="30"/>
      <c r="R57" s="30">
        <v>275000</v>
      </c>
      <c r="S57" s="30">
        <v>410327</v>
      </c>
      <c r="T57" s="30"/>
      <c r="U57" s="30">
        <v>0</v>
      </c>
      <c r="V57" s="31">
        <v>0</v>
      </c>
    </row>
    <row r="58" spans="1:22">
      <c r="A58" s="1" t="s">
        <v>79</v>
      </c>
      <c r="B58" s="29">
        <v>0</v>
      </c>
      <c r="C58" s="30">
        <v>0</v>
      </c>
      <c r="D58" s="30">
        <v>196.83893910258433</v>
      </c>
      <c r="E58" s="30">
        <v>0</v>
      </c>
      <c r="F58" s="30">
        <v>0</v>
      </c>
      <c r="G58" s="31">
        <f>SUM(OT_FINANCIAL)</f>
        <v>196.83893910258433</v>
      </c>
      <c r="H58" s="30"/>
      <c r="I58" s="30"/>
      <c r="J58" s="30"/>
      <c r="K58" s="30"/>
      <c r="L58" s="29"/>
      <c r="M58" s="30"/>
      <c r="N58" s="30"/>
      <c r="O58" s="30"/>
      <c r="P58" s="30"/>
      <c r="Q58" s="30"/>
      <c r="R58" s="30"/>
      <c r="S58" s="30"/>
      <c r="T58" s="30"/>
      <c r="U58" s="30"/>
      <c r="V58" s="31"/>
    </row>
    <row r="59" spans="1:22">
      <c r="B59" s="29"/>
      <c r="C59" s="30"/>
      <c r="D59" s="30"/>
      <c r="E59" s="30"/>
      <c r="F59" s="30"/>
      <c r="G59" s="31"/>
      <c r="H59" s="30"/>
      <c r="I59" s="30"/>
      <c r="J59" s="30"/>
      <c r="K59" s="30"/>
      <c r="L59" s="29"/>
      <c r="M59" s="30"/>
      <c r="N59" s="30"/>
      <c r="O59" s="30"/>
      <c r="P59" s="30"/>
      <c r="Q59" s="30"/>
      <c r="R59" s="30"/>
      <c r="S59" s="30"/>
      <c r="T59" s="30"/>
      <c r="U59" s="30"/>
      <c r="V59" s="31"/>
    </row>
    <row r="60" spans="1:22">
      <c r="A60" s="1" t="s">
        <v>8</v>
      </c>
      <c r="B60" s="29">
        <f>SUM(LIFE)</f>
        <v>0</v>
      </c>
      <c r="C60" s="30">
        <f>SUM(ALLOCATED)</f>
        <v>0</v>
      </c>
      <c r="D60" s="30">
        <f>SUM(HEALTH)</f>
        <v>34222634.49000001</v>
      </c>
      <c r="E60" s="30">
        <f>SUM(UNALLOCATED)</f>
        <v>0</v>
      </c>
      <c r="F60" s="30">
        <f>SUM(LTC)</f>
        <v>0</v>
      </c>
      <c r="G60" s="31">
        <f>SUM(ALL_BLOCKS)</f>
        <v>34222634.49000001</v>
      </c>
      <c r="H60" s="30"/>
      <c r="I60" s="30"/>
      <c r="J60" s="30"/>
      <c r="K60" s="30"/>
      <c r="L60" s="29">
        <f>SUM(LIFE_CALLED)</f>
        <v>9517</v>
      </c>
      <c r="M60" s="30">
        <f>SUM(LIFE_REFUNDED)</f>
        <v>729780</v>
      </c>
      <c r="N60" s="30"/>
      <c r="O60" s="30">
        <f>SUM(ALLOC_CALLED)</f>
        <v>0</v>
      </c>
      <c r="P60" s="30">
        <f>SUM(ALLOC_REFUNDED)</f>
        <v>0</v>
      </c>
      <c r="Q60" s="30"/>
      <c r="R60" s="30">
        <f>SUM(HEALTH_CALLED)</f>
        <v>85880466.5</v>
      </c>
      <c r="S60" s="30">
        <f>SUM(HEALTH_REFUNDED)</f>
        <v>30818274</v>
      </c>
      <c r="T60" s="30"/>
      <c r="U60" s="30">
        <f>SUM(UNALLOC_CALLED)</f>
        <v>0</v>
      </c>
      <c r="V60" s="31">
        <f>SUM(UNALLOC_REFUNDED)</f>
        <v>0</v>
      </c>
    </row>
    <row r="61" spans="1:22" ht="5.0999999999999996" customHeight="1">
      <c r="B61" s="8"/>
      <c r="G61" s="11"/>
      <c r="L61" s="8"/>
      <c r="V61" s="11"/>
    </row>
    <row r="62" spans="1:22">
      <c r="B62" s="8"/>
      <c r="G62" s="11"/>
      <c r="L62" s="122" t="s">
        <v>80</v>
      </c>
      <c r="M62" s="123"/>
      <c r="N62" s="123"/>
      <c r="O62" s="123"/>
      <c r="P62" s="123"/>
      <c r="Q62" s="123"/>
      <c r="R62" s="123"/>
      <c r="S62" s="123"/>
      <c r="T62" s="123"/>
      <c r="U62" s="123"/>
      <c r="V62" s="124"/>
    </row>
    <row r="63" spans="1:22">
      <c r="B63" s="8"/>
      <c r="G63" s="11"/>
      <c r="L63" s="125"/>
      <c r="M63" s="123"/>
      <c r="N63" s="123"/>
      <c r="O63" s="123"/>
      <c r="P63" s="123"/>
      <c r="Q63" s="123"/>
      <c r="R63" s="123"/>
      <c r="S63" s="123"/>
      <c r="T63" s="123"/>
      <c r="U63" s="123"/>
      <c r="V63" s="124"/>
    </row>
    <row r="64" spans="1:22">
      <c r="B64" s="10"/>
      <c r="C64" s="7"/>
      <c r="D64" s="7"/>
      <c r="E64" s="7"/>
      <c r="F64" s="7"/>
      <c r="G64" s="13"/>
      <c r="L64" s="126"/>
      <c r="M64" s="127"/>
      <c r="N64" s="127"/>
      <c r="O64" s="127"/>
      <c r="P64" s="127"/>
      <c r="Q64" s="127"/>
      <c r="R64" s="127"/>
      <c r="S64" s="127"/>
      <c r="T64" s="127"/>
      <c r="U64" s="127"/>
      <c r="V64" s="128"/>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pageSetUpPr fitToPage="1"/>
  </sheetPr>
  <dimension ref="A1:V64"/>
  <sheetViews>
    <sheetView zoomScale="75" workbookViewId="0">
      <selection sqref="A1:XFD1048576"/>
    </sheetView>
  </sheetViews>
  <sheetFormatPr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129" t="s">
        <v>129</v>
      </c>
      <c r="B1" s="123"/>
      <c r="C1" s="123"/>
      <c r="D1" s="123"/>
      <c r="E1" s="123"/>
      <c r="F1" s="123"/>
      <c r="G1" s="123"/>
    </row>
    <row r="3" spans="1:22">
      <c r="B3" s="130" t="s">
        <v>1</v>
      </c>
      <c r="C3" s="131"/>
      <c r="D3" s="131"/>
      <c r="E3" s="131"/>
      <c r="F3" s="131"/>
      <c r="G3" s="132"/>
      <c r="L3" s="133" t="s">
        <v>2</v>
      </c>
      <c r="M3" s="134"/>
      <c r="N3" s="134"/>
      <c r="O3" s="134"/>
      <c r="P3" s="134"/>
      <c r="Q3" s="134"/>
      <c r="R3" s="134"/>
      <c r="S3" s="134"/>
      <c r="T3" s="134"/>
      <c r="U3" s="134"/>
      <c r="V3" s="135"/>
    </row>
    <row r="4" spans="1:22">
      <c r="B4" s="8"/>
      <c r="G4" s="11"/>
      <c r="L4" s="136" t="s">
        <v>3</v>
      </c>
      <c r="M4" s="137"/>
      <c r="N4" s="4"/>
      <c r="O4" s="138" t="s">
        <v>4</v>
      </c>
      <c r="P4" s="137"/>
      <c r="Q4" s="4"/>
      <c r="R4" s="138" t="s">
        <v>5</v>
      </c>
      <c r="S4" s="137"/>
      <c r="T4" s="4"/>
      <c r="U4" s="138" t="s">
        <v>6</v>
      </c>
      <c r="V4" s="139"/>
    </row>
    <row r="5" spans="1:22" ht="60" customHeight="1">
      <c r="B5" s="9" t="s">
        <v>3</v>
      </c>
      <c r="C5" s="5" t="s">
        <v>4</v>
      </c>
      <c r="D5" s="5" t="s">
        <v>5</v>
      </c>
      <c r="E5" s="5" t="s">
        <v>6</v>
      </c>
      <c r="F5" s="5" t="s">
        <v>7</v>
      </c>
      <c r="G5" s="12" t="s">
        <v>8</v>
      </c>
      <c r="L5" s="15" t="s">
        <v>9</v>
      </c>
      <c r="M5" s="14" t="s">
        <v>10</v>
      </c>
      <c r="N5" s="14"/>
      <c r="O5" s="14" t="s">
        <v>9</v>
      </c>
      <c r="P5" s="14" t="s">
        <v>10</v>
      </c>
      <c r="Q5" s="14"/>
      <c r="R5" s="14" t="s">
        <v>9</v>
      </c>
      <c r="S5" s="14" t="s">
        <v>10</v>
      </c>
      <c r="T5" s="14"/>
      <c r="U5" s="14" t="s">
        <v>9</v>
      </c>
      <c r="V5" s="16" t="s">
        <v>10</v>
      </c>
    </row>
    <row r="6" spans="1:22">
      <c r="A6" s="1" t="s">
        <v>11</v>
      </c>
      <c r="B6" s="29">
        <v>0</v>
      </c>
      <c r="C6" s="30">
        <v>0</v>
      </c>
      <c r="D6" s="30">
        <v>0</v>
      </c>
      <c r="E6" s="30">
        <v>0</v>
      </c>
      <c r="F6" s="30">
        <v>0</v>
      </c>
      <c r="G6" s="31">
        <f>SUM(AL_FINANCIAL)</f>
        <v>0</v>
      </c>
      <c r="H6" s="30"/>
      <c r="I6" s="30"/>
      <c r="J6" s="30"/>
      <c r="K6" s="30"/>
      <c r="L6" s="29"/>
      <c r="M6" s="30"/>
      <c r="N6" s="30"/>
      <c r="O6" s="30"/>
      <c r="P6" s="30"/>
      <c r="Q6" s="30"/>
      <c r="R6" s="30"/>
      <c r="S6" s="30"/>
      <c r="T6" s="30"/>
      <c r="U6" s="30"/>
      <c r="V6" s="31"/>
    </row>
    <row r="7" spans="1:22">
      <c r="A7" s="1" t="s">
        <v>12</v>
      </c>
      <c r="B7" s="29">
        <v>0</v>
      </c>
      <c r="C7" s="30">
        <v>0</v>
      </c>
      <c r="D7" s="30">
        <v>0</v>
      </c>
      <c r="E7" s="30">
        <v>0</v>
      </c>
      <c r="F7" s="30">
        <v>0</v>
      </c>
      <c r="G7" s="31">
        <f>SUM(AK_FINANCIAL)</f>
        <v>0</v>
      </c>
      <c r="H7" s="30"/>
      <c r="I7" s="32"/>
      <c r="J7" s="33"/>
      <c r="K7" s="30"/>
      <c r="L7" s="29"/>
      <c r="M7" s="30"/>
      <c r="N7" s="30"/>
      <c r="O7" s="30"/>
      <c r="P7" s="30"/>
      <c r="Q7" s="30"/>
      <c r="R7" s="30"/>
      <c r="S7" s="30"/>
      <c r="T7" s="30"/>
      <c r="U7" s="30"/>
      <c r="V7" s="31"/>
    </row>
    <row r="8" spans="1:22">
      <c r="A8" s="1" t="s">
        <v>13</v>
      </c>
      <c r="B8" s="29">
        <v>0</v>
      </c>
      <c r="C8" s="30">
        <v>0</v>
      </c>
      <c r="D8" s="30">
        <v>0</v>
      </c>
      <c r="E8" s="30">
        <v>0</v>
      </c>
      <c r="F8" s="30">
        <v>0</v>
      </c>
      <c r="G8" s="31">
        <f>SUM(AZ_FINANCIAL)</f>
        <v>0</v>
      </c>
      <c r="H8" s="30"/>
      <c r="I8" s="34" t="s">
        <v>14</v>
      </c>
      <c r="J8" s="35"/>
      <c r="K8" s="30"/>
      <c r="L8" s="29"/>
      <c r="M8" s="30"/>
      <c r="N8" s="30"/>
      <c r="O8" s="30"/>
      <c r="P8" s="30"/>
      <c r="Q8" s="30"/>
      <c r="R8" s="30"/>
      <c r="S8" s="30"/>
      <c r="T8" s="30"/>
      <c r="U8" s="30"/>
      <c r="V8" s="31"/>
    </row>
    <row r="9" spans="1:22">
      <c r="A9" s="1" t="s">
        <v>15</v>
      </c>
      <c r="B9" s="29">
        <v>0</v>
      </c>
      <c r="C9" s="30">
        <v>0</v>
      </c>
      <c r="D9" s="30">
        <v>0</v>
      </c>
      <c r="E9" s="30">
        <v>0</v>
      </c>
      <c r="F9" s="30">
        <v>0</v>
      </c>
      <c r="G9" s="31">
        <f>SUM(AR_FINANCIAL)</f>
        <v>0</v>
      </c>
      <c r="H9" s="30"/>
      <c r="I9" s="34"/>
      <c r="J9" s="35"/>
      <c r="K9" s="30"/>
      <c r="L9" s="29"/>
      <c r="M9" s="30"/>
      <c r="N9" s="30"/>
      <c r="O9" s="30"/>
      <c r="P9" s="30"/>
      <c r="Q9" s="30"/>
      <c r="R9" s="30"/>
      <c r="S9" s="30"/>
      <c r="T9" s="30"/>
      <c r="U9" s="30"/>
      <c r="V9" s="31"/>
    </row>
    <row r="10" spans="1:22">
      <c r="A10" s="1" t="s">
        <v>16</v>
      </c>
      <c r="B10" s="29">
        <v>0</v>
      </c>
      <c r="C10" s="30">
        <v>0</v>
      </c>
      <c r="D10" s="30">
        <v>0</v>
      </c>
      <c r="E10" s="30">
        <v>0</v>
      </c>
      <c r="F10" s="30">
        <v>0</v>
      </c>
      <c r="G10" s="31">
        <f>SUM(CA_FINANCIAL)</f>
        <v>0</v>
      </c>
      <c r="H10" s="30"/>
      <c r="I10" s="34" t="s">
        <v>17</v>
      </c>
      <c r="J10" s="35">
        <v>147139267</v>
      </c>
      <c r="K10" s="30"/>
      <c r="L10" s="29"/>
      <c r="M10" s="30"/>
      <c r="N10" s="30"/>
      <c r="O10" s="30"/>
      <c r="P10" s="30"/>
      <c r="Q10" s="30"/>
      <c r="R10" s="30"/>
      <c r="S10" s="30"/>
      <c r="T10" s="30"/>
      <c r="U10" s="30"/>
      <c r="V10" s="31"/>
    </row>
    <row r="11" spans="1:22">
      <c r="A11" s="1" t="s">
        <v>18</v>
      </c>
      <c r="B11" s="29">
        <v>0</v>
      </c>
      <c r="C11" s="30">
        <v>0</v>
      </c>
      <c r="D11" s="30">
        <v>0</v>
      </c>
      <c r="E11" s="30">
        <v>0</v>
      </c>
      <c r="F11" s="30">
        <v>0</v>
      </c>
      <c r="G11" s="31">
        <f>SUM(CO_FINANCIAL)</f>
        <v>0</v>
      </c>
      <c r="H11" s="30"/>
      <c r="I11" s="34"/>
      <c r="J11" s="35"/>
      <c r="K11" s="30"/>
      <c r="L11" s="29"/>
      <c r="M11" s="30"/>
      <c r="N11" s="30"/>
      <c r="O11" s="30"/>
      <c r="P11" s="30"/>
      <c r="Q11" s="30"/>
      <c r="R11" s="30"/>
      <c r="S11" s="30"/>
      <c r="T11" s="30"/>
      <c r="U11" s="30"/>
      <c r="V11" s="31"/>
    </row>
    <row r="12" spans="1:22">
      <c r="A12" s="1" t="s">
        <v>19</v>
      </c>
      <c r="B12" s="29">
        <v>0</v>
      </c>
      <c r="C12" s="30">
        <v>0</v>
      </c>
      <c r="D12" s="30">
        <v>0</v>
      </c>
      <c r="E12" s="30">
        <v>0</v>
      </c>
      <c r="F12" s="30">
        <v>0</v>
      </c>
      <c r="G12" s="31">
        <f>SUM(CT_FINANCIAL)</f>
        <v>0</v>
      </c>
      <c r="H12" s="30"/>
      <c r="I12" s="34" t="s">
        <v>20</v>
      </c>
      <c r="J12" s="35"/>
      <c r="K12" s="30"/>
      <c r="L12" s="29"/>
      <c r="M12" s="30"/>
      <c r="N12" s="30"/>
      <c r="O12" s="30"/>
      <c r="P12" s="30"/>
      <c r="Q12" s="30"/>
      <c r="R12" s="30"/>
      <c r="S12" s="30"/>
      <c r="T12" s="30"/>
      <c r="U12" s="30"/>
      <c r="V12" s="31"/>
    </row>
    <row r="13" spans="1:22">
      <c r="A13" s="1" t="s">
        <v>21</v>
      </c>
      <c r="B13" s="29">
        <v>0</v>
      </c>
      <c r="C13" s="30">
        <v>0</v>
      </c>
      <c r="D13" s="30">
        <v>0</v>
      </c>
      <c r="E13" s="30">
        <v>0</v>
      </c>
      <c r="F13" s="30">
        <v>0</v>
      </c>
      <c r="G13" s="31">
        <f>SUM(DE_FINANCIAL)</f>
        <v>0</v>
      </c>
      <c r="H13" s="30"/>
      <c r="I13" s="34" t="s">
        <v>22</v>
      </c>
      <c r="J13" s="35">
        <v>5573245</v>
      </c>
      <c r="K13" s="30"/>
      <c r="L13" s="29"/>
      <c r="M13" s="30"/>
      <c r="N13" s="30"/>
      <c r="O13" s="30"/>
      <c r="P13" s="30"/>
      <c r="Q13" s="30"/>
      <c r="R13" s="30"/>
      <c r="S13" s="30"/>
      <c r="T13" s="30"/>
      <c r="U13" s="30"/>
      <c r="V13" s="31"/>
    </row>
    <row r="14" spans="1:22">
      <c r="A14" s="1" t="s">
        <v>23</v>
      </c>
      <c r="B14" s="29">
        <v>0</v>
      </c>
      <c r="C14" s="30">
        <v>0</v>
      </c>
      <c r="D14" s="30">
        <v>0</v>
      </c>
      <c r="E14" s="30">
        <v>0</v>
      </c>
      <c r="F14" s="30">
        <v>0</v>
      </c>
      <c r="G14" s="31">
        <f>SUM(DC_FINANCIAL)</f>
        <v>0</v>
      </c>
      <c r="H14" s="30"/>
      <c r="I14" s="34" t="s">
        <v>24</v>
      </c>
      <c r="J14" s="35">
        <v>25248618</v>
      </c>
      <c r="K14" s="30"/>
      <c r="L14" s="29"/>
      <c r="M14" s="30"/>
      <c r="N14" s="30"/>
      <c r="O14" s="30"/>
      <c r="P14" s="30"/>
      <c r="Q14" s="30"/>
      <c r="R14" s="30"/>
      <c r="S14" s="30"/>
      <c r="T14" s="30"/>
      <c r="U14" s="30"/>
      <c r="V14" s="31"/>
    </row>
    <row r="15" spans="1:22">
      <c r="A15" s="1" t="s">
        <v>25</v>
      </c>
      <c r="B15" s="29">
        <v>0</v>
      </c>
      <c r="C15" s="30">
        <v>0</v>
      </c>
      <c r="D15" s="30">
        <v>0</v>
      </c>
      <c r="E15" s="30">
        <v>0</v>
      </c>
      <c r="F15" s="30">
        <v>0</v>
      </c>
      <c r="G15" s="31">
        <f>SUM(FL_FINANCIAL)</f>
        <v>0</v>
      </c>
      <c r="H15" s="30"/>
      <c r="I15" s="34" t="s">
        <v>26</v>
      </c>
      <c r="J15" s="35">
        <v>22158.870000000003</v>
      </c>
      <c r="K15" s="30"/>
      <c r="L15" s="29"/>
      <c r="M15" s="30"/>
      <c r="N15" s="30"/>
      <c r="O15" s="30"/>
      <c r="P15" s="30"/>
      <c r="Q15" s="30"/>
      <c r="R15" s="30"/>
      <c r="S15" s="30"/>
      <c r="T15" s="30"/>
      <c r="U15" s="30"/>
      <c r="V15" s="31"/>
    </row>
    <row r="16" spans="1:22">
      <c r="A16" s="1" t="s">
        <v>27</v>
      </c>
      <c r="B16" s="29">
        <v>0</v>
      </c>
      <c r="C16" s="30">
        <v>0</v>
      </c>
      <c r="D16" s="30">
        <v>0</v>
      </c>
      <c r="E16" s="30">
        <v>0</v>
      </c>
      <c r="F16" s="30">
        <v>0</v>
      </c>
      <c r="G16" s="31">
        <f>SUM(GA_FINANCIAL)</f>
        <v>0</v>
      </c>
      <c r="H16" s="30"/>
      <c r="I16" s="34" t="s">
        <v>28</v>
      </c>
      <c r="J16" s="35">
        <v>0</v>
      </c>
      <c r="K16" s="30"/>
      <c r="L16" s="29"/>
      <c r="M16" s="30"/>
      <c r="N16" s="30"/>
      <c r="O16" s="30"/>
      <c r="P16" s="30"/>
      <c r="Q16" s="30"/>
      <c r="R16" s="30"/>
      <c r="S16" s="30"/>
      <c r="T16" s="30"/>
      <c r="U16" s="30"/>
      <c r="V16" s="31"/>
    </row>
    <row r="17" spans="1:22">
      <c r="A17" s="1" t="s">
        <v>29</v>
      </c>
      <c r="B17" s="29">
        <v>0</v>
      </c>
      <c r="C17" s="30">
        <v>37078074.870000005</v>
      </c>
      <c r="D17" s="30">
        <v>0</v>
      </c>
      <c r="E17" s="30">
        <v>0</v>
      </c>
      <c r="F17" s="30">
        <v>0</v>
      </c>
      <c r="G17" s="31">
        <f>SUM(HI_FINANCIAL)</f>
        <v>37078074.870000005</v>
      </c>
      <c r="H17" s="30"/>
      <c r="I17" s="34"/>
      <c r="J17" s="35"/>
      <c r="K17" s="30"/>
      <c r="L17" s="29">
        <v>27611280</v>
      </c>
      <c r="M17" s="30">
        <v>20999761</v>
      </c>
      <c r="N17" s="30"/>
      <c r="O17" s="30">
        <v>22525117</v>
      </c>
      <c r="P17" s="30">
        <v>11243274</v>
      </c>
      <c r="Q17" s="30"/>
      <c r="R17" s="30">
        <v>11732231</v>
      </c>
      <c r="S17" s="30">
        <v>11500000</v>
      </c>
      <c r="T17" s="30"/>
      <c r="U17" s="30">
        <v>0</v>
      </c>
      <c r="V17" s="31">
        <v>0</v>
      </c>
    </row>
    <row r="18" spans="1:22">
      <c r="A18" s="1" t="s">
        <v>30</v>
      </c>
      <c r="B18" s="29">
        <v>0</v>
      </c>
      <c r="C18" s="30">
        <v>0</v>
      </c>
      <c r="D18" s="30">
        <v>0</v>
      </c>
      <c r="E18" s="30">
        <v>0</v>
      </c>
      <c r="F18" s="30">
        <v>0</v>
      </c>
      <c r="G18" s="31">
        <f>SUM(ID_FINANCIAL)</f>
        <v>0</v>
      </c>
      <c r="H18" s="30"/>
      <c r="I18" s="34" t="s">
        <v>31</v>
      </c>
      <c r="J18" s="35"/>
      <c r="K18" s="30"/>
      <c r="L18" s="29"/>
      <c r="M18" s="30"/>
      <c r="N18" s="30"/>
      <c r="O18" s="30"/>
      <c r="P18" s="30"/>
      <c r="Q18" s="30"/>
      <c r="R18" s="30"/>
      <c r="S18" s="30"/>
      <c r="T18" s="30"/>
      <c r="U18" s="30"/>
      <c r="V18" s="31"/>
    </row>
    <row r="19" spans="1:22">
      <c r="A19" s="1" t="s">
        <v>32</v>
      </c>
      <c r="B19" s="29">
        <v>0</v>
      </c>
      <c r="C19" s="30">
        <v>0</v>
      </c>
      <c r="D19" s="30">
        <v>0</v>
      </c>
      <c r="E19" s="30">
        <v>0</v>
      </c>
      <c r="F19" s="30">
        <v>0</v>
      </c>
      <c r="G19" s="31">
        <f>SUM(IL_FINANCIAL)</f>
        <v>0</v>
      </c>
      <c r="H19" s="30"/>
      <c r="I19" s="34" t="s">
        <v>33</v>
      </c>
      <c r="J19" s="35">
        <v>120716297</v>
      </c>
      <c r="K19" s="30"/>
      <c r="L19" s="29"/>
      <c r="M19" s="30"/>
      <c r="N19" s="30"/>
      <c r="O19" s="30"/>
      <c r="P19" s="30"/>
      <c r="Q19" s="30"/>
      <c r="R19" s="30"/>
      <c r="S19" s="30"/>
      <c r="T19" s="30"/>
      <c r="U19" s="30"/>
      <c r="V19" s="31"/>
    </row>
    <row r="20" spans="1:22">
      <c r="A20" s="1" t="s">
        <v>34</v>
      </c>
      <c r="B20" s="29">
        <v>0</v>
      </c>
      <c r="C20" s="30">
        <v>0</v>
      </c>
      <c r="D20" s="30">
        <v>0</v>
      </c>
      <c r="E20" s="30">
        <v>0</v>
      </c>
      <c r="F20" s="30">
        <v>0</v>
      </c>
      <c r="G20" s="31">
        <f>SUM(IN_FINANCIAL)</f>
        <v>0</v>
      </c>
      <c r="H20" s="30"/>
      <c r="I20" s="34" t="s">
        <v>35</v>
      </c>
      <c r="J20" s="35">
        <v>0</v>
      </c>
      <c r="K20" s="30"/>
      <c r="L20" s="29"/>
      <c r="M20" s="30"/>
      <c r="N20" s="30"/>
      <c r="O20" s="30"/>
      <c r="P20" s="30"/>
      <c r="Q20" s="30"/>
      <c r="R20" s="30"/>
      <c r="S20" s="30"/>
      <c r="T20" s="30"/>
      <c r="U20" s="30"/>
      <c r="V20" s="31"/>
    </row>
    <row r="21" spans="1:22">
      <c r="A21" s="1" t="s">
        <v>36</v>
      </c>
      <c r="B21" s="29">
        <v>0</v>
      </c>
      <c r="C21" s="30">
        <v>0</v>
      </c>
      <c r="D21" s="30">
        <v>0</v>
      </c>
      <c r="E21" s="30">
        <v>0</v>
      </c>
      <c r="F21" s="30">
        <v>0</v>
      </c>
      <c r="G21" s="31">
        <f>SUM(IA_FINANCIAL)</f>
        <v>0</v>
      </c>
      <c r="H21" s="30"/>
      <c r="I21" s="34" t="s">
        <v>37</v>
      </c>
      <c r="J21" s="35"/>
      <c r="K21" s="30"/>
      <c r="L21" s="29"/>
      <c r="M21" s="30"/>
      <c r="N21" s="30"/>
      <c r="O21" s="30"/>
      <c r="P21" s="30"/>
      <c r="Q21" s="30"/>
      <c r="R21" s="30"/>
      <c r="S21" s="30"/>
      <c r="T21" s="30"/>
      <c r="U21" s="30"/>
      <c r="V21" s="31"/>
    </row>
    <row r="22" spans="1:22">
      <c r="A22" s="1" t="s">
        <v>38</v>
      </c>
      <c r="B22" s="29">
        <v>0</v>
      </c>
      <c r="C22" s="30">
        <v>0</v>
      </c>
      <c r="D22" s="30">
        <v>0</v>
      </c>
      <c r="E22" s="30">
        <v>0</v>
      </c>
      <c r="F22" s="30">
        <v>0</v>
      </c>
      <c r="G22" s="31">
        <f>SUM(KS_FINANCIAL)</f>
        <v>0</v>
      </c>
      <c r="H22" s="30"/>
      <c r="I22" s="34" t="s">
        <v>39</v>
      </c>
      <c r="J22" s="35">
        <v>10468441</v>
      </c>
      <c r="K22" s="30"/>
      <c r="L22" s="29"/>
      <c r="M22" s="30"/>
      <c r="N22" s="30"/>
      <c r="O22" s="30"/>
      <c r="P22" s="30"/>
      <c r="Q22" s="30"/>
      <c r="R22" s="30"/>
      <c r="S22" s="30"/>
      <c r="T22" s="30"/>
      <c r="U22" s="30"/>
      <c r="V22" s="31"/>
    </row>
    <row r="23" spans="1:22">
      <c r="A23" s="1" t="s">
        <v>40</v>
      </c>
      <c r="B23" s="29">
        <v>0</v>
      </c>
      <c r="C23" s="30">
        <v>0</v>
      </c>
      <c r="D23" s="30">
        <v>0</v>
      </c>
      <c r="E23" s="30">
        <v>0</v>
      </c>
      <c r="F23" s="30">
        <v>0</v>
      </c>
      <c r="G23" s="31">
        <f>SUM(KY_FINANCIAL)</f>
        <v>0</v>
      </c>
      <c r="H23" s="30"/>
      <c r="I23" s="34" t="s">
        <v>41</v>
      </c>
      <c r="J23" s="35"/>
      <c r="K23" s="30"/>
      <c r="L23" s="29"/>
      <c r="M23" s="30"/>
      <c r="N23" s="30"/>
      <c r="O23" s="30"/>
      <c r="P23" s="30"/>
      <c r="Q23" s="30"/>
      <c r="R23" s="30"/>
      <c r="S23" s="30"/>
      <c r="T23" s="30"/>
      <c r="U23" s="30"/>
      <c r="V23" s="31"/>
    </row>
    <row r="24" spans="1:22">
      <c r="A24" s="1" t="s">
        <v>42</v>
      </c>
      <c r="B24" s="29">
        <v>0</v>
      </c>
      <c r="C24" s="30">
        <v>0</v>
      </c>
      <c r="D24" s="30">
        <v>0</v>
      </c>
      <c r="E24" s="30">
        <v>0</v>
      </c>
      <c r="F24" s="30">
        <v>0</v>
      </c>
      <c r="G24" s="31">
        <f>SUM(LA_FINANCIAL)</f>
        <v>0</v>
      </c>
      <c r="H24" s="30"/>
      <c r="I24" s="34" t="s">
        <v>43</v>
      </c>
      <c r="J24" s="35">
        <v>9720476</v>
      </c>
      <c r="K24" s="30"/>
      <c r="L24" s="29"/>
      <c r="M24" s="30"/>
      <c r="N24" s="30"/>
      <c r="O24" s="30"/>
      <c r="P24" s="30"/>
      <c r="Q24" s="30"/>
      <c r="R24" s="30"/>
      <c r="S24" s="30"/>
      <c r="T24" s="30"/>
      <c r="U24" s="30"/>
      <c r="V24" s="31"/>
    </row>
    <row r="25" spans="1:22">
      <c r="A25" s="1" t="s">
        <v>44</v>
      </c>
      <c r="B25" s="29">
        <v>0</v>
      </c>
      <c r="C25" s="30">
        <v>0</v>
      </c>
      <c r="D25" s="30">
        <v>0</v>
      </c>
      <c r="E25" s="30">
        <v>0</v>
      </c>
      <c r="F25" s="30">
        <v>0</v>
      </c>
      <c r="G25" s="31">
        <f>SUM(ME_FINANCIAL)</f>
        <v>0</v>
      </c>
      <c r="H25" s="30"/>
      <c r="I25" s="34"/>
      <c r="J25" s="35"/>
      <c r="K25" s="30"/>
      <c r="L25" s="29"/>
      <c r="M25" s="30"/>
      <c r="N25" s="30"/>
      <c r="O25" s="30"/>
      <c r="P25" s="30"/>
      <c r="Q25" s="30"/>
      <c r="R25" s="30"/>
      <c r="S25" s="30"/>
      <c r="T25" s="30"/>
      <c r="U25" s="30"/>
      <c r="V25" s="31"/>
    </row>
    <row r="26" spans="1:22">
      <c r="A26" s="1" t="s">
        <v>45</v>
      </c>
      <c r="B26" s="29">
        <v>0</v>
      </c>
      <c r="C26" s="30">
        <v>0</v>
      </c>
      <c r="D26" s="30">
        <v>0</v>
      </c>
      <c r="E26" s="30">
        <v>0</v>
      </c>
      <c r="F26" s="30">
        <v>0</v>
      </c>
      <c r="G26" s="31">
        <f>SUM(MD_FINANCIAL)</f>
        <v>0</v>
      </c>
      <c r="H26" s="30"/>
      <c r="I26" s="34" t="s">
        <v>46</v>
      </c>
      <c r="J26" s="35">
        <f>SUM(ADD_FINANCIAL)-SUM(LESS_FINANCIAL)</f>
        <v>37078074.870000005</v>
      </c>
      <c r="K26" s="30"/>
      <c r="L26" s="29"/>
      <c r="M26" s="30"/>
      <c r="N26" s="30"/>
      <c r="O26" s="30"/>
      <c r="P26" s="30"/>
      <c r="Q26" s="30"/>
      <c r="R26" s="30"/>
      <c r="S26" s="30"/>
      <c r="T26" s="30"/>
      <c r="U26" s="30"/>
      <c r="V26" s="31"/>
    </row>
    <row r="27" spans="1:22">
      <c r="A27" s="1" t="s">
        <v>47</v>
      </c>
      <c r="B27" s="29">
        <v>0</v>
      </c>
      <c r="C27" s="30">
        <v>0</v>
      </c>
      <c r="D27" s="30">
        <v>0</v>
      </c>
      <c r="E27" s="30">
        <v>0</v>
      </c>
      <c r="F27" s="30">
        <v>0</v>
      </c>
      <c r="G27" s="31">
        <f>SUM(MA_FINANCIAL)</f>
        <v>0</v>
      </c>
      <c r="H27" s="30"/>
      <c r="I27" s="34" t="s">
        <v>48</v>
      </c>
      <c r="J27" s="35">
        <f>SUM(ALL_BLOCKS)</f>
        <v>37078074.870000005</v>
      </c>
      <c r="K27" s="30"/>
      <c r="L27" s="29"/>
      <c r="M27" s="30"/>
      <c r="N27" s="30"/>
      <c r="O27" s="30"/>
      <c r="P27" s="30"/>
      <c r="Q27" s="30"/>
      <c r="R27" s="30"/>
      <c r="S27" s="30"/>
      <c r="T27" s="30"/>
      <c r="U27" s="30"/>
      <c r="V27" s="31"/>
    </row>
    <row r="28" spans="1:22">
      <c r="A28" s="1" t="s">
        <v>49</v>
      </c>
      <c r="B28" s="29">
        <v>0</v>
      </c>
      <c r="C28" s="30">
        <v>0</v>
      </c>
      <c r="D28" s="30">
        <v>0</v>
      </c>
      <c r="E28" s="30">
        <v>0</v>
      </c>
      <c r="F28" s="30">
        <v>0</v>
      </c>
      <c r="G28" s="31">
        <f>SUM(MI_FINANCIAL)</f>
        <v>0</v>
      </c>
      <c r="H28" s="30"/>
      <c r="I28" s="36"/>
      <c r="J28" s="37"/>
      <c r="K28" s="30"/>
      <c r="L28" s="29"/>
      <c r="M28" s="30"/>
      <c r="N28" s="30"/>
      <c r="O28" s="30"/>
      <c r="P28" s="30"/>
      <c r="Q28" s="30"/>
      <c r="R28" s="30"/>
      <c r="S28" s="30"/>
      <c r="T28" s="30"/>
      <c r="U28" s="30"/>
      <c r="V28" s="31"/>
    </row>
    <row r="29" spans="1:22">
      <c r="A29" s="1" t="s">
        <v>50</v>
      </c>
      <c r="B29" s="29">
        <v>0</v>
      </c>
      <c r="C29" s="30">
        <v>0</v>
      </c>
      <c r="D29" s="30">
        <v>0</v>
      </c>
      <c r="E29" s="30">
        <v>0</v>
      </c>
      <c r="F29" s="30">
        <v>0</v>
      </c>
      <c r="G29" s="31">
        <f>SUM(MN_FINANCIAL)</f>
        <v>0</v>
      </c>
      <c r="H29" s="30"/>
      <c r="I29" s="30"/>
      <c r="J29" s="30"/>
      <c r="K29" s="30"/>
      <c r="L29" s="29"/>
      <c r="M29" s="30"/>
      <c r="N29" s="30"/>
      <c r="O29" s="30"/>
      <c r="P29" s="30"/>
      <c r="Q29" s="30"/>
      <c r="R29" s="30"/>
      <c r="S29" s="30"/>
      <c r="T29" s="30"/>
      <c r="U29" s="30"/>
      <c r="V29" s="31"/>
    </row>
    <row r="30" spans="1:22">
      <c r="A30" s="1" t="s">
        <v>51</v>
      </c>
      <c r="B30" s="29">
        <v>0</v>
      </c>
      <c r="C30" s="30">
        <v>0</v>
      </c>
      <c r="D30" s="30">
        <v>0</v>
      </c>
      <c r="E30" s="30">
        <v>0</v>
      </c>
      <c r="F30" s="30">
        <v>0</v>
      </c>
      <c r="G30" s="31">
        <f>SUM(MS_FINANCIAL)</f>
        <v>0</v>
      </c>
      <c r="H30" s="30"/>
      <c r="I30" s="30"/>
      <c r="J30" s="30"/>
      <c r="K30" s="30"/>
      <c r="L30" s="29"/>
      <c r="M30" s="30"/>
      <c r="N30" s="30"/>
      <c r="O30" s="30"/>
      <c r="P30" s="30"/>
      <c r="Q30" s="30"/>
      <c r="R30" s="30"/>
      <c r="S30" s="30"/>
      <c r="T30" s="30"/>
      <c r="U30" s="30"/>
      <c r="V30" s="31"/>
    </row>
    <row r="31" spans="1:22">
      <c r="A31" s="1" t="s">
        <v>52</v>
      </c>
      <c r="B31" s="29">
        <v>0</v>
      </c>
      <c r="C31" s="30">
        <v>0</v>
      </c>
      <c r="D31" s="30">
        <v>0</v>
      </c>
      <c r="E31" s="30">
        <v>0</v>
      </c>
      <c r="F31" s="30">
        <v>0</v>
      </c>
      <c r="G31" s="31">
        <f>SUM(MO_FINANCIAL)</f>
        <v>0</v>
      </c>
      <c r="H31" s="30"/>
      <c r="I31" s="30"/>
      <c r="J31" s="30"/>
      <c r="K31" s="30"/>
      <c r="L31" s="29"/>
      <c r="M31" s="30"/>
      <c r="N31" s="30"/>
      <c r="O31" s="30"/>
      <c r="P31" s="30"/>
      <c r="Q31" s="30"/>
      <c r="R31" s="30"/>
      <c r="S31" s="30"/>
      <c r="T31" s="30"/>
      <c r="U31" s="30"/>
      <c r="V31" s="31"/>
    </row>
    <row r="32" spans="1:22">
      <c r="A32" s="1" t="s">
        <v>53</v>
      </c>
      <c r="B32" s="29">
        <v>0</v>
      </c>
      <c r="C32" s="30">
        <v>0</v>
      </c>
      <c r="D32" s="30">
        <v>0</v>
      </c>
      <c r="E32" s="30">
        <v>0</v>
      </c>
      <c r="F32" s="30">
        <v>0</v>
      </c>
      <c r="G32" s="31">
        <f>SUM(MT_FINANCIAL)</f>
        <v>0</v>
      </c>
      <c r="H32" s="30"/>
      <c r="I32" s="30"/>
      <c r="J32" s="30"/>
      <c r="K32" s="30"/>
      <c r="L32" s="29"/>
      <c r="M32" s="30"/>
      <c r="N32" s="30"/>
      <c r="O32" s="30"/>
      <c r="P32" s="30"/>
      <c r="Q32" s="30"/>
      <c r="R32" s="30"/>
      <c r="S32" s="30"/>
      <c r="T32" s="30"/>
      <c r="U32" s="30"/>
      <c r="V32" s="31"/>
    </row>
    <row r="33" spans="1:22">
      <c r="A33" s="1" t="s">
        <v>54</v>
      </c>
      <c r="B33" s="29">
        <v>0</v>
      </c>
      <c r="C33" s="30">
        <v>0</v>
      </c>
      <c r="D33" s="30">
        <v>0</v>
      </c>
      <c r="E33" s="30">
        <v>0</v>
      </c>
      <c r="F33" s="30">
        <v>0</v>
      </c>
      <c r="G33" s="31">
        <f>SUM(NE_FINANCIAL)</f>
        <v>0</v>
      </c>
      <c r="H33" s="30"/>
      <c r="I33" s="30"/>
      <c r="J33" s="30"/>
      <c r="K33" s="30"/>
      <c r="L33" s="29"/>
      <c r="M33" s="30"/>
      <c r="N33" s="30"/>
      <c r="O33" s="30"/>
      <c r="P33" s="30"/>
      <c r="Q33" s="30"/>
      <c r="R33" s="30"/>
      <c r="S33" s="30"/>
      <c r="T33" s="30"/>
      <c r="U33" s="30"/>
      <c r="V33" s="31"/>
    </row>
    <row r="34" spans="1:22">
      <c r="A34" s="1" t="s">
        <v>55</v>
      </c>
      <c r="B34" s="29">
        <v>0</v>
      </c>
      <c r="C34" s="30">
        <v>0</v>
      </c>
      <c r="D34" s="30">
        <v>0</v>
      </c>
      <c r="E34" s="30">
        <v>0</v>
      </c>
      <c r="F34" s="30">
        <v>0</v>
      </c>
      <c r="G34" s="31">
        <f>SUM(NV_FINANCIAL)</f>
        <v>0</v>
      </c>
      <c r="H34" s="30"/>
      <c r="I34" s="30"/>
      <c r="J34" s="30"/>
      <c r="K34" s="30"/>
      <c r="L34" s="29"/>
      <c r="M34" s="30"/>
      <c r="N34" s="30"/>
      <c r="O34" s="30"/>
      <c r="P34" s="30"/>
      <c r="Q34" s="30"/>
      <c r="R34" s="30"/>
      <c r="S34" s="30"/>
      <c r="T34" s="30"/>
      <c r="U34" s="30"/>
      <c r="V34" s="31"/>
    </row>
    <row r="35" spans="1:22">
      <c r="A35" s="1" t="s">
        <v>56</v>
      </c>
      <c r="B35" s="29">
        <v>0</v>
      </c>
      <c r="C35" s="30">
        <v>0</v>
      </c>
      <c r="D35" s="30">
        <v>0</v>
      </c>
      <c r="E35" s="30">
        <v>0</v>
      </c>
      <c r="F35" s="30">
        <v>0</v>
      </c>
      <c r="G35" s="31">
        <f>SUM(NH_FINANCIAL)</f>
        <v>0</v>
      </c>
      <c r="H35" s="30"/>
      <c r="I35" s="30"/>
      <c r="J35" s="30"/>
      <c r="K35" s="30"/>
      <c r="L35" s="29"/>
      <c r="M35" s="30"/>
      <c r="N35" s="30"/>
      <c r="O35" s="30"/>
      <c r="P35" s="30"/>
      <c r="Q35" s="30"/>
      <c r="R35" s="30"/>
      <c r="S35" s="30"/>
      <c r="T35" s="30"/>
      <c r="U35" s="30"/>
      <c r="V35" s="31"/>
    </row>
    <row r="36" spans="1:22">
      <c r="A36" s="1" t="s">
        <v>57</v>
      </c>
      <c r="B36" s="29">
        <v>0</v>
      </c>
      <c r="C36" s="30">
        <v>0</v>
      </c>
      <c r="D36" s="30">
        <v>0</v>
      </c>
      <c r="E36" s="30">
        <v>0</v>
      </c>
      <c r="F36" s="30">
        <v>0</v>
      </c>
      <c r="G36" s="31">
        <f>SUM(NJ_FINANCIAL)</f>
        <v>0</v>
      </c>
      <c r="H36" s="30"/>
      <c r="I36" s="30"/>
      <c r="J36" s="30"/>
      <c r="K36" s="30"/>
      <c r="L36" s="29"/>
      <c r="M36" s="30"/>
      <c r="N36" s="30"/>
      <c r="O36" s="30"/>
      <c r="P36" s="30"/>
      <c r="Q36" s="30"/>
      <c r="R36" s="30"/>
      <c r="S36" s="30"/>
      <c r="T36" s="30"/>
      <c r="U36" s="30"/>
      <c r="V36" s="31"/>
    </row>
    <row r="37" spans="1:22">
      <c r="A37" s="1" t="s">
        <v>58</v>
      </c>
      <c r="B37" s="29">
        <v>0</v>
      </c>
      <c r="C37" s="30">
        <v>0</v>
      </c>
      <c r="D37" s="30">
        <v>0</v>
      </c>
      <c r="E37" s="30">
        <v>0</v>
      </c>
      <c r="F37" s="30">
        <v>0</v>
      </c>
      <c r="G37" s="31">
        <f>SUM(NM_FINANCIAL)</f>
        <v>0</v>
      </c>
      <c r="H37" s="30"/>
      <c r="I37" s="30"/>
      <c r="J37" s="30"/>
      <c r="K37" s="30"/>
      <c r="L37" s="29"/>
      <c r="M37" s="30"/>
      <c r="N37" s="30"/>
      <c r="O37" s="30"/>
      <c r="P37" s="30"/>
      <c r="Q37" s="30"/>
      <c r="R37" s="30"/>
      <c r="S37" s="30"/>
      <c r="T37" s="30"/>
      <c r="U37" s="30"/>
      <c r="V37" s="31"/>
    </row>
    <row r="38" spans="1:22">
      <c r="A38" s="1" t="s">
        <v>59</v>
      </c>
      <c r="B38" s="29">
        <v>0</v>
      </c>
      <c r="C38" s="30">
        <v>0</v>
      </c>
      <c r="D38" s="30">
        <v>0</v>
      </c>
      <c r="E38" s="30">
        <v>0</v>
      </c>
      <c r="F38" s="30">
        <v>0</v>
      </c>
      <c r="G38" s="31">
        <f>SUM(NY_FINANCIAL)</f>
        <v>0</v>
      </c>
      <c r="H38" s="30"/>
      <c r="I38" s="30"/>
      <c r="J38" s="30"/>
      <c r="K38" s="30"/>
      <c r="L38" s="29"/>
      <c r="M38" s="30"/>
      <c r="N38" s="30"/>
      <c r="O38" s="30"/>
      <c r="P38" s="30"/>
      <c r="Q38" s="30"/>
      <c r="R38" s="30"/>
      <c r="S38" s="30"/>
      <c r="T38" s="30"/>
      <c r="U38" s="30"/>
      <c r="V38" s="31"/>
    </row>
    <row r="39" spans="1:22">
      <c r="A39" s="1" t="s">
        <v>60</v>
      </c>
      <c r="B39" s="29">
        <v>0</v>
      </c>
      <c r="C39" s="30">
        <v>0</v>
      </c>
      <c r="D39" s="30">
        <v>0</v>
      </c>
      <c r="E39" s="30">
        <v>0</v>
      </c>
      <c r="F39" s="30">
        <v>0</v>
      </c>
      <c r="G39" s="31">
        <f>SUM(NC_FINANCIAL)</f>
        <v>0</v>
      </c>
      <c r="H39" s="30"/>
      <c r="I39" s="30"/>
      <c r="J39" s="30"/>
      <c r="K39" s="30"/>
      <c r="L39" s="29"/>
      <c r="M39" s="30"/>
      <c r="N39" s="30"/>
      <c r="O39" s="30"/>
      <c r="P39" s="30"/>
      <c r="Q39" s="30"/>
      <c r="R39" s="30"/>
      <c r="S39" s="30"/>
      <c r="T39" s="30"/>
      <c r="U39" s="30"/>
      <c r="V39" s="31"/>
    </row>
    <row r="40" spans="1:22">
      <c r="A40" s="1" t="s">
        <v>61</v>
      </c>
      <c r="B40" s="29">
        <v>0</v>
      </c>
      <c r="C40" s="30">
        <v>0</v>
      </c>
      <c r="D40" s="30">
        <v>0</v>
      </c>
      <c r="E40" s="30">
        <v>0</v>
      </c>
      <c r="F40" s="30">
        <v>0</v>
      </c>
      <c r="G40" s="31">
        <f>SUM(ND_FINANCIAL)</f>
        <v>0</v>
      </c>
      <c r="H40" s="30"/>
      <c r="I40" s="30"/>
      <c r="J40" s="30"/>
      <c r="K40" s="30"/>
      <c r="L40" s="29"/>
      <c r="M40" s="30"/>
      <c r="N40" s="30"/>
      <c r="O40" s="30"/>
      <c r="P40" s="30"/>
      <c r="Q40" s="30"/>
      <c r="R40" s="30"/>
      <c r="S40" s="30"/>
      <c r="T40" s="30"/>
      <c r="U40" s="30"/>
      <c r="V40" s="31"/>
    </row>
    <row r="41" spans="1:22">
      <c r="A41" s="1" t="s">
        <v>62</v>
      </c>
      <c r="B41" s="29">
        <v>0</v>
      </c>
      <c r="C41" s="30">
        <v>0</v>
      </c>
      <c r="D41" s="30">
        <v>0</v>
      </c>
      <c r="E41" s="30">
        <v>0</v>
      </c>
      <c r="F41" s="30">
        <v>0</v>
      </c>
      <c r="G41" s="31">
        <f>SUM(OH_FINANCIAL)</f>
        <v>0</v>
      </c>
      <c r="H41" s="30"/>
      <c r="I41" s="30"/>
      <c r="J41" s="30"/>
      <c r="K41" s="30"/>
      <c r="L41" s="29"/>
      <c r="M41" s="30"/>
      <c r="N41" s="30"/>
      <c r="O41" s="30"/>
      <c r="P41" s="30"/>
      <c r="Q41" s="30"/>
      <c r="R41" s="30"/>
      <c r="S41" s="30"/>
      <c r="T41" s="30"/>
      <c r="U41" s="30"/>
      <c r="V41" s="31"/>
    </row>
    <row r="42" spans="1:22">
      <c r="A42" s="1" t="s">
        <v>63</v>
      </c>
      <c r="B42" s="29">
        <v>0</v>
      </c>
      <c r="C42" s="30">
        <v>0</v>
      </c>
      <c r="D42" s="30">
        <v>0</v>
      </c>
      <c r="E42" s="30">
        <v>0</v>
      </c>
      <c r="F42" s="30">
        <v>0</v>
      </c>
      <c r="G42" s="31">
        <f>SUM(OK_FINANCIAL)</f>
        <v>0</v>
      </c>
      <c r="H42" s="30"/>
      <c r="I42" s="30"/>
      <c r="J42" s="30"/>
      <c r="K42" s="30"/>
      <c r="L42" s="29"/>
      <c r="M42" s="30"/>
      <c r="N42" s="30"/>
      <c r="O42" s="30"/>
      <c r="P42" s="30"/>
      <c r="Q42" s="30"/>
      <c r="R42" s="30"/>
      <c r="S42" s="30"/>
      <c r="T42" s="30"/>
      <c r="U42" s="30"/>
      <c r="V42" s="31"/>
    </row>
    <row r="43" spans="1:22">
      <c r="A43" s="1" t="s">
        <v>64</v>
      </c>
      <c r="B43" s="29">
        <v>0</v>
      </c>
      <c r="C43" s="30">
        <v>0</v>
      </c>
      <c r="D43" s="30">
        <v>0</v>
      </c>
      <c r="E43" s="30">
        <v>0</v>
      </c>
      <c r="F43" s="30">
        <v>0</v>
      </c>
      <c r="G43" s="31">
        <f>SUM(OR_FINANCIAL)</f>
        <v>0</v>
      </c>
      <c r="H43" s="30"/>
      <c r="I43" s="30"/>
      <c r="J43" s="30"/>
      <c r="K43" s="30"/>
      <c r="L43" s="29"/>
      <c r="M43" s="30"/>
      <c r="N43" s="30"/>
      <c r="O43" s="30"/>
      <c r="P43" s="30"/>
      <c r="Q43" s="30"/>
      <c r="R43" s="30"/>
      <c r="S43" s="30"/>
      <c r="T43" s="30"/>
      <c r="U43" s="30"/>
      <c r="V43" s="31"/>
    </row>
    <row r="44" spans="1:22">
      <c r="A44" s="1" t="s">
        <v>65</v>
      </c>
      <c r="B44" s="29">
        <v>0</v>
      </c>
      <c r="C44" s="30">
        <v>0</v>
      </c>
      <c r="D44" s="30">
        <v>0</v>
      </c>
      <c r="E44" s="30">
        <v>0</v>
      </c>
      <c r="F44" s="30">
        <v>0</v>
      </c>
      <c r="G44" s="31">
        <f>SUM(PA_FINANCIAL)</f>
        <v>0</v>
      </c>
      <c r="H44" s="30"/>
      <c r="I44" s="30"/>
      <c r="J44" s="30"/>
      <c r="K44" s="30"/>
      <c r="L44" s="29"/>
      <c r="M44" s="30"/>
      <c r="N44" s="30"/>
      <c r="O44" s="30"/>
      <c r="P44" s="30"/>
      <c r="Q44" s="30"/>
      <c r="R44" s="30"/>
      <c r="S44" s="30"/>
      <c r="T44" s="30"/>
      <c r="U44" s="30"/>
      <c r="V44" s="31"/>
    </row>
    <row r="45" spans="1:22">
      <c r="A45" s="1" t="s">
        <v>66</v>
      </c>
      <c r="B45" s="29">
        <v>0</v>
      </c>
      <c r="C45" s="30">
        <v>0</v>
      </c>
      <c r="D45" s="30">
        <v>0</v>
      </c>
      <c r="E45" s="30">
        <v>0</v>
      </c>
      <c r="F45" s="30">
        <v>0</v>
      </c>
      <c r="G45" s="31">
        <f>SUM(PR_FINANCIAL)</f>
        <v>0</v>
      </c>
      <c r="H45" s="30"/>
      <c r="I45" s="30"/>
      <c r="J45" s="30"/>
      <c r="K45" s="30"/>
      <c r="L45" s="29"/>
      <c r="M45" s="30"/>
      <c r="N45" s="30"/>
      <c r="O45" s="30"/>
      <c r="P45" s="30"/>
      <c r="Q45" s="30"/>
      <c r="R45" s="30"/>
      <c r="S45" s="30"/>
      <c r="T45" s="30"/>
      <c r="U45" s="30"/>
      <c r="V45" s="31"/>
    </row>
    <row r="46" spans="1:22">
      <c r="A46" s="1" t="s">
        <v>67</v>
      </c>
      <c r="B46" s="29">
        <v>0</v>
      </c>
      <c r="C46" s="30">
        <v>0</v>
      </c>
      <c r="D46" s="30">
        <v>0</v>
      </c>
      <c r="E46" s="30">
        <v>0</v>
      </c>
      <c r="F46" s="30">
        <v>0</v>
      </c>
      <c r="G46" s="31">
        <f>SUM(RI_FINANCIAL)</f>
        <v>0</v>
      </c>
      <c r="H46" s="30"/>
      <c r="I46" s="30"/>
      <c r="J46" s="30"/>
      <c r="K46" s="30"/>
      <c r="L46" s="29"/>
      <c r="M46" s="30"/>
      <c r="N46" s="30"/>
      <c r="O46" s="30"/>
      <c r="P46" s="30"/>
      <c r="Q46" s="30"/>
      <c r="R46" s="30"/>
      <c r="S46" s="30"/>
      <c r="T46" s="30"/>
      <c r="U46" s="30"/>
      <c r="V46" s="31"/>
    </row>
    <row r="47" spans="1:22">
      <c r="A47" s="1" t="s">
        <v>68</v>
      </c>
      <c r="B47" s="29">
        <v>0</v>
      </c>
      <c r="C47" s="30">
        <v>0</v>
      </c>
      <c r="D47" s="30">
        <v>0</v>
      </c>
      <c r="E47" s="30">
        <v>0</v>
      </c>
      <c r="F47" s="30">
        <v>0</v>
      </c>
      <c r="G47" s="31">
        <f>SUM(SC_FINANCIAL)</f>
        <v>0</v>
      </c>
      <c r="H47" s="30"/>
      <c r="I47" s="30"/>
      <c r="J47" s="30"/>
      <c r="K47" s="30"/>
      <c r="L47" s="29"/>
      <c r="M47" s="30"/>
      <c r="N47" s="30"/>
      <c r="O47" s="30"/>
      <c r="P47" s="30"/>
      <c r="Q47" s="30"/>
      <c r="R47" s="30"/>
      <c r="S47" s="30"/>
      <c r="T47" s="30"/>
      <c r="U47" s="30"/>
      <c r="V47" s="31"/>
    </row>
    <row r="48" spans="1:22">
      <c r="A48" s="1" t="s">
        <v>69</v>
      </c>
      <c r="B48" s="29">
        <v>0</v>
      </c>
      <c r="C48" s="30">
        <v>0</v>
      </c>
      <c r="D48" s="30">
        <v>0</v>
      </c>
      <c r="E48" s="30">
        <v>0</v>
      </c>
      <c r="F48" s="30">
        <v>0</v>
      </c>
      <c r="G48" s="31">
        <f>SUM(SD_FINANCIAL)</f>
        <v>0</v>
      </c>
      <c r="H48" s="30"/>
      <c r="I48" s="30"/>
      <c r="J48" s="30"/>
      <c r="K48" s="30"/>
      <c r="L48" s="29"/>
      <c r="M48" s="30"/>
      <c r="N48" s="30"/>
      <c r="O48" s="30"/>
      <c r="P48" s="30"/>
      <c r="Q48" s="30"/>
      <c r="R48" s="30"/>
      <c r="S48" s="30"/>
      <c r="T48" s="30"/>
      <c r="U48" s="30"/>
      <c r="V48" s="31"/>
    </row>
    <row r="49" spans="1:22">
      <c r="A49" s="1" t="s">
        <v>70</v>
      </c>
      <c r="B49" s="29">
        <v>0</v>
      </c>
      <c r="C49" s="30">
        <v>0</v>
      </c>
      <c r="D49" s="30">
        <v>0</v>
      </c>
      <c r="E49" s="30">
        <v>0</v>
      </c>
      <c r="F49" s="30">
        <v>0</v>
      </c>
      <c r="G49" s="31">
        <f>SUM(TN_FINANCIAL)</f>
        <v>0</v>
      </c>
      <c r="H49" s="30"/>
      <c r="I49" s="30"/>
      <c r="J49" s="30"/>
      <c r="K49" s="30"/>
      <c r="L49" s="29"/>
      <c r="M49" s="30"/>
      <c r="N49" s="30"/>
      <c r="O49" s="30"/>
      <c r="P49" s="30"/>
      <c r="Q49" s="30"/>
      <c r="R49" s="30"/>
      <c r="S49" s="30"/>
      <c r="T49" s="30"/>
      <c r="U49" s="30"/>
      <c r="V49" s="31"/>
    </row>
    <row r="50" spans="1:22">
      <c r="A50" s="1" t="s">
        <v>71</v>
      </c>
      <c r="B50" s="29">
        <v>0</v>
      </c>
      <c r="C50" s="30">
        <v>0</v>
      </c>
      <c r="D50" s="30">
        <v>0</v>
      </c>
      <c r="E50" s="30">
        <v>0</v>
      </c>
      <c r="F50" s="30">
        <v>0</v>
      </c>
      <c r="G50" s="31">
        <f>SUM(TX_FINANCIAL)</f>
        <v>0</v>
      </c>
      <c r="H50" s="30"/>
      <c r="I50" s="30"/>
      <c r="J50" s="30"/>
      <c r="K50" s="30"/>
      <c r="L50" s="29"/>
      <c r="M50" s="30"/>
      <c r="N50" s="30"/>
      <c r="O50" s="30"/>
      <c r="P50" s="30"/>
      <c r="Q50" s="30"/>
      <c r="R50" s="30"/>
      <c r="S50" s="30"/>
      <c r="T50" s="30"/>
      <c r="U50" s="30"/>
      <c r="V50" s="31"/>
    </row>
    <row r="51" spans="1:22">
      <c r="A51" s="1" t="s">
        <v>72</v>
      </c>
      <c r="B51" s="29">
        <v>0</v>
      </c>
      <c r="C51" s="30">
        <v>0</v>
      </c>
      <c r="D51" s="30">
        <v>0</v>
      </c>
      <c r="E51" s="30">
        <v>0</v>
      </c>
      <c r="F51" s="30">
        <v>0</v>
      </c>
      <c r="G51" s="31">
        <f>SUM(UT_FINANCIAL)</f>
        <v>0</v>
      </c>
      <c r="H51" s="30"/>
      <c r="I51" s="30"/>
      <c r="J51" s="30"/>
      <c r="K51" s="30"/>
      <c r="L51" s="29"/>
      <c r="M51" s="30"/>
      <c r="N51" s="30"/>
      <c r="O51" s="30"/>
      <c r="P51" s="30"/>
      <c r="Q51" s="30"/>
      <c r="R51" s="30"/>
      <c r="S51" s="30"/>
      <c r="T51" s="30"/>
      <c r="U51" s="30"/>
      <c r="V51" s="31"/>
    </row>
    <row r="52" spans="1:22">
      <c r="A52" s="1" t="s">
        <v>73</v>
      </c>
      <c r="B52" s="29">
        <v>0</v>
      </c>
      <c r="C52" s="30">
        <v>0</v>
      </c>
      <c r="D52" s="30">
        <v>0</v>
      </c>
      <c r="E52" s="30">
        <v>0</v>
      </c>
      <c r="F52" s="30">
        <v>0</v>
      </c>
      <c r="G52" s="31">
        <f>SUM(VT_FINANCIAL)</f>
        <v>0</v>
      </c>
      <c r="H52" s="30"/>
      <c r="I52" s="30"/>
      <c r="J52" s="30"/>
      <c r="K52" s="30"/>
      <c r="L52" s="29"/>
      <c r="M52" s="30"/>
      <c r="N52" s="30"/>
      <c r="O52" s="30"/>
      <c r="P52" s="30"/>
      <c r="Q52" s="30"/>
      <c r="R52" s="30"/>
      <c r="S52" s="30"/>
      <c r="T52" s="30"/>
      <c r="U52" s="30"/>
      <c r="V52" s="31"/>
    </row>
    <row r="53" spans="1:22">
      <c r="A53" s="1" t="s">
        <v>74</v>
      </c>
      <c r="B53" s="29">
        <v>0</v>
      </c>
      <c r="C53" s="30">
        <v>0</v>
      </c>
      <c r="D53" s="30">
        <v>0</v>
      </c>
      <c r="E53" s="30">
        <v>0</v>
      </c>
      <c r="F53" s="30">
        <v>0</v>
      </c>
      <c r="G53" s="31">
        <f>SUM(VA_FINANCIAL)</f>
        <v>0</v>
      </c>
      <c r="H53" s="30"/>
      <c r="I53" s="30"/>
      <c r="J53" s="30"/>
      <c r="K53" s="30"/>
      <c r="L53" s="29"/>
      <c r="M53" s="30"/>
      <c r="N53" s="30"/>
      <c r="O53" s="30"/>
      <c r="P53" s="30"/>
      <c r="Q53" s="30"/>
      <c r="R53" s="30"/>
      <c r="S53" s="30"/>
      <c r="T53" s="30"/>
      <c r="U53" s="30"/>
      <c r="V53" s="31"/>
    </row>
    <row r="54" spans="1:22">
      <c r="A54" s="1" t="s">
        <v>75</v>
      </c>
      <c r="B54" s="29">
        <v>0</v>
      </c>
      <c r="C54" s="30">
        <v>0</v>
      </c>
      <c r="D54" s="30">
        <v>0</v>
      </c>
      <c r="E54" s="30">
        <v>0</v>
      </c>
      <c r="F54" s="30">
        <v>0</v>
      </c>
      <c r="G54" s="31">
        <f>SUM(WA_FINANCIAL)</f>
        <v>0</v>
      </c>
      <c r="H54" s="30"/>
      <c r="I54" s="30"/>
      <c r="J54" s="30"/>
      <c r="K54" s="30"/>
      <c r="L54" s="29"/>
      <c r="M54" s="30"/>
      <c r="N54" s="30"/>
      <c r="O54" s="30"/>
      <c r="P54" s="30"/>
      <c r="Q54" s="30"/>
      <c r="R54" s="30"/>
      <c r="S54" s="30"/>
      <c r="T54" s="30"/>
      <c r="U54" s="30"/>
      <c r="V54" s="31"/>
    </row>
    <row r="55" spans="1:22">
      <c r="A55" s="1" t="s">
        <v>76</v>
      </c>
      <c r="B55" s="29">
        <v>0</v>
      </c>
      <c r="C55" s="30">
        <v>0</v>
      </c>
      <c r="D55" s="30">
        <v>0</v>
      </c>
      <c r="E55" s="30">
        <v>0</v>
      </c>
      <c r="F55" s="30">
        <v>0</v>
      </c>
      <c r="G55" s="31">
        <f>SUM(WV_FINANCIAL)</f>
        <v>0</v>
      </c>
      <c r="H55" s="30"/>
      <c r="I55" s="30"/>
      <c r="J55" s="30"/>
      <c r="K55" s="30"/>
      <c r="L55" s="29"/>
      <c r="M55" s="30"/>
      <c r="N55" s="30"/>
      <c r="O55" s="30"/>
      <c r="P55" s="30"/>
      <c r="Q55" s="30"/>
      <c r="R55" s="30"/>
      <c r="S55" s="30"/>
      <c r="T55" s="30"/>
      <c r="U55" s="30"/>
      <c r="V55" s="31"/>
    </row>
    <row r="56" spans="1:22">
      <c r="A56" s="1" t="s">
        <v>77</v>
      </c>
      <c r="B56" s="29">
        <v>0</v>
      </c>
      <c r="C56" s="30">
        <v>0</v>
      </c>
      <c r="D56" s="30">
        <v>0</v>
      </c>
      <c r="E56" s="30">
        <v>0</v>
      </c>
      <c r="F56" s="30">
        <v>0</v>
      </c>
      <c r="G56" s="31">
        <f>SUM(WI_FINANCIAL)</f>
        <v>0</v>
      </c>
      <c r="H56" s="30"/>
      <c r="I56" s="30"/>
      <c r="J56" s="30"/>
      <c r="K56" s="30"/>
      <c r="L56" s="29"/>
      <c r="M56" s="30"/>
      <c r="N56" s="30"/>
      <c r="O56" s="30"/>
      <c r="P56" s="30"/>
      <c r="Q56" s="30"/>
      <c r="R56" s="30"/>
      <c r="S56" s="30"/>
      <c r="T56" s="30"/>
      <c r="U56" s="30"/>
      <c r="V56" s="31"/>
    </row>
    <row r="57" spans="1:22">
      <c r="A57" s="1" t="s">
        <v>78</v>
      </c>
      <c r="B57" s="29">
        <v>0</v>
      </c>
      <c r="C57" s="30">
        <v>0</v>
      </c>
      <c r="D57" s="30">
        <v>0</v>
      </c>
      <c r="E57" s="30">
        <v>0</v>
      </c>
      <c r="F57" s="30">
        <v>0</v>
      </c>
      <c r="G57" s="31">
        <f>SUM(WY_FINANCIAL)</f>
        <v>0</v>
      </c>
      <c r="H57" s="30"/>
      <c r="I57" s="30"/>
      <c r="J57" s="30"/>
      <c r="K57" s="30"/>
      <c r="L57" s="29"/>
      <c r="M57" s="30"/>
      <c r="N57" s="30"/>
      <c r="O57" s="30"/>
      <c r="P57" s="30"/>
      <c r="Q57" s="30"/>
      <c r="R57" s="30"/>
      <c r="S57" s="30"/>
      <c r="T57" s="30"/>
      <c r="U57" s="30"/>
      <c r="V57" s="31"/>
    </row>
    <row r="58" spans="1:22">
      <c r="A58" s="1" t="s">
        <v>79</v>
      </c>
      <c r="B58" s="29">
        <v>0</v>
      </c>
      <c r="C58" s="30">
        <v>0</v>
      </c>
      <c r="D58" s="30">
        <v>0</v>
      </c>
      <c r="E58" s="30">
        <v>0</v>
      </c>
      <c r="F58" s="30">
        <v>0</v>
      </c>
      <c r="G58" s="31">
        <f>SUM(OT_FINANCIAL)</f>
        <v>0</v>
      </c>
      <c r="H58" s="30"/>
      <c r="I58" s="30"/>
      <c r="J58" s="30"/>
      <c r="K58" s="30"/>
      <c r="L58" s="29"/>
      <c r="M58" s="30"/>
      <c r="N58" s="30"/>
      <c r="O58" s="30"/>
      <c r="P58" s="30"/>
      <c r="Q58" s="30"/>
      <c r="R58" s="30"/>
      <c r="S58" s="30"/>
      <c r="T58" s="30"/>
      <c r="U58" s="30"/>
      <c r="V58" s="31"/>
    </row>
    <row r="59" spans="1:22">
      <c r="B59" s="29"/>
      <c r="C59" s="30"/>
      <c r="D59" s="30"/>
      <c r="E59" s="30"/>
      <c r="F59" s="30"/>
      <c r="G59" s="31"/>
      <c r="H59" s="30"/>
      <c r="I59" s="30"/>
      <c r="J59" s="30"/>
      <c r="K59" s="30"/>
      <c r="L59" s="29"/>
      <c r="M59" s="30"/>
      <c r="N59" s="30"/>
      <c r="O59" s="30"/>
      <c r="P59" s="30"/>
      <c r="Q59" s="30"/>
      <c r="R59" s="30"/>
      <c r="S59" s="30"/>
      <c r="T59" s="30"/>
      <c r="U59" s="30"/>
      <c r="V59" s="31"/>
    </row>
    <row r="60" spans="1:22">
      <c r="A60" s="1" t="s">
        <v>8</v>
      </c>
      <c r="B60" s="29">
        <f>SUM(LIFE)</f>
        <v>0</v>
      </c>
      <c r="C60" s="30">
        <f>SUM(ALLOCATED)</f>
        <v>37078074.870000005</v>
      </c>
      <c r="D60" s="30">
        <f>SUM(HEALTH)</f>
        <v>0</v>
      </c>
      <c r="E60" s="30">
        <f>SUM(UNALLOCATED)</f>
        <v>0</v>
      </c>
      <c r="F60" s="30">
        <f>SUM(LTC)</f>
        <v>0</v>
      </c>
      <c r="G60" s="31">
        <f>SUM(ALL_BLOCKS)</f>
        <v>37078074.870000005</v>
      </c>
      <c r="H60" s="30"/>
      <c r="I60" s="30"/>
      <c r="J60" s="30"/>
      <c r="K60" s="30"/>
      <c r="L60" s="29">
        <f>SUM(LIFE_CALLED)</f>
        <v>27611280</v>
      </c>
      <c r="M60" s="30">
        <f>SUM(LIFE_REFUNDED)</f>
        <v>20999761</v>
      </c>
      <c r="N60" s="30"/>
      <c r="O60" s="30">
        <f>SUM(ALLOC_CALLED)</f>
        <v>22525117</v>
      </c>
      <c r="P60" s="30">
        <f>SUM(ALLOC_REFUNDED)</f>
        <v>11243274</v>
      </c>
      <c r="Q60" s="30"/>
      <c r="R60" s="30">
        <f>SUM(HEALTH_CALLED)</f>
        <v>11732231</v>
      </c>
      <c r="S60" s="30">
        <f>SUM(HEALTH_REFUNDED)</f>
        <v>11500000</v>
      </c>
      <c r="T60" s="30"/>
      <c r="U60" s="30">
        <f>SUM(UNALLOC_CALLED)</f>
        <v>0</v>
      </c>
      <c r="V60" s="31">
        <f>SUM(UNALLOC_REFUNDED)</f>
        <v>0</v>
      </c>
    </row>
    <row r="61" spans="1:22" ht="5.0999999999999996" customHeight="1">
      <c r="B61" s="8"/>
      <c r="G61" s="11"/>
      <c r="L61" s="8"/>
      <c r="V61" s="11"/>
    </row>
    <row r="62" spans="1:22">
      <c r="B62" s="8"/>
      <c r="G62" s="11"/>
      <c r="L62" s="122" t="s">
        <v>80</v>
      </c>
      <c r="M62" s="123"/>
      <c r="N62" s="123"/>
      <c r="O62" s="123"/>
      <c r="P62" s="123"/>
      <c r="Q62" s="123"/>
      <c r="R62" s="123"/>
      <c r="S62" s="123"/>
      <c r="T62" s="123"/>
      <c r="U62" s="123"/>
      <c r="V62" s="124"/>
    </row>
    <row r="63" spans="1:22">
      <c r="B63" s="8"/>
      <c r="G63" s="11"/>
      <c r="L63" s="125"/>
      <c r="M63" s="123"/>
      <c r="N63" s="123"/>
      <c r="O63" s="123"/>
      <c r="P63" s="123"/>
      <c r="Q63" s="123"/>
      <c r="R63" s="123"/>
      <c r="S63" s="123"/>
      <c r="T63" s="123"/>
      <c r="U63" s="123"/>
      <c r="V63" s="124"/>
    </row>
    <row r="64" spans="1:22">
      <c r="B64" s="10"/>
      <c r="C64" s="7"/>
      <c r="D64" s="7"/>
      <c r="E64" s="7"/>
      <c r="F64" s="7"/>
      <c r="G64" s="13"/>
      <c r="L64" s="126"/>
      <c r="M64" s="127"/>
      <c r="N64" s="127"/>
      <c r="O64" s="127"/>
      <c r="P64" s="127"/>
      <c r="Q64" s="127"/>
      <c r="R64" s="127"/>
      <c r="S64" s="127"/>
      <c r="T64" s="127"/>
      <c r="U64" s="127"/>
      <c r="V64" s="128"/>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pageSetUpPr fitToPage="1"/>
  </sheetPr>
  <dimension ref="A1:V64"/>
  <sheetViews>
    <sheetView zoomScale="75" workbookViewId="0">
      <selection sqref="A1:XFD1048576"/>
    </sheetView>
  </sheetViews>
  <sheetFormatPr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129" t="s">
        <v>130</v>
      </c>
      <c r="B1" s="123"/>
      <c r="C1" s="123"/>
      <c r="D1" s="123"/>
      <c r="E1" s="123"/>
      <c r="F1" s="123"/>
      <c r="G1" s="123"/>
    </row>
    <row r="3" spans="1:22">
      <c r="B3" s="130" t="s">
        <v>1</v>
      </c>
      <c r="C3" s="131"/>
      <c r="D3" s="131"/>
      <c r="E3" s="131"/>
      <c r="F3" s="131"/>
      <c r="G3" s="132"/>
      <c r="L3" s="133" t="s">
        <v>2</v>
      </c>
      <c r="M3" s="134"/>
      <c r="N3" s="134"/>
      <c r="O3" s="134"/>
      <c r="P3" s="134"/>
      <c r="Q3" s="134"/>
      <c r="R3" s="134"/>
      <c r="S3" s="134"/>
      <c r="T3" s="134"/>
      <c r="U3" s="134"/>
      <c r="V3" s="135"/>
    </row>
    <row r="4" spans="1:22">
      <c r="B4" s="8"/>
      <c r="G4" s="11"/>
      <c r="L4" s="136" t="s">
        <v>3</v>
      </c>
      <c r="M4" s="137"/>
      <c r="N4" s="4"/>
      <c r="O4" s="138" t="s">
        <v>4</v>
      </c>
      <c r="P4" s="137"/>
      <c r="Q4" s="4"/>
      <c r="R4" s="138" t="s">
        <v>5</v>
      </c>
      <c r="S4" s="137"/>
      <c r="T4" s="4"/>
      <c r="U4" s="138" t="s">
        <v>6</v>
      </c>
      <c r="V4" s="139"/>
    </row>
    <row r="5" spans="1:22" ht="60" customHeight="1">
      <c r="B5" s="9" t="s">
        <v>3</v>
      </c>
      <c r="C5" s="5" t="s">
        <v>4</v>
      </c>
      <c r="D5" s="5" t="s">
        <v>5</v>
      </c>
      <c r="E5" s="5" t="s">
        <v>6</v>
      </c>
      <c r="F5" s="5" t="s">
        <v>7</v>
      </c>
      <c r="G5" s="12" t="s">
        <v>8</v>
      </c>
      <c r="L5" s="15" t="s">
        <v>9</v>
      </c>
      <c r="M5" s="14" t="s">
        <v>10</v>
      </c>
      <c r="N5" s="14"/>
      <c r="O5" s="14" t="s">
        <v>9</v>
      </c>
      <c r="P5" s="14" t="s">
        <v>10</v>
      </c>
      <c r="Q5" s="14"/>
      <c r="R5" s="14" t="s">
        <v>9</v>
      </c>
      <c r="S5" s="14" t="s">
        <v>10</v>
      </c>
      <c r="T5" s="14"/>
      <c r="U5" s="14" t="s">
        <v>9</v>
      </c>
      <c r="V5" s="16" t="s">
        <v>10</v>
      </c>
    </row>
    <row r="6" spans="1:22">
      <c r="A6" s="1" t="s">
        <v>11</v>
      </c>
      <c r="B6" s="29">
        <v>-207096.39595988253</v>
      </c>
      <c r="C6" s="30">
        <v>-6513.0314943219564</v>
      </c>
      <c r="D6" s="30">
        <v>0</v>
      </c>
      <c r="E6" s="30">
        <v>0</v>
      </c>
      <c r="F6" s="30">
        <v>0</v>
      </c>
      <c r="G6" s="31">
        <f>SUM(AL_FINANCIAL)</f>
        <v>-213609.42745420447</v>
      </c>
      <c r="H6" s="30"/>
      <c r="I6" s="30"/>
      <c r="J6" s="30"/>
      <c r="K6" s="30"/>
      <c r="L6" s="29">
        <v>1900000</v>
      </c>
      <c r="M6" s="30">
        <v>0</v>
      </c>
      <c r="N6" s="30"/>
      <c r="O6" s="30">
        <v>69317</v>
      </c>
      <c r="P6" s="30">
        <v>0</v>
      </c>
      <c r="Q6" s="30"/>
      <c r="R6" s="30">
        <v>0</v>
      </c>
      <c r="S6" s="30">
        <v>0</v>
      </c>
      <c r="T6" s="30"/>
      <c r="U6" s="30">
        <v>0</v>
      </c>
      <c r="V6" s="31">
        <v>0</v>
      </c>
    </row>
    <row r="7" spans="1:22">
      <c r="A7" s="1" t="s">
        <v>12</v>
      </c>
      <c r="B7" s="29">
        <v>56606.703095125442</v>
      </c>
      <c r="C7" s="30">
        <v>16955.019246526877</v>
      </c>
      <c r="D7" s="30">
        <v>0</v>
      </c>
      <c r="E7" s="30">
        <v>0</v>
      </c>
      <c r="F7" s="30">
        <v>0</v>
      </c>
      <c r="G7" s="31">
        <f>SUM(AK_FINANCIAL)</f>
        <v>73561.722341652319</v>
      </c>
      <c r="H7" s="30"/>
      <c r="I7" s="32"/>
      <c r="J7" s="33"/>
      <c r="K7" s="30"/>
      <c r="L7" s="29">
        <v>283000</v>
      </c>
      <c r="M7" s="30">
        <v>333000</v>
      </c>
      <c r="N7" s="30"/>
      <c r="O7" s="30">
        <v>94000</v>
      </c>
      <c r="P7" s="30">
        <v>125000</v>
      </c>
      <c r="Q7" s="30"/>
      <c r="R7" s="30">
        <v>0</v>
      </c>
      <c r="S7" s="30">
        <v>0</v>
      </c>
      <c r="T7" s="30"/>
      <c r="U7" s="30">
        <v>0</v>
      </c>
      <c r="V7" s="31">
        <v>0</v>
      </c>
    </row>
    <row r="8" spans="1:22">
      <c r="A8" s="1" t="s">
        <v>13</v>
      </c>
      <c r="B8" s="29">
        <v>-269457.22210473241</v>
      </c>
      <c r="C8" s="30">
        <v>1156.7443028827547</v>
      </c>
      <c r="D8" s="30">
        <v>0</v>
      </c>
      <c r="E8" s="30">
        <v>0</v>
      </c>
      <c r="F8" s="30">
        <v>0</v>
      </c>
      <c r="G8" s="31">
        <f>SUM(AZ_FINANCIAL)</f>
        <v>-268300.47780184966</v>
      </c>
      <c r="H8" s="30"/>
      <c r="I8" s="34" t="s">
        <v>14</v>
      </c>
      <c r="J8" s="35"/>
      <c r="K8" s="30"/>
      <c r="L8" s="29">
        <v>953650</v>
      </c>
      <c r="M8" s="30">
        <v>0</v>
      </c>
      <c r="N8" s="30"/>
      <c r="O8" s="30">
        <v>120413</v>
      </c>
      <c r="P8" s="30">
        <v>0</v>
      </c>
      <c r="Q8" s="30"/>
      <c r="R8" s="30">
        <v>0</v>
      </c>
      <c r="S8" s="30">
        <v>0</v>
      </c>
      <c r="T8" s="30"/>
      <c r="U8" s="30">
        <v>0</v>
      </c>
      <c r="V8" s="31">
        <v>0</v>
      </c>
    </row>
    <row r="9" spans="1:22">
      <c r="A9" s="1" t="s">
        <v>15</v>
      </c>
      <c r="B9" s="29">
        <v>-44750.02193274349</v>
      </c>
      <c r="C9" s="30">
        <v>3891.0906536078546</v>
      </c>
      <c r="D9" s="30">
        <v>0</v>
      </c>
      <c r="E9" s="30">
        <v>0</v>
      </c>
      <c r="F9" s="30">
        <v>0</v>
      </c>
      <c r="G9" s="31">
        <f>SUM(AR_FINANCIAL)</f>
        <v>-40858.931279135635</v>
      </c>
      <c r="H9" s="30"/>
      <c r="I9" s="34"/>
      <c r="J9" s="35"/>
      <c r="K9" s="30"/>
      <c r="L9" s="29">
        <v>1090241</v>
      </c>
      <c r="M9" s="30">
        <v>0</v>
      </c>
      <c r="N9" s="30"/>
      <c r="O9" s="30">
        <v>0</v>
      </c>
      <c r="P9" s="30">
        <v>0</v>
      </c>
      <c r="Q9" s="30"/>
      <c r="R9" s="30">
        <v>0</v>
      </c>
      <c r="S9" s="30">
        <v>0</v>
      </c>
      <c r="T9" s="30"/>
      <c r="U9" s="30">
        <v>0</v>
      </c>
      <c r="V9" s="31">
        <v>0</v>
      </c>
    </row>
    <row r="10" spans="1:22">
      <c r="A10" s="1" t="s">
        <v>16</v>
      </c>
      <c r="B10" s="29">
        <v>-281654.47244563699</v>
      </c>
      <c r="C10" s="30">
        <v>41048.502682899823</v>
      </c>
      <c r="D10" s="30">
        <v>0</v>
      </c>
      <c r="E10" s="30">
        <v>0</v>
      </c>
      <c r="F10" s="30">
        <v>0</v>
      </c>
      <c r="G10" s="31">
        <f>SUM(CA_FINANCIAL)</f>
        <v>-240605.96976273716</v>
      </c>
      <c r="H10" s="30"/>
      <c r="I10" s="34" t="s">
        <v>17</v>
      </c>
      <c r="J10" s="35">
        <v>765438159.46497142</v>
      </c>
      <c r="K10" s="30"/>
      <c r="L10" s="29">
        <v>18173100</v>
      </c>
      <c r="M10" s="30">
        <v>24700000</v>
      </c>
      <c r="N10" s="30"/>
      <c r="O10" s="30">
        <v>573100</v>
      </c>
      <c r="P10" s="30">
        <v>1000000</v>
      </c>
      <c r="Q10" s="30"/>
      <c r="R10" s="30">
        <v>0</v>
      </c>
      <c r="S10" s="30">
        <v>0</v>
      </c>
      <c r="T10" s="30"/>
      <c r="U10" s="30">
        <v>0</v>
      </c>
      <c r="V10" s="31">
        <v>0</v>
      </c>
    </row>
    <row r="11" spans="1:22">
      <c r="A11" s="1" t="s">
        <v>18</v>
      </c>
      <c r="B11" s="29">
        <v>-113960.62124390993</v>
      </c>
      <c r="C11" s="30">
        <v>9451.3857717551873</v>
      </c>
      <c r="D11" s="30">
        <v>0</v>
      </c>
      <c r="E11" s="30">
        <v>0</v>
      </c>
      <c r="F11" s="30">
        <v>0</v>
      </c>
      <c r="G11" s="31">
        <f>SUM(CO_FINANCIAL)</f>
        <v>-104509.23547215475</v>
      </c>
      <c r="H11" s="30"/>
      <c r="I11" s="34"/>
      <c r="J11" s="35"/>
      <c r="K11" s="30"/>
      <c r="L11" s="29">
        <v>2150102</v>
      </c>
      <c r="M11" s="30">
        <v>3128840</v>
      </c>
      <c r="N11" s="30"/>
      <c r="O11" s="30">
        <v>149714</v>
      </c>
      <c r="P11" s="30">
        <v>70000</v>
      </c>
      <c r="Q11" s="30"/>
      <c r="R11" s="30">
        <v>0</v>
      </c>
      <c r="S11" s="30">
        <v>21787</v>
      </c>
      <c r="T11" s="30"/>
      <c r="U11" s="30">
        <v>0</v>
      </c>
      <c r="V11" s="31">
        <v>0</v>
      </c>
    </row>
    <row r="12" spans="1:22">
      <c r="A12" s="1" t="s">
        <v>19</v>
      </c>
      <c r="B12" s="29">
        <v>-51657.72129287885</v>
      </c>
      <c r="C12" s="30">
        <v>1373.4589875558813</v>
      </c>
      <c r="D12" s="30">
        <v>0</v>
      </c>
      <c r="E12" s="30">
        <v>0</v>
      </c>
      <c r="F12" s="30">
        <v>0</v>
      </c>
      <c r="G12" s="31">
        <f>SUM(CT_FINANCIAL)</f>
        <v>-50284.262305322969</v>
      </c>
      <c r="H12" s="30"/>
      <c r="I12" s="34" t="s">
        <v>20</v>
      </c>
      <c r="J12" s="35"/>
      <c r="K12" s="30"/>
      <c r="L12" s="29">
        <v>785000</v>
      </c>
      <c r="M12" s="30">
        <v>731234</v>
      </c>
      <c r="N12" s="30"/>
      <c r="O12" s="30">
        <v>0</v>
      </c>
      <c r="P12" s="30">
        <v>0</v>
      </c>
      <c r="Q12" s="30"/>
      <c r="R12" s="30">
        <v>0</v>
      </c>
      <c r="S12" s="30">
        <v>0</v>
      </c>
      <c r="T12" s="30"/>
      <c r="U12" s="30">
        <v>0</v>
      </c>
      <c r="V12" s="31">
        <v>0</v>
      </c>
    </row>
    <row r="13" spans="1:22">
      <c r="A13" s="1" t="s">
        <v>21</v>
      </c>
      <c r="B13" s="29">
        <v>-95907.257312026835</v>
      </c>
      <c r="C13" s="30">
        <v>-1180.9703788356646</v>
      </c>
      <c r="D13" s="30">
        <v>0</v>
      </c>
      <c r="E13" s="30">
        <v>0</v>
      </c>
      <c r="F13" s="30">
        <v>0</v>
      </c>
      <c r="G13" s="31">
        <f>SUM(DE_FINANCIAL)</f>
        <v>-97088.227690862506</v>
      </c>
      <c r="H13" s="30"/>
      <c r="I13" s="34" t="s">
        <v>22</v>
      </c>
      <c r="J13" s="35">
        <v>0</v>
      </c>
      <c r="K13" s="30"/>
      <c r="L13" s="29">
        <v>87000</v>
      </c>
      <c r="M13" s="30">
        <v>0</v>
      </c>
      <c r="N13" s="30"/>
      <c r="O13" s="30">
        <v>3000</v>
      </c>
      <c r="P13" s="30">
        <v>0</v>
      </c>
      <c r="Q13" s="30"/>
      <c r="R13" s="30">
        <v>0</v>
      </c>
      <c r="S13" s="30">
        <v>0</v>
      </c>
      <c r="T13" s="30"/>
      <c r="U13" s="30">
        <v>0</v>
      </c>
      <c r="V13" s="31">
        <v>0</v>
      </c>
    </row>
    <row r="14" spans="1:22">
      <c r="A14" s="1" t="s">
        <v>23</v>
      </c>
      <c r="B14" s="29">
        <v>34200.718097084566</v>
      </c>
      <c r="C14" s="30">
        <v>20857.572853482248</v>
      </c>
      <c r="D14" s="30">
        <v>0</v>
      </c>
      <c r="E14" s="30">
        <v>0</v>
      </c>
      <c r="F14" s="30">
        <v>0</v>
      </c>
      <c r="G14" s="31">
        <f>SUM(DC_FINANCIAL)</f>
        <v>55058.290950566814</v>
      </c>
      <c r="H14" s="30"/>
      <c r="I14" s="34" t="s">
        <v>24</v>
      </c>
      <c r="J14" s="35">
        <v>5116161</v>
      </c>
      <c r="K14" s="30"/>
      <c r="L14" s="29">
        <v>100000</v>
      </c>
      <c r="M14" s="30">
        <v>113572</v>
      </c>
      <c r="N14" s="30"/>
      <c r="O14" s="30">
        <v>5000</v>
      </c>
      <c r="P14" s="30">
        <v>10656</v>
      </c>
      <c r="Q14" s="30"/>
      <c r="R14" s="30">
        <v>0</v>
      </c>
      <c r="S14" s="30">
        <v>0</v>
      </c>
      <c r="T14" s="30"/>
      <c r="U14" s="30">
        <v>0</v>
      </c>
      <c r="V14" s="31">
        <v>0</v>
      </c>
    </row>
    <row r="15" spans="1:22">
      <c r="A15" s="1" t="s">
        <v>25</v>
      </c>
      <c r="B15" s="29">
        <v>-996870.64953083545</v>
      </c>
      <c r="C15" s="30">
        <v>-20958.257856983459</v>
      </c>
      <c r="D15" s="30">
        <v>0</v>
      </c>
      <c r="E15" s="30">
        <v>0</v>
      </c>
      <c r="F15" s="30">
        <v>0</v>
      </c>
      <c r="G15" s="31">
        <f>SUM(FL_FINANCIAL)</f>
        <v>-1017828.9073878189</v>
      </c>
      <c r="H15" s="30"/>
      <c r="I15" s="34" t="s">
        <v>26</v>
      </c>
      <c r="J15" s="35">
        <v>7545974.3247330897</v>
      </c>
      <c r="K15" s="30"/>
      <c r="L15" s="29">
        <v>6100000</v>
      </c>
      <c r="M15" s="30">
        <v>0</v>
      </c>
      <c r="N15" s="30"/>
      <c r="O15" s="30">
        <v>500000</v>
      </c>
      <c r="P15" s="30">
        <v>0</v>
      </c>
      <c r="Q15" s="30"/>
      <c r="R15" s="30">
        <v>0</v>
      </c>
      <c r="S15" s="30">
        <v>0</v>
      </c>
      <c r="T15" s="30"/>
      <c r="U15" s="30">
        <v>0</v>
      </c>
      <c r="V15" s="31">
        <v>0</v>
      </c>
    </row>
    <row r="16" spans="1:22">
      <c r="A16" s="1" t="s">
        <v>27</v>
      </c>
      <c r="B16" s="29">
        <v>-304470.86750744749</v>
      </c>
      <c r="C16" s="30">
        <v>1696.6286811760801</v>
      </c>
      <c r="D16" s="30">
        <v>0</v>
      </c>
      <c r="E16" s="30">
        <v>0</v>
      </c>
      <c r="F16" s="30">
        <v>0</v>
      </c>
      <c r="G16" s="31">
        <f>SUM(GA_FINANCIAL)</f>
        <v>-302774.23882627138</v>
      </c>
      <c r="H16" s="30"/>
      <c r="I16" s="34" t="s">
        <v>28</v>
      </c>
      <c r="J16" s="35">
        <v>0</v>
      </c>
      <c r="K16" s="30"/>
      <c r="L16" s="29">
        <v>1806365</v>
      </c>
      <c r="M16" s="30">
        <v>0</v>
      </c>
      <c r="N16" s="30"/>
      <c r="O16" s="30">
        <v>93635</v>
      </c>
      <c r="P16" s="30">
        <v>4595.29</v>
      </c>
      <c r="Q16" s="30"/>
      <c r="R16" s="30">
        <v>0</v>
      </c>
      <c r="S16" s="30">
        <v>0</v>
      </c>
      <c r="T16" s="30"/>
      <c r="U16" s="30">
        <v>0</v>
      </c>
      <c r="V16" s="31">
        <v>0</v>
      </c>
    </row>
    <row r="17" spans="1:22">
      <c r="A17" s="1" t="s">
        <v>29</v>
      </c>
      <c r="B17" s="29">
        <v>-62469.647166843002</v>
      </c>
      <c r="C17" s="30">
        <v>-7127.6707305558448</v>
      </c>
      <c r="D17" s="30">
        <v>0</v>
      </c>
      <c r="E17" s="30">
        <v>0</v>
      </c>
      <c r="F17" s="30">
        <v>0</v>
      </c>
      <c r="G17" s="31">
        <f>SUM(HI_FINANCIAL)</f>
        <v>-69597.31789739884</v>
      </c>
      <c r="H17" s="30"/>
      <c r="I17" s="34"/>
      <c r="J17" s="35"/>
      <c r="K17" s="30"/>
      <c r="L17" s="29">
        <v>366380</v>
      </c>
      <c r="M17" s="30">
        <v>0</v>
      </c>
      <c r="N17" s="30"/>
      <c r="O17" s="30">
        <v>14880</v>
      </c>
      <c r="P17" s="30">
        <v>0</v>
      </c>
      <c r="Q17" s="30"/>
      <c r="R17" s="30">
        <v>30</v>
      </c>
      <c r="S17" s="30">
        <v>0</v>
      </c>
      <c r="T17" s="30"/>
      <c r="U17" s="30">
        <v>0</v>
      </c>
      <c r="V17" s="31">
        <v>0</v>
      </c>
    </row>
    <row r="18" spans="1:22">
      <c r="A18" s="1" t="s">
        <v>30</v>
      </c>
      <c r="B18" s="29">
        <v>-314201.5718496358</v>
      </c>
      <c r="C18" s="30">
        <v>-2670.343774445384</v>
      </c>
      <c r="D18" s="30">
        <v>0</v>
      </c>
      <c r="E18" s="30">
        <v>0</v>
      </c>
      <c r="F18" s="30">
        <v>0</v>
      </c>
      <c r="G18" s="31">
        <f>SUM(ID_FINANCIAL)</f>
        <v>-316871.91562408116</v>
      </c>
      <c r="H18" s="30"/>
      <c r="I18" s="34" t="s">
        <v>31</v>
      </c>
      <c r="J18" s="35"/>
      <c r="K18" s="30"/>
      <c r="L18" s="29">
        <v>2549400</v>
      </c>
      <c r="M18" s="30">
        <v>1180454</v>
      </c>
      <c r="N18" s="30"/>
      <c r="O18" s="30">
        <v>200600</v>
      </c>
      <c r="P18" s="30">
        <v>0</v>
      </c>
      <c r="Q18" s="30"/>
      <c r="R18" s="30">
        <v>0</v>
      </c>
      <c r="S18" s="30">
        <v>0</v>
      </c>
      <c r="T18" s="30"/>
      <c r="U18" s="30">
        <v>0</v>
      </c>
      <c r="V18" s="31">
        <v>0</v>
      </c>
    </row>
    <row r="19" spans="1:22">
      <c r="A19" s="1" t="s">
        <v>32</v>
      </c>
      <c r="B19" s="29">
        <v>-398993.10911556799</v>
      </c>
      <c r="C19" s="30">
        <v>-7499.6868572412059</v>
      </c>
      <c r="D19" s="30">
        <v>0</v>
      </c>
      <c r="E19" s="30">
        <v>0</v>
      </c>
      <c r="F19" s="30">
        <v>0</v>
      </c>
      <c r="G19" s="31">
        <f>SUM(IL_FINANCIAL)</f>
        <v>-406492.7959728092</v>
      </c>
      <c r="H19" s="30"/>
      <c r="I19" s="34" t="s">
        <v>33</v>
      </c>
      <c r="J19" s="35">
        <v>714278169.00000012</v>
      </c>
      <c r="K19" s="30"/>
      <c r="L19" s="29">
        <v>5500000</v>
      </c>
      <c r="M19" s="30">
        <v>6070000</v>
      </c>
      <c r="N19" s="30"/>
      <c r="O19" s="30">
        <v>500000</v>
      </c>
      <c r="P19" s="30">
        <v>1635000</v>
      </c>
      <c r="Q19" s="30"/>
      <c r="R19" s="30">
        <v>0</v>
      </c>
      <c r="S19" s="30">
        <v>0</v>
      </c>
      <c r="T19" s="30"/>
      <c r="U19" s="30">
        <v>0</v>
      </c>
      <c r="V19" s="31">
        <v>0</v>
      </c>
    </row>
    <row r="20" spans="1:22">
      <c r="A20" s="1" t="s">
        <v>34</v>
      </c>
      <c r="B20" s="29">
        <v>-459742.23171269335</v>
      </c>
      <c r="C20" s="30">
        <v>81350.585759641486</v>
      </c>
      <c r="D20" s="30">
        <v>0</v>
      </c>
      <c r="E20" s="30">
        <v>0</v>
      </c>
      <c r="F20" s="30">
        <v>0</v>
      </c>
      <c r="G20" s="31">
        <f>SUM(IN_FINANCIAL)</f>
        <v>-378391.64595305186</v>
      </c>
      <c r="H20" s="30"/>
      <c r="I20" s="34" t="s">
        <v>35</v>
      </c>
      <c r="J20" s="35">
        <v>-357884520.69994879</v>
      </c>
      <c r="K20" s="30"/>
      <c r="L20" s="29">
        <v>1098547</v>
      </c>
      <c r="M20" s="30">
        <v>0</v>
      </c>
      <c r="N20" s="30"/>
      <c r="O20" s="30">
        <v>299899</v>
      </c>
      <c r="P20" s="30">
        <v>0</v>
      </c>
      <c r="Q20" s="30"/>
      <c r="R20" s="30">
        <v>0</v>
      </c>
      <c r="S20" s="30">
        <v>0</v>
      </c>
      <c r="T20" s="30"/>
      <c r="U20" s="30">
        <v>0</v>
      </c>
      <c r="V20" s="31">
        <v>0</v>
      </c>
    </row>
    <row r="21" spans="1:22">
      <c r="A21" s="1" t="s">
        <v>36</v>
      </c>
      <c r="B21" s="29">
        <v>-10355.523389932234</v>
      </c>
      <c r="C21" s="30">
        <v>12473.081780121487</v>
      </c>
      <c r="D21" s="30">
        <v>0</v>
      </c>
      <c r="E21" s="30">
        <v>0</v>
      </c>
      <c r="F21" s="30">
        <v>0</v>
      </c>
      <c r="G21" s="31">
        <f>SUM(IA_FINANCIAL)</f>
        <v>2117.5583901892533</v>
      </c>
      <c r="H21" s="30"/>
      <c r="I21" s="34" t="s">
        <v>37</v>
      </c>
      <c r="J21" s="35"/>
      <c r="K21" s="30"/>
      <c r="L21" s="29">
        <v>1000000</v>
      </c>
      <c r="M21" s="30">
        <v>0</v>
      </c>
      <c r="N21" s="30"/>
      <c r="O21" s="30">
        <v>0</v>
      </c>
      <c r="P21" s="30">
        <v>0</v>
      </c>
      <c r="Q21" s="30"/>
      <c r="R21" s="30">
        <v>0</v>
      </c>
      <c r="S21" s="30">
        <v>0</v>
      </c>
      <c r="T21" s="30"/>
      <c r="U21" s="30">
        <v>0</v>
      </c>
      <c r="V21" s="31">
        <v>0</v>
      </c>
    </row>
    <row r="22" spans="1:22">
      <c r="A22" s="1" t="s">
        <v>38</v>
      </c>
      <c r="B22" s="29">
        <v>-187839.32022754755</v>
      </c>
      <c r="C22" s="30">
        <v>8024.695749464212</v>
      </c>
      <c r="D22" s="30">
        <v>0</v>
      </c>
      <c r="E22" s="30">
        <v>0</v>
      </c>
      <c r="F22" s="30">
        <v>0</v>
      </c>
      <c r="G22" s="31">
        <f>SUM(KS_FINANCIAL)</f>
        <v>-179814.62447808334</v>
      </c>
      <c r="H22" s="30"/>
      <c r="I22" s="34" t="s">
        <v>39</v>
      </c>
      <c r="J22" s="35">
        <v>233590142.16492066</v>
      </c>
      <c r="K22" s="30"/>
      <c r="L22" s="29"/>
      <c r="M22" s="30"/>
      <c r="N22" s="30"/>
      <c r="O22" s="30"/>
      <c r="P22" s="30"/>
      <c r="Q22" s="30"/>
      <c r="R22" s="30"/>
      <c r="S22" s="30"/>
      <c r="T22" s="30"/>
      <c r="U22" s="30"/>
      <c r="V22" s="31"/>
    </row>
    <row r="23" spans="1:22">
      <c r="A23" s="1" t="s">
        <v>40</v>
      </c>
      <c r="B23" s="29">
        <v>-1036563.2918700427</v>
      </c>
      <c r="C23" s="30">
        <v>-188026.08388958359</v>
      </c>
      <c r="D23" s="30">
        <v>0</v>
      </c>
      <c r="E23" s="30">
        <v>0</v>
      </c>
      <c r="F23" s="30">
        <v>0</v>
      </c>
      <c r="G23" s="31">
        <f>SUM(KY_FINANCIAL)</f>
        <v>-1224589.3757596263</v>
      </c>
      <c r="H23" s="30"/>
      <c r="I23" s="34" t="s">
        <v>41</v>
      </c>
      <c r="J23" s="35"/>
      <c r="K23" s="30"/>
      <c r="L23" s="29">
        <v>10331657</v>
      </c>
      <c r="M23" s="30">
        <v>10251563</v>
      </c>
      <c r="N23" s="30"/>
      <c r="O23" s="30">
        <v>2835989</v>
      </c>
      <c r="P23" s="30">
        <v>2840382</v>
      </c>
      <c r="Q23" s="30"/>
      <c r="R23" s="30">
        <v>99323</v>
      </c>
      <c r="S23" s="30">
        <v>98105</v>
      </c>
      <c r="T23" s="30"/>
      <c r="U23" s="30">
        <v>0</v>
      </c>
      <c r="V23" s="31">
        <v>0</v>
      </c>
    </row>
    <row r="24" spans="1:22">
      <c r="A24" s="1" t="s">
        <v>42</v>
      </c>
      <c r="B24" s="29">
        <v>-193823.58191817836</v>
      </c>
      <c r="C24" s="30">
        <v>-1215.5452336535891</v>
      </c>
      <c r="D24" s="30">
        <v>0</v>
      </c>
      <c r="E24" s="30">
        <v>0</v>
      </c>
      <c r="F24" s="30">
        <v>0</v>
      </c>
      <c r="G24" s="31">
        <f>SUM(LA_FINANCIAL)</f>
        <v>-195039.12715183196</v>
      </c>
      <c r="H24" s="30"/>
      <c r="I24" s="34" t="s">
        <v>43</v>
      </c>
      <c r="J24" s="35">
        <v>200617794</v>
      </c>
      <c r="K24" s="30"/>
      <c r="L24" s="29">
        <v>1368000</v>
      </c>
      <c r="M24" s="30">
        <v>0</v>
      </c>
      <c r="N24" s="30"/>
      <c r="O24" s="30">
        <v>57000</v>
      </c>
      <c r="P24" s="30">
        <v>0</v>
      </c>
      <c r="Q24" s="30"/>
      <c r="R24" s="30">
        <v>0</v>
      </c>
      <c r="S24" s="30">
        <v>0</v>
      </c>
      <c r="T24" s="30"/>
      <c r="U24" s="30">
        <v>0</v>
      </c>
      <c r="V24" s="31">
        <v>0</v>
      </c>
    </row>
    <row r="25" spans="1:22">
      <c r="A25" s="1" t="s">
        <v>44</v>
      </c>
      <c r="B25" s="29">
        <v>-33865.727432224085</v>
      </c>
      <c r="C25" s="30">
        <v>488.46561012767779</v>
      </c>
      <c r="D25" s="30">
        <v>0</v>
      </c>
      <c r="E25" s="30">
        <v>0</v>
      </c>
      <c r="F25" s="30">
        <v>0</v>
      </c>
      <c r="G25" s="31">
        <f>SUM(ME_FINANCIAL)</f>
        <v>-33377.261822096407</v>
      </c>
      <c r="H25" s="30"/>
      <c r="I25" s="34"/>
      <c r="J25" s="35"/>
      <c r="K25" s="30"/>
      <c r="L25" s="29">
        <v>791200</v>
      </c>
      <c r="M25" s="30">
        <v>0</v>
      </c>
      <c r="N25" s="30"/>
      <c r="O25" s="30">
        <v>800</v>
      </c>
      <c r="P25" s="30">
        <v>0</v>
      </c>
      <c r="Q25" s="30"/>
      <c r="R25" s="30">
        <v>0</v>
      </c>
      <c r="S25" s="30">
        <v>0</v>
      </c>
      <c r="T25" s="30"/>
      <c r="U25" s="30">
        <v>0</v>
      </c>
      <c r="V25" s="31">
        <v>0</v>
      </c>
    </row>
    <row r="26" spans="1:22">
      <c r="A26" s="1" t="s">
        <v>45</v>
      </c>
      <c r="B26" s="29">
        <v>-185615.13351368532</v>
      </c>
      <c r="C26" s="30">
        <v>-3771.3360271783167</v>
      </c>
      <c r="D26" s="30">
        <v>0</v>
      </c>
      <c r="E26" s="30">
        <v>0</v>
      </c>
      <c r="F26" s="30">
        <v>0</v>
      </c>
      <c r="G26" s="31">
        <f>SUM(MD_FINANCIAL)</f>
        <v>-189386.46954086365</v>
      </c>
      <c r="H26" s="30"/>
      <c r="I26" s="34" t="s">
        <v>46</v>
      </c>
      <c r="J26" s="35">
        <f>SUM(ADD_FINANCIAL)-SUM(LESS_FINANCIAL)</f>
        <v>-12501289.675267458</v>
      </c>
      <c r="K26" s="30"/>
      <c r="L26" s="29">
        <v>148500</v>
      </c>
      <c r="M26" s="30">
        <v>0</v>
      </c>
      <c r="N26" s="30"/>
      <c r="O26" s="30">
        <v>2326500</v>
      </c>
      <c r="P26" s="30">
        <v>0</v>
      </c>
      <c r="Q26" s="30"/>
      <c r="R26" s="30">
        <v>0</v>
      </c>
      <c r="S26" s="30">
        <v>0</v>
      </c>
      <c r="T26" s="30"/>
      <c r="U26" s="30">
        <v>0</v>
      </c>
      <c r="V26" s="31">
        <v>0</v>
      </c>
    </row>
    <row r="27" spans="1:22">
      <c r="A27" s="1" t="s">
        <v>47</v>
      </c>
      <c r="B27" s="29">
        <v>-141844.3640095219</v>
      </c>
      <c r="C27" s="30">
        <v>498.11574614090205</v>
      </c>
      <c r="D27" s="30">
        <v>0</v>
      </c>
      <c r="E27" s="30">
        <v>0</v>
      </c>
      <c r="F27" s="30">
        <v>0</v>
      </c>
      <c r="G27" s="31">
        <f>SUM(MA_FINANCIAL)</f>
        <v>-141346.24826338101</v>
      </c>
      <c r="H27" s="30"/>
      <c r="I27" s="34" t="s">
        <v>48</v>
      </c>
      <c r="J27" s="35">
        <f>SUM(ALL_BLOCKS)</f>
        <v>-12501289.675266903</v>
      </c>
      <c r="K27" s="30"/>
      <c r="L27" s="29">
        <v>1670000</v>
      </c>
      <c r="M27" s="30">
        <v>2125000</v>
      </c>
      <c r="N27" s="30"/>
      <c r="O27" s="30">
        <v>106000</v>
      </c>
      <c r="P27" s="30">
        <v>200000</v>
      </c>
      <c r="Q27" s="30"/>
      <c r="R27" s="30">
        <v>0</v>
      </c>
      <c r="S27" s="30">
        <v>0</v>
      </c>
      <c r="T27" s="30"/>
      <c r="U27" s="30">
        <v>0</v>
      </c>
      <c r="V27" s="31">
        <v>0</v>
      </c>
    </row>
    <row r="28" spans="1:22">
      <c r="A28" s="1" t="s">
        <v>49</v>
      </c>
      <c r="B28" s="29">
        <v>-481741.15976397879</v>
      </c>
      <c r="C28" s="30">
        <v>13873.268784365966</v>
      </c>
      <c r="D28" s="30">
        <v>0</v>
      </c>
      <c r="E28" s="30">
        <v>0</v>
      </c>
      <c r="F28" s="30">
        <v>0</v>
      </c>
      <c r="G28" s="31">
        <f>SUM(MI_FINANCIAL)</f>
        <v>-467867.89097961283</v>
      </c>
      <c r="H28" s="30"/>
      <c r="I28" s="36"/>
      <c r="J28" s="37"/>
      <c r="K28" s="30"/>
      <c r="L28" s="29">
        <v>5200000</v>
      </c>
      <c r="M28" s="30">
        <v>6695134</v>
      </c>
      <c r="N28" s="30"/>
      <c r="O28" s="30">
        <v>750000</v>
      </c>
      <c r="P28" s="30">
        <v>0</v>
      </c>
      <c r="Q28" s="30"/>
      <c r="R28" s="30">
        <v>0</v>
      </c>
      <c r="S28" s="30">
        <v>0</v>
      </c>
      <c r="T28" s="30"/>
      <c r="U28" s="30">
        <v>0</v>
      </c>
      <c r="V28" s="31">
        <v>0</v>
      </c>
    </row>
    <row r="29" spans="1:22">
      <c r="A29" s="1" t="s">
        <v>50</v>
      </c>
      <c r="B29" s="29">
        <v>-90129.178333875258</v>
      </c>
      <c r="C29" s="30">
        <v>-9130.1389559307427</v>
      </c>
      <c r="D29" s="30">
        <v>0</v>
      </c>
      <c r="E29" s="30">
        <v>0</v>
      </c>
      <c r="F29" s="30">
        <v>0</v>
      </c>
      <c r="G29" s="31">
        <f>SUM(MN_FINANCIAL)</f>
        <v>-99259.317289806</v>
      </c>
      <c r="H29" s="30"/>
      <c r="I29" s="30"/>
      <c r="J29" s="30"/>
      <c r="K29" s="30"/>
      <c r="L29" s="29">
        <v>752000</v>
      </c>
      <c r="M29" s="30">
        <v>0</v>
      </c>
      <c r="N29" s="30"/>
      <c r="O29" s="30">
        <v>48000</v>
      </c>
      <c r="P29" s="30">
        <v>0</v>
      </c>
      <c r="Q29" s="30"/>
      <c r="R29" s="30">
        <v>0</v>
      </c>
      <c r="S29" s="30">
        <v>0</v>
      </c>
      <c r="T29" s="30"/>
      <c r="U29" s="30">
        <v>0</v>
      </c>
      <c r="V29" s="31">
        <v>0</v>
      </c>
    </row>
    <row r="30" spans="1:22">
      <c r="A30" s="1" t="s">
        <v>51</v>
      </c>
      <c r="B30" s="29">
        <v>17918.798505570507</v>
      </c>
      <c r="C30" s="30">
        <v>5664.645193513963</v>
      </c>
      <c r="D30" s="30">
        <v>0</v>
      </c>
      <c r="E30" s="30">
        <v>0</v>
      </c>
      <c r="F30" s="30">
        <v>0</v>
      </c>
      <c r="G30" s="31">
        <f>SUM(MS_FINANCIAL)</f>
        <v>23583.44369908447</v>
      </c>
      <c r="H30" s="30"/>
      <c r="I30" s="30"/>
      <c r="J30" s="30"/>
      <c r="K30" s="30"/>
      <c r="L30" s="29"/>
      <c r="M30" s="30"/>
      <c r="N30" s="30"/>
      <c r="O30" s="30"/>
      <c r="P30" s="30"/>
      <c r="Q30" s="30"/>
      <c r="R30" s="30"/>
      <c r="S30" s="30"/>
      <c r="T30" s="30"/>
      <c r="U30" s="30"/>
      <c r="V30" s="31"/>
    </row>
    <row r="31" spans="1:22">
      <c r="A31" s="1" t="s">
        <v>52</v>
      </c>
      <c r="B31" s="29">
        <v>-324971.63720611483</v>
      </c>
      <c r="C31" s="30">
        <v>-17325.868423723383</v>
      </c>
      <c r="D31" s="30">
        <v>0</v>
      </c>
      <c r="E31" s="30">
        <v>0</v>
      </c>
      <c r="F31" s="30">
        <v>0</v>
      </c>
      <c r="G31" s="31">
        <f>SUM(MO_FINANCIAL)</f>
        <v>-342297.50562983821</v>
      </c>
      <c r="H31" s="30"/>
      <c r="I31" s="30"/>
      <c r="J31" s="30"/>
      <c r="K31" s="30"/>
      <c r="L31" s="29">
        <v>3236920</v>
      </c>
      <c r="M31" s="30">
        <v>0</v>
      </c>
      <c r="N31" s="30"/>
      <c r="O31" s="30">
        <v>263260</v>
      </c>
      <c r="P31" s="30">
        <v>0</v>
      </c>
      <c r="Q31" s="30"/>
      <c r="R31" s="30">
        <v>0</v>
      </c>
      <c r="S31" s="30">
        <v>0</v>
      </c>
      <c r="T31" s="30"/>
      <c r="U31" s="30">
        <v>0</v>
      </c>
      <c r="V31" s="31">
        <v>0</v>
      </c>
    </row>
    <row r="32" spans="1:22">
      <c r="A32" s="1" t="s">
        <v>53</v>
      </c>
      <c r="B32" s="29">
        <v>-183416.1281502326</v>
      </c>
      <c r="C32" s="30">
        <v>7309.435001052625</v>
      </c>
      <c r="D32" s="30">
        <v>0</v>
      </c>
      <c r="E32" s="30">
        <v>0</v>
      </c>
      <c r="F32" s="30">
        <v>0</v>
      </c>
      <c r="G32" s="31">
        <f>SUM(MT_FINANCIAL)</f>
        <v>-176106.69314917998</v>
      </c>
      <c r="H32" s="30"/>
      <c r="I32" s="30"/>
      <c r="J32" s="30"/>
      <c r="K32" s="30"/>
      <c r="L32" s="29">
        <v>1931899</v>
      </c>
      <c r="M32" s="30">
        <v>0</v>
      </c>
      <c r="N32" s="30"/>
      <c r="O32" s="30">
        <v>167986</v>
      </c>
      <c r="P32" s="30">
        <v>0</v>
      </c>
      <c r="Q32" s="30"/>
      <c r="R32" s="30">
        <v>0</v>
      </c>
      <c r="S32" s="30">
        <v>0</v>
      </c>
      <c r="T32" s="30"/>
      <c r="U32" s="30">
        <v>0</v>
      </c>
      <c r="V32" s="31">
        <v>0</v>
      </c>
    </row>
    <row r="33" spans="1:22">
      <c r="A33" s="1" t="s">
        <v>54</v>
      </c>
      <c r="B33" s="29">
        <v>-46234.028032442089</v>
      </c>
      <c r="C33" s="30">
        <v>22703.312743762843</v>
      </c>
      <c r="D33" s="30">
        <v>0</v>
      </c>
      <c r="E33" s="30">
        <v>0</v>
      </c>
      <c r="F33" s="30">
        <v>0</v>
      </c>
      <c r="G33" s="31">
        <f>SUM(NE_FINANCIAL)</f>
        <v>-23530.715288679246</v>
      </c>
      <c r="H33" s="30"/>
      <c r="I33" s="30"/>
      <c r="J33" s="30"/>
      <c r="K33" s="30"/>
      <c r="L33" s="29">
        <v>983250</v>
      </c>
      <c r="M33" s="30">
        <v>0</v>
      </c>
      <c r="N33" s="30"/>
      <c r="O33" s="30">
        <v>51557</v>
      </c>
      <c r="P33" s="30">
        <v>0</v>
      </c>
      <c r="Q33" s="30"/>
      <c r="R33" s="30">
        <v>0</v>
      </c>
      <c r="S33" s="30">
        <v>0</v>
      </c>
      <c r="T33" s="30"/>
      <c r="U33" s="30">
        <v>0</v>
      </c>
      <c r="V33" s="31">
        <v>0</v>
      </c>
    </row>
    <row r="34" spans="1:22">
      <c r="A34" s="1" t="s">
        <v>55</v>
      </c>
      <c r="B34" s="29">
        <v>-64324.451040999265</v>
      </c>
      <c r="C34" s="30">
        <v>4369.1022918878443</v>
      </c>
      <c r="D34" s="30">
        <v>0</v>
      </c>
      <c r="E34" s="30">
        <v>0</v>
      </c>
      <c r="F34" s="30">
        <v>0</v>
      </c>
      <c r="G34" s="31">
        <f>SUM(NV_FINANCIAL)</f>
        <v>-59955.348749111421</v>
      </c>
      <c r="H34" s="30"/>
      <c r="I34" s="30"/>
      <c r="J34" s="30"/>
      <c r="K34" s="30"/>
      <c r="L34" s="29">
        <v>874200</v>
      </c>
      <c r="M34" s="30">
        <v>0</v>
      </c>
      <c r="N34" s="30"/>
      <c r="O34" s="30">
        <v>28400</v>
      </c>
      <c r="P34" s="30">
        <v>0</v>
      </c>
      <c r="Q34" s="30"/>
      <c r="R34" s="30">
        <v>0</v>
      </c>
      <c r="S34" s="30">
        <v>0</v>
      </c>
      <c r="T34" s="30"/>
      <c r="U34" s="30">
        <v>0</v>
      </c>
      <c r="V34" s="31">
        <v>0</v>
      </c>
    </row>
    <row r="35" spans="1:22">
      <c r="A35" s="1" t="s">
        <v>56</v>
      </c>
      <c r="B35" s="29">
        <v>5783.7780156658264</v>
      </c>
      <c r="C35" s="30">
        <v>-761.43566569951781</v>
      </c>
      <c r="D35" s="30">
        <v>0</v>
      </c>
      <c r="E35" s="30">
        <v>0</v>
      </c>
      <c r="F35" s="30">
        <v>0</v>
      </c>
      <c r="G35" s="31">
        <f>SUM(NH_FINANCIAL)</f>
        <v>5022.3423499663086</v>
      </c>
      <c r="H35" s="30"/>
      <c r="I35" s="30"/>
      <c r="J35" s="30"/>
      <c r="K35" s="30"/>
      <c r="L35" s="29">
        <v>200000</v>
      </c>
      <c r="M35" s="30">
        <v>0</v>
      </c>
      <c r="N35" s="30"/>
      <c r="O35" s="30">
        <v>5000</v>
      </c>
      <c r="P35" s="30">
        <v>0</v>
      </c>
      <c r="Q35" s="30"/>
      <c r="R35" s="30">
        <v>0</v>
      </c>
      <c r="S35" s="30">
        <v>0</v>
      </c>
      <c r="T35" s="30"/>
      <c r="U35" s="30">
        <v>0</v>
      </c>
      <c r="V35" s="31">
        <v>0</v>
      </c>
    </row>
    <row r="36" spans="1:22">
      <c r="A36" s="1" t="s">
        <v>57</v>
      </c>
      <c r="B36" s="29">
        <v>-90157.853803112172</v>
      </c>
      <c r="C36" s="30">
        <v>589.87264885606965</v>
      </c>
      <c r="D36" s="30">
        <v>0</v>
      </c>
      <c r="E36" s="30">
        <v>0</v>
      </c>
      <c r="F36" s="30">
        <v>0</v>
      </c>
      <c r="G36" s="31">
        <f>SUM(NJ_FINANCIAL)</f>
        <v>-89567.981154256107</v>
      </c>
      <c r="H36" s="30"/>
      <c r="I36" s="30"/>
      <c r="J36" s="30"/>
      <c r="K36" s="30"/>
      <c r="L36" s="29">
        <v>500000</v>
      </c>
      <c r="M36" s="30">
        <v>500000</v>
      </c>
      <c r="N36" s="30"/>
      <c r="O36" s="30">
        <v>0</v>
      </c>
      <c r="P36" s="30">
        <v>0</v>
      </c>
      <c r="Q36" s="30"/>
      <c r="R36" s="30">
        <v>0</v>
      </c>
      <c r="S36" s="30">
        <v>0</v>
      </c>
      <c r="T36" s="30"/>
      <c r="U36" s="30">
        <v>0</v>
      </c>
      <c r="V36" s="31">
        <v>0</v>
      </c>
    </row>
    <row r="37" spans="1:22">
      <c r="A37" s="1" t="s">
        <v>58</v>
      </c>
      <c r="B37" s="29">
        <v>-116638.41123380954</v>
      </c>
      <c r="C37" s="30">
        <v>-16085.727131669846</v>
      </c>
      <c r="D37" s="30">
        <v>0</v>
      </c>
      <c r="E37" s="30">
        <v>0</v>
      </c>
      <c r="F37" s="30">
        <v>0</v>
      </c>
      <c r="G37" s="31">
        <f>SUM(NM_FINANCIAL)</f>
        <v>-132724.13836547939</v>
      </c>
      <c r="H37" s="30"/>
      <c r="I37" s="30"/>
      <c r="J37" s="30"/>
      <c r="K37" s="30"/>
      <c r="L37" s="29"/>
      <c r="M37" s="30"/>
      <c r="N37" s="30"/>
      <c r="O37" s="30"/>
      <c r="P37" s="30"/>
      <c r="Q37" s="30"/>
      <c r="R37" s="30"/>
      <c r="S37" s="30"/>
      <c r="T37" s="30"/>
      <c r="U37" s="30"/>
      <c r="V37" s="31"/>
    </row>
    <row r="38" spans="1:22">
      <c r="A38" s="1" t="s">
        <v>59</v>
      </c>
      <c r="B38" s="29">
        <v>62422</v>
      </c>
      <c r="C38" s="30">
        <v>0</v>
      </c>
      <c r="D38" s="30">
        <v>0</v>
      </c>
      <c r="E38" s="30">
        <v>0</v>
      </c>
      <c r="F38" s="30">
        <v>0</v>
      </c>
      <c r="G38" s="31">
        <f>SUM(NY_FINANCIAL)</f>
        <v>62422</v>
      </c>
      <c r="H38" s="30"/>
      <c r="I38" s="30"/>
      <c r="J38" s="30"/>
      <c r="K38" s="30"/>
      <c r="L38" s="29"/>
      <c r="M38" s="30"/>
      <c r="N38" s="30"/>
      <c r="O38" s="30"/>
      <c r="P38" s="30"/>
      <c r="Q38" s="30"/>
      <c r="R38" s="30"/>
      <c r="S38" s="30"/>
      <c r="T38" s="30"/>
      <c r="U38" s="30"/>
      <c r="V38" s="31"/>
    </row>
    <row r="39" spans="1:22">
      <c r="A39" s="1" t="s">
        <v>60</v>
      </c>
      <c r="B39" s="29">
        <v>-652005.81365525071</v>
      </c>
      <c r="C39" s="30">
        <v>-28286.74026495422</v>
      </c>
      <c r="D39" s="30">
        <v>0</v>
      </c>
      <c r="E39" s="30">
        <v>0</v>
      </c>
      <c r="F39" s="30">
        <v>0</v>
      </c>
      <c r="G39" s="31">
        <f>SUM(NC_FINANCIAL)</f>
        <v>-680292.55392020498</v>
      </c>
      <c r="H39" s="30"/>
      <c r="I39" s="30"/>
      <c r="J39" s="30"/>
      <c r="K39" s="30"/>
      <c r="L39" s="29">
        <v>3800000</v>
      </c>
      <c r="M39" s="30">
        <v>5462500</v>
      </c>
      <c r="N39" s="30"/>
      <c r="O39" s="30">
        <v>200000</v>
      </c>
      <c r="P39" s="30">
        <v>287500</v>
      </c>
      <c r="Q39" s="30"/>
      <c r="R39" s="30">
        <v>0</v>
      </c>
      <c r="S39" s="30">
        <v>0</v>
      </c>
      <c r="T39" s="30"/>
      <c r="U39" s="30">
        <v>0</v>
      </c>
      <c r="V39" s="31">
        <v>0</v>
      </c>
    </row>
    <row r="40" spans="1:22">
      <c r="A40" s="1" t="s">
        <v>61</v>
      </c>
      <c r="B40" s="29">
        <v>-228562.94307544595</v>
      </c>
      <c r="C40" s="30">
        <v>-683.43780092513771</v>
      </c>
      <c r="D40" s="30">
        <v>0</v>
      </c>
      <c r="E40" s="30">
        <v>0</v>
      </c>
      <c r="F40" s="30">
        <v>0</v>
      </c>
      <c r="G40" s="31">
        <f>SUM(ND_FINANCIAL)</f>
        <v>-229246.38087637108</v>
      </c>
      <c r="H40" s="30"/>
      <c r="I40" s="30"/>
      <c r="J40" s="30"/>
      <c r="K40" s="30"/>
      <c r="L40" s="29">
        <v>1365200</v>
      </c>
      <c r="M40" s="30">
        <v>0</v>
      </c>
      <c r="N40" s="30"/>
      <c r="O40" s="30">
        <v>268100</v>
      </c>
      <c r="P40" s="30">
        <v>0</v>
      </c>
      <c r="Q40" s="30"/>
      <c r="R40" s="30">
        <v>0</v>
      </c>
      <c r="S40" s="30">
        <v>0</v>
      </c>
      <c r="T40" s="30"/>
      <c r="U40" s="30">
        <v>0</v>
      </c>
      <c r="V40" s="31">
        <v>0</v>
      </c>
    </row>
    <row r="41" spans="1:22">
      <c r="A41" s="1" t="s">
        <v>62</v>
      </c>
      <c r="B41" s="29">
        <v>-728285.99016516469</v>
      </c>
      <c r="C41" s="30">
        <v>8773.4078769197222</v>
      </c>
      <c r="D41" s="30">
        <v>0</v>
      </c>
      <c r="E41" s="30">
        <v>0</v>
      </c>
      <c r="F41" s="30">
        <v>0</v>
      </c>
      <c r="G41" s="31">
        <f>SUM(OH_FINANCIAL)</f>
        <v>-719512.58228824497</v>
      </c>
      <c r="H41" s="30"/>
      <c r="I41" s="30"/>
      <c r="J41" s="30"/>
      <c r="K41" s="30"/>
      <c r="L41" s="29">
        <v>4940000</v>
      </c>
      <c r="M41" s="30">
        <v>0</v>
      </c>
      <c r="N41" s="30"/>
      <c r="O41" s="30">
        <v>760000</v>
      </c>
      <c r="P41" s="30">
        <v>0</v>
      </c>
      <c r="Q41" s="30"/>
      <c r="R41" s="30">
        <v>0</v>
      </c>
      <c r="S41" s="30">
        <v>0</v>
      </c>
      <c r="T41" s="30"/>
      <c r="U41" s="30">
        <v>0</v>
      </c>
      <c r="V41" s="31">
        <v>0</v>
      </c>
    </row>
    <row r="42" spans="1:22">
      <c r="A42" s="1" t="s">
        <v>63</v>
      </c>
      <c r="B42" s="29">
        <v>-96067.261007062858</v>
      </c>
      <c r="C42" s="30">
        <v>5687.3950484368106</v>
      </c>
      <c r="D42" s="30">
        <v>0</v>
      </c>
      <c r="E42" s="30">
        <v>0</v>
      </c>
      <c r="F42" s="30">
        <v>0</v>
      </c>
      <c r="G42" s="31">
        <f>SUM(OK_FINANCIAL)</f>
        <v>-90379.865958626047</v>
      </c>
      <c r="H42" s="30"/>
      <c r="I42" s="30"/>
      <c r="J42" s="30"/>
      <c r="K42" s="30"/>
      <c r="L42" s="29">
        <v>841750</v>
      </c>
      <c r="M42" s="30">
        <v>987350</v>
      </c>
      <c r="N42" s="30"/>
      <c r="O42" s="30">
        <v>83230</v>
      </c>
      <c r="P42" s="30">
        <v>97650</v>
      </c>
      <c r="Q42" s="30"/>
      <c r="R42" s="30">
        <v>0</v>
      </c>
      <c r="S42" s="30">
        <v>0</v>
      </c>
      <c r="T42" s="30"/>
      <c r="U42" s="30">
        <v>0</v>
      </c>
      <c r="V42" s="31">
        <v>0</v>
      </c>
    </row>
    <row r="43" spans="1:22">
      <c r="A43" s="1" t="s">
        <v>64</v>
      </c>
      <c r="B43" s="29">
        <v>-303052.18365320005</v>
      </c>
      <c r="C43" s="30">
        <v>8780.3098564501124</v>
      </c>
      <c r="D43" s="30">
        <v>0</v>
      </c>
      <c r="E43" s="30">
        <v>0</v>
      </c>
      <c r="F43" s="30">
        <v>0</v>
      </c>
      <c r="G43" s="31">
        <f>SUM(OR_FINANCIAL)</f>
        <v>-294271.87379674992</v>
      </c>
      <c r="H43" s="30"/>
      <c r="I43" s="30"/>
      <c r="J43" s="30"/>
      <c r="K43" s="30"/>
      <c r="L43" s="29">
        <v>2658420</v>
      </c>
      <c r="M43" s="30">
        <v>0</v>
      </c>
      <c r="N43" s="30"/>
      <c r="O43" s="30">
        <v>51801</v>
      </c>
      <c r="P43" s="30">
        <v>0</v>
      </c>
      <c r="Q43" s="30"/>
      <c r="R43" s="30">
        <v>0</v>
      </c>
      <c r="S43" s="30">
        <v>0</v>
      </c>
      <c r="T43" s="30"/>
      <c r="U43" s="30">
        <v>0</v>
      </c>
      <c r="V43" s="31">
        <v>0</v>
      </c>
    </row>
    <row r="44" spans="1:22">
      <c r="A44" s="1" t="s">
        <v>65</v>
      </c>
      <c r="B44" s="29">
        <v>-347245.88233376853</v>
      </c>
      <c r="C44" s="30">
        <v>-15168.078016897838</v>
      </c>
      <c r="D44" s="30">
        <v>0</v>
      </c>
      <c r="E44" s="30">
        <v>0</v>
      </c>
      <c r="F44" s="30">
        <v>0</v>
      </c>
      <c r="G44" s="31">
        <f>SUM(PA_FINANCIAL)</f>
        <v>-362413.96035066637</v>
      </c>
      <c r="H44" s="30"/>
      <c r="I44" s="30"/>
      <c r="J44" s="30"/>
      <c r="K44" s="30"/>
      <c r="L44" s="29">
        <v>3500000</v>
      </c>
      <c r="M44" s="30">
        <v>0</v>
      </c>
      <c r="N44" s="30"/>
      <c r="O44" s="30">
        <v>0</v>
      </c>
      <c r="P44" s="30">
        <v>0</v>
      </c>
      <c r="Q44" s="30"/>
      <c r="R44" s="30">
        <v>0</v>
      </c>
      <c r="S44" s="30">
        <v>0</v>
      </c>
      <c r="T44" s="30"/>
      <c r="U44" s="30">
        <v>0</v>
      </c>
      <c r="V44" s="31">
        <v>0</v>
      </c>
    </row>
    <row r="45" spans="1:22">
      <c r="A45" s="1" t="s">
        <v>66</v>
      </c>
      <c r="B45" s="29">
        <v>0</v>
      </c>
      <c r="C45" s="30">
        <v>0</v>
      </c>
      <c r="D45" s="30">
        <v>0</v>
      </c>
      <c r="E45" s="30">
        <v>0</v>
      </c>
      <c r="F45" s="30">
        <v>0</v>
      </c>
      <c r="G45" s="31">
        <f>SUM(PR_FINANCIAL)</f>
        <v>0</v>
      </c>
      <c r="H45" s="30"/>
      <c r="I45" s="30"/>
      <c r="J45" s="30"/>
      <c r="K45" s="30"/>
      <c r="L45" s="29"/>
      <c r="M45" s="30"/>
      <c r="N45" s="30"/>
      <c r="O45" s="30"/>
      <c r="P45" s="30"/>
      <c r="Q45" s="30"/>
      <c r="R45" s="30"/>
      <c r="S45" s="30"/>
      <c r="T45" s="30"/>
      <c r="U45" s="30"/>
      <c r="V45" s="31"/>
    </row>
    <row r="46" spans="1:22">
      <c r="A46" s="1" t="s">
        <v>67</v>
      </c>
      <c r="B46" s="29">
        <v>-14568.94694204806</v>
      </c>
      <c r="C46" s="30">
        <v>29.091216381508275</v>
      </c>
      <c r="D46" s="30">
        <v>0</v>
      </c>
      <c r="E46" s="30">
        <v>0</v>
      </c>
      <c r="F46" s="30">
        <v>0</v>
      </c>
      <c r="G46" s="31">
        <f>SUM(RI_FINANCIAL)</f>
        <v>-14539.855725666552</v>
      </c>
      <c r="H46" s="30"/>
      <c r="I46" s="30"/>
      <c r="J46" s="30"/>
      <c r="K46" s="30"/>
      <c r="L46" s="29">
        <v>115320</v>
      </c>
      <c r="M46" s="30">
        <v>0</v>
      </c>
      <c r="N46" s="30"/>
      <c r="O46" s="30">
        <v>8680</v>
      </c>
      <c r="P46" s="30">
        <v>0</v>
      </c>
      <c r="Q46" s="30"/>
      <c r="R46" s="30">
        <v>0</v>
      </c>
      <c r="S46" s="30">
        <v>0</v>
      </c>
      <c r="T46" s="30"/>
      <c r="U46" s="30">
        <v>0</v>
      </c>
      <c r="V46" s="31">
        <v>0</v>
      </c>
    </row>
    <row r="47" spans="1:22">
      <c r="A47" s="1" t="s">
        <v>68</v>
      </c>
      <c r="B47" s="29">
        <v>-106038.31795691652</v>
      </c>
      <c r="C47" s="30">
        <v>12605.419355802122</v>
      </c>
      <c r="D47" s="30">
        <v>0</v>
      </c>
      <c r="E47" s="30">
        <v>0</v>
      </c>
      <c r="F47" s="30">
        <v>0</v>
      </c>
      <c r="G47" s="31">
        <f>SUM(SC_FINANCIAL)</f>
        <v>-93432.898601114401</v>
      </c>
      <c r="H47" s="30"/>
      <c r="I47" s="30"/>
      <c r="J47" s="30"/>
      <c r="K47" s="30"/>
      <c r="L47" s="29">
        <v>900000</v>
      </c>
      <c r="M47" s="30">
        <v>0</v>
      </c>
      <c r="N47" s="30"/>
      <c r="O47" s="30">
        <v>100000</v>
      </c>
      <c r="P47" s="30">
        <v>0</v>
      </c>
      <c r="Q47" s="30"/>
      <c r="R47" s="30">
        <v>0</v>
      </c>
      <c r="S47" s="30">
        <v>0</v>
      </c>
      <c r="T47" s="30"/>
      <c r="U47" s="30">
        <v>0</v>
      </c>
      <c r="V47" s="31">
        <v>0</v>
      </c>
    </row>
    <row r="48" spans="1:22">
      <c r="A48" s="1" t="s">
        <v>69</v>
      </c>
      <c r="B48" s="29">
        <v>-169667.88829636946</v>
      </c>
      <c r="C48" s="30">
        <v>8916.6965879873023</v>
      </c>
      <c r="D48" s="30">
        <v>0</v>
      </c>
      <c r="E48" s="30">
        <v>0</v>
      </c>
      <c r="F48" s="30">
        <v>0</v>
      </c>
      <c r="G48" s="31">
        <f>SUM(SD_FINANCIAL)</f>
        <v>-160751.19170838216</v>
      </c>
      <c r="H48" s="30"/>
      <c r="I48" s="30"/>
      <c r="J48" s="30"/>
      <c r="K48" s="30"/>
      <c r="L48" s="29">
        <v>1995000</v>
      </c>
      <c r="M48" s="30">
        <v>400000</v>
      </c>
      <c r="N48" s="30"/>
      <c r="O48" s="30">
        <v>289000</v>
      </c>
      <c r="P48" s="30">
        <v>0</v>
      </c>
      <c r="Q48" s="30"/>
      <c r="R48" s="30">
        <v>0</v>
      </c>
      <c r="S48" s="30">
        <v>0</v>
      </c>
      <c r="T48" s="30"/>
      <c r="U48" s="30">
        <v>0</v>
      </c>
      <c r="V48" s="31">
        <v>0</v>
      </c>
    </row>
    <row r="49" spans="1:22">
      <c r="A49" s="1" t="s">
        <v>70</v>
      </c>
      <c r="B49" s="29">
        <v>-293325.26457501296</v>
      </c>
      <c r="C49" s="30">
        <v>-29796.613791040203</v>
      </c>
      <c r="D49" s="30">
        <v>0</v>
      </c>
      <c r="E49" s="30">
        <v>0</v>
      </c>
      <c r="F49" s="30">
        <v>0</v>
      </c>
      <c r="G49" s="31">
        <f>SUM(TN_FINANCIAL)</f>
        <v>-323121.87836605316</v>
      </c>
      <c r="H49" s="30"/>
      <c r="I49" s="30"/>
      <c r="J49" s="30"/>
      <c r="K49" s="30"/>
      <c r="L49" s="29">
        <v>4640000</v>
      </c>
      <c r="M49" s="30">
        <v>0</v>
      </c>
      <c r="N49" s="30"/>
      <c r="O49" s="30">
        <v>610000</v>
      </c>
      <c r="P49" s="30">
        <v>0</v>
      </c>
      <c r="Q49" s="30"/>
      <c r="R49" s="30">
        <v>0</v>
      </c>
      <c r="S49" s="30">
        <v>0</v>
      </c>
      <c r="T49" s="30"/>
      <c r="U49" s="30">
        <v>0</v>
      </c>
      <c r="V49" s="31">
        <v>0</v>
      </c>
    </row>
    <row r="50" spans="1:22">
      <c r="A50" s="1" t="s">
        <v>71</v>
      </c>
      <c r="B50" s="29">
        <v>-1245550.5806587078</v>
      </c>
      <c r="C50" s="30">
        <v>54179.409100298304</v>
      </c>
      <c r="D50" s="30">
        <v>0</v>
      </c>
      <c r="E50" s="30">
        <v>0</v>
      </c>
      <c r="F50" s="30">
        <v>0</v>
      </c>
      <c r="G50" s="31">
        <f>SUM(TX_FINANCIAL)</f>
        <v>-1191371.1715584095</v>
      </c>
      <c r="H50" s="30"/>
      <c r="I50" s="30"/>
      <c r="J50" s="30"/>
      <c r="K50" s="30"/>
      <c r="L50" s="29">
        <v>11695474</v>
      </c>
      <c r="M50" s="30">
        <v>15038085.418200001</v>
      </c>
      <c r="N50" s="30"/>
      <c r="O50" s="30">
        <v>369492</v>
      </c>
      <c r="P50" s="30">
        <v>470126.74119999999</v>
      </c>
      <c r="Q50" s="30"/>
      <c r="R50" s="30">
        <v>3471</v>
      </c>
      <c r="S50" s="30">
        <v>4589.8405999999995</v>
      </c>
      <c r="T50" s="30"/>
      <c r="U50" s="30">
        <v>0</v>
      </c>
      <c r="V50" s="31">
        <v>0</v>
      </c>
    </row>
    <row r="51" spans="1:22">
      <c r="A51" s="1" t="s">
        <v>72</v>
      </c>
      <c r="B51" s="29">
        <v>-282973.81025946094</v>
      </c>
      <c r="C51" s="30">
        <v>1836.4414601246972</v>
      </c>
      <c r="D51" s="30">
        <v>0</v>
      </c>
      <c r="E51" s="30">
        <v>0</v>
      </c>
      <c r="F51" s="30">
        <v>0</v>
      </c>
      <c r="G51" s="31">
        <f>SUM(UT_FINANCIAL)</f>
        <v>-281137.36879933625</v>
      </c>
      <c r="H51" s="30"/>
      <c r="I51" s="30"/>
      <c r="J51" s="30"/>
      <c r="K51" s="30"/>
      <c r="L51" s="29">
        <v>1305629</v>
      </c>
      <c r="M51" s="30">
        <v>1917485</v>
      </c>
      <c r="N51" s="30"/>
      <c r="O51" s="30">
        <v>49370</v>
      </c>
      <c r="P51" s="30">
        <v>72515</v>
      </c>
      <c r="Q51" s="30"/>
      <c r="R51" s="30">
        <v>0</v>
      </c>
      <c r="S51" s="30">
        <v>0</v>
      </c>
      <c r="T51" s="30"/>
      <c r="U51" s="30">
        <v>0</v>
      </c>
      <c r="V51" s="31">
        <v>0</v>
      </c>
    </row>
    <row r="52" spans="1:22">
      <c r="A52" s="1" t="s">
        <v>73</v>
      </c>
      <c r="B52" s="29">
        <v>92489.585907939065</v>
      </c>
      <c r="C52" s="30">
        <v>2928.0316096422603</v>
      </c>
      <c r="D52" s="30">
        <v>0</v>
      </c>
      <c r="E52" s="30">
        <v>0</v>
      </c>
      <c r="F52" s="30">
        <v>0</v>
      </c>
      <c r="G52" s="31">
        <f>SUM(VT_FINANCIAL)</f>
        <v>95417.617517581326</v>
      </c>
      <c r="H52" s="30"/>
      <c r="I52" s="30"/>
      <c r="J52" s="30"/>
      <c r="K52" s="30"/>
      <c r="L52" s="29">
        <v>67000</v>
      </c>
      <c r="M52" s="30">
        <v>0</v>
      </c>
      <c r="N52" s="30"/>
      <c r="O52" s="30">
        <v>3000</v>
      </c>
      <c r="P52" s="30">
        <v>0</v>
      </c>
      <c r="Q52" s="30"/>
      <c r="R52" s="30">
        <v>0</v>
      </c>
      <c r="S52" s="30">
        <v>0</v>
      </c>
      <c r="T52" s="30"/>
      <c r="U52" s="30">
        <v>0</v>
      </c>
      <c r="V52" s="31">
        <v>0</v>
      </c>
    </row>
    <row r="53" spans="1:22">
      <c r="A53" s="1" t="s">
        <v>74</v>
      </c>
      <c r="B53" s="29">
        <v>-393138.44037015084</v>
      </c>
      <c r="C53" s="30">
        <v>-78227.805050697643</v>
      </c>
      <c r="D53" s="30">
        <v>0</v>
      </c>
      <c r="E53" s="30">
        <v>0</v>
      </c>
      <c r="F53" s="30">
        <v>0</v>
      </c>
      <c r="G53" s="31">
        <f>SUM(VA_FINANCIAL)</f>
        <v>-471366.24542084849</v>
      </c>
      <c r="H53" s="30"/>
      <c r="I53" s="30"/>
      <c r="J53" s="30"/>
      <c r="K53" s="30"/>
      <c r="L53" s="29">
        <v>2275289</v>
      </c>
      <c r="M53" s="30">
        <v>2486497</v>
      </c>
      <c r="N53" s="30"/>
      <c r="O53" s="30">
        <v>225549</v>
      </c>
      <c r="P53" s="30">
        <v>26203</v>
      </c>
      <c r="Q53" s="30"/>
      <c r="R53" s="30">
        <v>38720</v>
      </c>
      <c r="S53" s="30">
        <v>37000</v>
      </c>
      <c r="T53" s="30"/>
      <c r="U53" s="30">
        <v>0</v>
      </c>
      <c r="V53" s="31">
        <v>0</v>
      </c>
    </row>
    <row r="54" spans="1:22">
      <c r="A54" s="1" t="s">
        <v>75</v>
      </c>
      <c r="B54" s="29">
        <v>-661140.03586302139</v>
      </c>
      <c r="C54" s="30">
        <v>23751.959375209932</v>
      </c>
      <c r="D54" s="30">
        <v>0</v>
      </c>
      <c r="E54" s="30">
        <v>0</v>
      </c>
      <c r="F54" s="30">
        <v>0</v>
      </c>
      <c r="G54" s="31">
        <f>SUM(WA_FINANCIAL)</f>
        <v>-637388.07648781152</v>
      </c>
      <c r="H54" s="30"/>
      <c r="I54" s="30"/>
      <c r="J54" s="30"/>
      <c r="K54" s="30"/>
      <c r="L54" s="29">
        <v>8284000</v>
      </c>
      <c r="M54" s="30">
        <v>8100000</v>
      </c>
      <c r="N54" s="30"/>
      <c r="O54" s="30">
        <v>385000</v>
      </c>
      <c r="P54" s="30">
        <v>0</v>
      </c>
      <c r="Q54" s="30"/>
      <c r="R54" s="30">
        <v>0</v>
      </c>
      <c r="S54" s="30">
        <v>0</v>
      </c>
      <c r="T54" s="30"/>
      <c r="U54" s="30">
        <v>0</v>
      </c>
      <c r="V54" s="31">
        <v>0</v>
      </c>
    </row>
    <row r="55" spans="1:22">
      <c r="A55" s="1" t="s">
        <v>76</v>
      </c>
      <c r="B55" s="29">
        <v>-166976.67762263305</v>
      </c>
      <c r="C55" s="30">
        <v>5488.4104744430515</v>
      </c>
      <c r="D55" s="30">
        <v>0</v>
      </c>
      <c r="E55" s="30">
        <v>0</v>
      </c>
      <c r="F55" s="30">
        <v>0</v>
      </c>
      <c r="G55" s="31">
        <f>SUM(WV_FINANCIAL)</f>
        <v>-161488.26714819</v>
      </c>
      <c r="H55" s="30"/>
      <c r="I55" s="30"/>
      <c r="J55" s="30"/>
      <c r="K55" s="30"/>
      <c r="L55" s="29">
        <v>1941321</v>
      </c>
      <c r="M55" s="30">
        <v>2453052</v>
      </c>
      <c r="N55" s="30"/>
      <c r="O55" s="30">
        <v>293679</v>
      </c>
      <c r="P55" s="30">
        <v>342842</v>
      </c>
      <c r="Q55" s="30"/>
      <c r="R55" s="30">
        <v>0</v>
      </c>
      <c r="S55" s="30">
        <v>26</v>
      </c>
      <c r="T55" s="30"/>
      <c r="U55" s="30">
        <v>0</v>
      </c>
      <c r="V55" s="31">
        <v>0</v>
      </c>
    </row>
    <row r="56" spans="1:22">
      <c r="A56" s="1" t="s">
        <v>77</v>
      </c>
      <c r="B56" s="29">
        <v>-214135.48902724078</v>
      </c>
      <c r="C56" s="30">
        <v>-2508.1168325306571</v>
      </c>
      <c r="D56" s="30">
        <v>0</v>
      </c>
      <c r="E56" s="30">
        <v>0</v>
      </c>
      <c r="F56" s="30">
        <v>0</v>
      </c>
      <c r="G56" s="31">
        <f>SUM(WI_FINANCIAL)</f>
        <v>-216643.60585977143</v>
      </c>
      <c r="H56" s="30"/>
      <c r="I56" s="30"/>
      <c r="J56" s="30"/>
      <c r="K56" s="30"/>
      <c r="L56" s="29"/>
      <c r="M56" s="30"/>
      <c r="N56" s="30"/>
      <c r="O56" s="30"/>
      <c r="P56" s="30"/>
      <c r="Q56" s="30"/>
      <c r="R56" s="30"/>
      <c r="S56" s="30"/>
      <c r="T56" s="30"/>
      <c r="U56" s="30"/>
      <c r="V56" s="31"/>
    </row>
    <row r="57" spans="1:22">
      <c r="A57" s="1" t="s">
        <v>78</v>
      </c>
      <c r="B57" s="29">
        <v>-19653.392962780898</v>
      </c>
      <c r="C57" s="30">
        <v>-9385.4296371706732</v>
      </c>
      <c r="D57" s="30">
        <v>0</v>
      </c>
      <c r="E57" s="30">
        <v>0</v>
      </c>
      <c r="F57" s="30">
        <v>0</v>
      </c>
      <c r="G57" s="31">
        <f>SUM(WY_FINANCIAL)</f>
        <v>-29038.822599951571</v>
      </c>
      <c r="H57" s="30"/>
      <c r="I57" s="30"/>
      <c r="J57" s="30"/>
      <c r="K57" s="30"/>
      <c r="L57" s="29">
        <v>182226</v>
      </c>
      <c r="M57" s="30">
        <v>282636</v>
      </c>
      <c r="N57" s="30"/>
      <c r="O57" s="30">
        <v>67454</v>
      </c>
      <c r="P57" s="30">
        <v>104537</v>
      </c>
      <c r="Q57" s="30"/>
      <c r="R57" s="30">
        <v>0</v>
      </c>
      <c r="S57" s="30">
        <v>0</v>
      </c>
      <c r="T57" s="30"/>
      <c r="U57" s="30">
        <v>0</v>
      </c>
      <c r="V57" s="31">
        <v>0</v>
      </c>
    </row>
    <row r="58" spans="1:22">
      <c r="A58" s="1" t="s">
        <v>79</v>
      </c>
      <c r="B58" s="29">
        <v>0</v>
      </c>
      <c r="C58" s="30">
        <v>0</v>
      </c>
      <c r="D58" s="30">
        <v>0</v>
      </c>
      <c r="E58" s="30">
        <v>0</v>
      </c>
      <c r="F58" s="30">
        <v>0</v>
      </c>
      <c r="G58" s="31">
        <f>SUM(OT_FINANCIAL)</f>
        <v>0</v>
      </c>
      <c r="H58" s="30"/>
      <c r="I58" s="30"/>
      <c r="J58" s="30"/>
      <c r="K58" s="30"/>
      <c r="L58" s="29"/>
      <c r="M58" s="30"/>
      <c r="N58" s="30"/>
      <c r="O58" s="30"/>
      <c r="P58" s="30"/>
      <c r="Q58" s="30"/>
      <c r="R58" s="30"/>
      <c r="S58" s="30"/>
      <c r="T58" s="30"/>
      <c r="U58" s="30"/>
      <c r="V58" s="31"/>
    </row>
    <row r="59" spans="1:22">
      <c r="B59" s="29"/>
      <c r="C59" s="30"/>
      <c r="D59" s="30"/>
      <c r="E59" s="30"/>
      <c r="F59" s="30"/>
      <c r="G59" s="31"/>
      <c r="H59" s="30"/>
      <c r="I59" s="30"/>
      <c r="J59" s="30"/>
      <c r="K59" s="30"/>
      <c r="L59" s="29"/>
      <c r="M59" s="30"/>
      <c r="N59" s="30"/>
      <c r="O59" s="30"/>
      <c r="P59" s="30"/>
      <c r="Q59" s="30"/>
      <c r="R59" s="30"/>
      <c r="S59" s="30"/>
      <c r="T59" s="30"/>
      <c r="U59" s="30"/>
      <c r="V59" s="31"/>
    </row>
    <row r="60" spans="1:22">
      <c r="A60" s="1" t="s">
        <v>8</v>
      </c>
      <c r="B60" s="29">
        <f>SUM(LIFE)</f>
        <v>-12441718.913903382</v>
      </c>
      <c r="C60" s="30">
        <f>SUM(ALLOCATED)</f>
        <v>-59570.761363521255</v>
      </c>
      <c r="D60" s="30">
        <f>SUM(HEALTH)</f>
        <v>0</v>
      </c>
      <c r="E60" s="30">
        <f>SUM(UNALLOCATED)</f>
        <v>0</v>
      </c>
      <c r="F60" s="30">
        <f>SUM(LTC)</f>
        <v>0</v>
      </c>
      <c r="G60" s="31">
        <f>SUM(ALL_BLOCKS)</f>
        <v>-12501289.675266903</v>
      </c>
      <c r="H60" s="30"/>
      <c r="I60" s="30"/>
      <c r="J60" s="30"/>
      <c r="K60" s="30"/>
      <c r="L60" s="29">
        <f>SUM(LIFE_CALLED)</f>
        <v>122437040</v>
      </c>
      <c r="M60" s="30">
        <f>SUM(LIFE_REFUNDED)</f>
        <v>92956402.418200001</v>
      </c>
      <c r="N60" s="30"/>
      <c r="O60" s="30">
        <f>SUM(ALLOC_CALLED)</f>
        <v>13028405</v>
      </c>
      <c r="P60" s="30">
        <f>SUM(ALLOC_REFUNDED)</f>
        <v>7287007.0312000001</v>
      </c>
      <c r="Q60" s="30"/>
      <c r="R60" s="30">
        <f>SUM(HEALTH_CALLED)</f>
        <v>141544</v>
      </c>
      <c r="S60" s="30">
        <f>SUM(HEALTH_REFUNDED)</f>
        <v>161507.8406</v>
      </c>
      <c r="T60" s="30"/>
      <c r="U60" s="30">
        <f>SUM(UNALLOC_CALLED)</f>
        <v>0</v>
      </c>
      <c r="V60" s="31">
        <f>SUM(UNALLOC_REFUNDED)</f>
        <v>0</v>
      </c>
    </row>
    <row r="61" spans="1:22" ht="5.0999999999999996" customHeight="1">
      <c r="B61" s="8"/>
      <c r="G61" s="11"/>
      <c r="L61" s="8"/>
      <c r="V61" s="11"/>
    </row>
    <row r="62" spans="1:22">
      <c r="B62" s="8"/>
      <c r="G62" s="11"/>
      <c r="L62" s="122" t="s">
        <v>80</v>
      </c>
      <c r="M62" s="123"/>
      <c r="N62" s="123"/>
      <c r="O62" s="123"/>
      <c r="P62" s="123"/>
      <c r="Q62" s="123"/>
      <c r="R62" s="123"/>
      <c r="S62" s="123"/>
      <c r="T62" s="123"/>
      <c r="U62" s="123"/>
      <c r="V62" s="124"/>
    </row>
    <row r="63" spans="1:22">
      <c r="B63" s="8"/>
      <c r="G63" s="11"/>
      <c r="L63" s="125"/>
      <c r="M63" s="123"/>
      <c r="N63" s="123"/>
      <c r="O63" s="123"/>
      <c r="P63" s="123"/>
      <c r="Q63" s="123"/>
      <c r="R63" s="123"/>
      <c r="S63" s="123"/>
      <c r="T63" s="123"/>
      <c r="U63" s="123"/>
      <c r="V63" s="124"/>
    </row>
    <row r="64" spans="1:22">
      <c r="B64" s="10"/>
      <c r="C64" s="7"/>
      <c r="D64" s="7"/>
      <c r="E64" s="7"/>
      <c r="F64" s="7"/>
      <c r="G64" s="13"/>
      <c r="L64" s="126"/>
      <c r="M64" s="127"/>
      <c r="N64" s="127"/>
      <c r="O64" s="127"/>
      <c r="P64" s="127"/>
      <c r="Q64" s="127"/>
      <c r="R64" s="127"/>
      <c r="S64" s="127"/>
      <c r="T64" s="127"/>
      <c r="U64" s="127"/>
      <c r="V64" s="128"/>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pageSetUpPr fitToPage="1"/>
  </sheetPr>
  <dimension ref="A1:V64"/>
  <sheetViews>
    <sheetView zoomScale="75" workbookViewId="0">
      <selection sqref="A1:XFD1048576"/>
    </sheetView>
  </sheetViews>
  <sheetFormatPr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129" t="s">
        <v>131</v>
      </c>
      <c r="B1" s="123"/>
      <c r="C1" s="123"/>
      <c r="D1" s="123"/>
      <c r="E1" s="123"/>
      <c r="F1" s="123"/>
      <c r="G1" s="123"/>
    </row>
    <row r="3" spans="1:22">
      <c r="B3" s="130" t="s">
        <v>1</v>
      </c>
      <c r="C3" s="131"/>
      <c r="D3" s="131"/>
      <c r="E3" s="131"/>
      <c r="F3" s="131"/>
      <c r="G3" s="132"/>
      <c r="L3" s="133" t="s">
        <v>2</v>
      </c>
      <c r="M3" s="134"/>
      <c r="N3" s="134"/>
      <c r="O3" s="134"/>
      <c r="P3" s="134"/>
      <c r="Q3" s="134"/>
      <c r="R3" s="134"/>
      <c r="S3" s="134"/>
      <c r="T3" s="134"/>
      <c r="U3" s="134"/>
      <c r="V3" s="135"/>
    </row>
    <row r="4" spans="1:22">
      <c r="B4" s="8"/>
      <c r="G4" s="11"/>
      <c r="L4" s="136" t="s">
        <v>3</v>
      </c>
      <c r="M4" s="137"/>
      <c r="N4" s="4"/>
      <c r="O4" s="138" t="s">
        <v>4</v>
      </c>
      <c r="P4" s="137"/>
      <c r="Q4" s="4"/>
      <c r="R4" s="138" t="s">
        <v>5</v>
      </c>
      <c r="S4" s="137"/>
      <c r="T4" s="4"/>
      <c r="U4" s="138" t="s">
        <v>6</v>
      </c>
      <c r="V4" s="139"/>
    </row>
    <row r="5" spans="1:22" ht="60" customHeight="1">
      <c r="B5" s="9" t="s">
        <v>3</v>
      </c>
      <c r="C5" s="5" t="s">
        <v>4</v>
      </c>
      <c r="D5" s="5" t="s">
        <v>5</v>
      </c>
      <c r="E5" s="5" t="s">
        <v>6</v>
      </c>
      <c r="F5" s="5" t="s">
        <v>7</v>
      </c>
      <c r="G5" s="12" t="s">
        <v>8</v>
      </c>
      <c r="L5" s="15" t="s">
        <v>9</v>
      </c>
      <c r="M5" s="14" t="s">
        <v>10</v>
      </c>
      <c r="N5" s="14"/>
      <c r="O5" s="14" t="s">
        <v>9</v>
      </c>
      <c r="P5" s="14" t="s">
        <v>10</v>
      </c>
      <c r="Q5" s="14"/>
      <c r="R5" s="14" t="s">
        <v>9</v>
      </c>
      <c r="S5" s="14" t="s">
        <v>10</v>
      </c>
      <c r="T5" s="14"/>
      <c r="U5" s="14" t="s">
        <v>9</v>
      </c>
      <c r="V5" s="16" t="s">
        <v>10</v>
      </c>
    </row>
    <row r="6" spans="1:22">
      <c r="A6" s="1" t="s">
        <v>11</v>
      </c>
      <c r="B6" s="29">
        <v>0</v>
      </c>
      <c r="C6" s="30">
        <v>0</v>
      </c>
      <c r="D6" s="30">
        <v>0</v>
      </c>
      <c r="E6" s="30">
        <v>0</v>
      </c>
      <c r="F6" s="30">
        <v>0</v>
      </c>
      <c r="G6" s="31">
        <f>SUM(AL_FINANCIAL)</f>
        <v>0</v>
      </c>
      <c r="H6" s="30"/>
      <c r="I6" s="30"/>
      <c r="J6" s="30"/>
      <c r="K6" s="30"/>
      <c r="L6" s="29"/>
      <c r="M6" s="30"/>
      <c r="N6" s="30"/>
      <c r="O6" s="30"/>
      <c r="P6" s="30"/>
      <c r="Q6" s="30"/>
      <c r="R6" s="30"/>
      <c r="S6" s="30"/>
      <c r="T6" s="30"/>
      <c r="U6" s="30"/>
      <c r="V6" s="31"/>
    </row>
    <row r="7" spans="1:22">
      <c r="A7" s="1" t="s">
        <v>12</v>
      </c>
      <c r="B7" s="29">
        <v>0</v>
      </c>
      <c r="C7" s="30">
        <v>0</v>
      </c>
      <c r="D7" s="30">
        <v>0</v>
      </c>
      <c r="E7" s="30">
        <v>0</v>
      </c>
      <c r="F7" s="30">
        <v>0</v>
      </c>
      <c r="G7" s="31">
        <f>SUM(AK_FINANCIAL)</f>
        <v>0</v>
      </c>
      <c r="H7" s="30"/>
      <c r="I7" s="32"/>
      <c r="J7" s="33"/>
      <c r="K7" s="30"/>
      <c r="L7" s="29"/>
      <c r="M7" s="30"/>
      <c r="N7" s="30"/>
      <c r="O7" s="30"/>
      <c r="P7" s="30"/>
      <c r="Q7" s="30"/>
      <c r="R7" s="30"/>
      <c r="S7" s="30"/>
      <c r="T7" s="30"/>
      <c r="U7" s="30"/>
      <c r="V7" s="31"/>
    </row>
    <row r="8" spans="1:22">
      <c r="A8" s="1" t="s">
        <v>13</v>
      </c>
      <c r="B8" s="29">
        <v>0</v>
      </c>
      <c r="C8" s="30">
        <v>0</v>
      </c>
      <c r="D8" s="30">
        <v>0</v>
      </c>
      <c r="E8" s="30">
        <v>0</v>
      </c>
      <c r="F8" s="30">
        <v>0</v>
      </c>
      <c r="G8" s="31">
        <f>SUM(AZ_FINANCIAL)</f>
        <v>0</v>
      </c>
      <c r="H8" s="30"/>
      <c r="I8" s="34" t="s">
        <v>14</v>
      </c>
      <c r="J8" s="35"/>
      <c r="K8" s="30"/>
      <c r="L8" s="29"/>
      <c r="M8" s="30"/>
      <c r="N8" s="30"/>
      <c r="O8" s="30"/>
      <c r="P8" s="30"/>
      <c r="Q8" s="30"/>
      <c r="R8" s="30"/>
      <c r="S8" s="30"/>
      <c r="T8" s="30"/>
      <c r="U8" s="30"/>
      <c r="V8" s="31"/>
    </row>
    <row r="9" spans="1:22">
      <c r="A9" s="1" t="s">
        <v>15</v>
      </c>
      <c r="B9" s="29">
        <v>0</v>
      </c>
      <c r="C9" s="30">
        <v>0</v>
      </c>
      <c r="D9" s="30">
        <v>0</v>
      </c>
      <c r="E9" s="30">
        <v>0</v>
      </c>
      <c r="F9" s="30">
        <v>0</v>
      </c>
      <c r="G9" s="31">
        <f>SUM(AR_FINANCIAL)</f>
        <v>0</v>
      </c>
      <c r="H9" s="30"/>
      <c r="I9" s="34"/>
      <c r="J9" s="35"/>
      <c r="K9" s="30"/>
      <c r="L9" s="29"/>
      <c r="M9" s="30"/>
      <c r="N9" s="30"/>
      <c r="O9" s="30"/>
      <c r="P9" s="30"/>
      <c r="Q9" s="30"/>
      <c r="R9" s="30"/>
      <c r="S9" s="30"/>
      <c r="T9" s="30"/>
      <c r="U9" s="30"/>
      <c r="V9" s="31"/>
    </row>
    <row r="10" spans="1:22">
      <c r="A10" s="1" t="s">
        <v>16</v>
      </c>
      <c r="B10" s="29">
        <v>0</v>
      </c>
      <c r="C10" s="30">
        <v>0</v>
      </c>
      <c r="D10" s="30">
        <v>0</v>
      </c>
      <c r="E10" s="30">
        <v>0</v>
      </c>
      <c r="F10" s="30">
        <v>0</v>
      </c>
      <c r="G10" s="31">
        <f>SUM(CA_FINANCIAL)</f>
        <v>0</v>
      </c>
      <c r="H10" s="30"/>
      <c r="I10" s="34" t="s">
        <v>17</v>
      </c>
      <c r="J10" s="35">
        <v>46062952</v>
      </c>
      <c r="K10" s="30"/>
      <c r="L10" s="29"/>
      <c r="M10" s="30"/>
      <c r="N10" s="30"/>
      <c r="O10" s="30"/>
      <c r="P10" s="30"/>
      <c r="Q10" s="30"/>
      <c r="R10" s="30"/>
      <c r="S10" s="30"/>
      <c r="T10" s="30"/>
      <c r="U10" s="30"/>
      <c r="V10" s="31"/>
    </row>
    <row r="11" spans="1:22">
      <c r="A11" s="1" t="s">
        <v>18</v>
      </c>
      <c r="B11" s="29">
        <v>0</v>
      </c>
      <c r="C11" s="30">
        <v>0</v>
      </c>
      <c r="D11" s="30">
        <v>0</v>
      </c>
      <c r="E11" s="30">
        <v>0</v>
      </c>
      <c r="F11" s="30">
        <v>0</v>
      </c>
      <c r="G11" s="31">
        <f>SUM(CO_FINANCIAL)</f>
        <v>0</v>
      </c>
      <c r="H11" s="30"/>
      <c r="I11" s="34"/>
      <c r="J11" s="35"/>
      <c r="K11" s="30"/>
      <c r="L11" s="29"/>
      <c r="M11" s="30"/>
      <c r="N11" s="30"/>
      <c r="O11" s="30"/>
      <c r="P11" s="30"/>
      <c r="Q11" s="30"/>
      <c r="R11" s="30"/>
      <c r="S11" s="30"/>
      <c r="T11" s="30"/>
      <c r="U11" s="30"/>
      <c r="V11" s="31"/>
    </row>
    <row r="12" spans="1:22">
      <c r="A12" s="1" t="s">
        <v>19</v>
      </c>
      <c r="B12" s="29">
        <v>0</v>
      </c>
      <c r="C12" s="30">
        <v>0</v>
      </c>
      <c r="D12" s="30">
        <v>0</v>
      </c>
      <c r="E12" s="30">
        <v>0</v>
      </c>
      <c r="F12" s="30">
        <v>0</v>
      </c>
      <c r="G12" s="31">
        <f>SUM(CT_FINANCIAL)</f>
        <v>0</v>
      </c>
      <c r="H12" s="30"/>
      <c r="I12" s="34" t="s">
        <v>20</v>
      </c>
      <c r="J12" s="35"/>
      <c r="K12" s="30"/>
      <c r="L12" s="29"/>
      <c r="M12" s="30"/>
      <c r="N12" s="30"/>
      <c r="O12" s="30"/>
      <c r="P12" s="30"/>
      <c r="Q12" s="30"/>
      <c r="R12" s="30"/>
      <c r="S12" s="30"/>
      <c r="T12" s="30"/>
      <c r="U12" s="30"/>
      <c r="V12" s="31"/>
    </row>
    <row r="13" spans="1:22">
      <c r="A13" s="1" t="s">
        <v>21</v>
      </c>
      <c r="B13" s="29">
        <v>0</v>
      </c>
      <c r="C13" s="30">
        <v>0</v>
      </c>
      <c r="D13" s="30">
        <v>0</v>
      </c>
      <c r="E13" s="30">
        <v>0</v>
      </c>
      <c r="F13" s="30">
        <v>0</v>
      </c>
      <c r="G13" s="31">
        <f>SUM(DE_FINANCIAL)</f>
        <v>0</v>
      </c>
      <c r="H13" s="30"/>
      <c r="I13" s="34" t="s">
        <v>22</v>
      </c>
      <c r="J13" s="35">
        <v>48632182</v>
      </c>
      <c r="K13" s="30"/>
      <c r="L13" s="29"/>
      <c r="M13" s="30"/>
      <c r="N13" s="30"/>
      <c r="O13" s="30"/>
      <c r="P13" s="30"/>
      <c r="Q13" s="30"/>
      <c r="R13" s="30"/>
      <c r="S13" s="30"/>
      <c r="T13" s="30"/>
      <c r="U13" s="30"/>
      <c r="V13" s="31"/>
    </row>
    <row r="14" spans="1:22">
      <c r="A14" s="1" t="s">
        <v>23</v>
      </c>
      <c r="B14" s="29">
        <v>0</v>
      </c>
      <c r="C14" s="30">
        <v>0</v>
      </c>
      <c r="D14" s="30">
        <v>0</v>
      </c>
      <c r="E14" s="30">
        <v>0</v>
      </c>
      <c r="F14" s="30">
        <v>0</v>
      </c>
      <c r="G14" s="31">
        <f>SUM(DC_FINANCIAL)</f>
        <v>0</v>
      </c>
      <c r="H14" s="30"/>
      <c r="I14" s="34" t="s">
        <v>24</v>
      </c>
      <c r="J14" s="35">
        <v>6829875</v>
      </c>
      <c r="K14" s="30"/>
      <c r="L14" s="29"/>
      <c r="M14" s="30"/>
      <c r="N14" s="30"/>
      <c r="O14" s="30"/>
      <c r="P14" s="30"/>
      <c r="Q14" s="30"/>
      <c r="R14" s="30"/>
      <c r="S14" s="30"/>
      <c r="T14" s="30"/>
      <c r="U14" s="30"/>
      <c r="V14" s="31"/>
    </row>
    <row r="15" spans="1:22">
      <c r="A15" s="1" t="s">
        <v>25</v>
      </c>
      <c r="B15" s="29">
        <v>0</v>
      </c>
      <c r="C15" s="30">
        <v>0</v>
      </c>
      <c r="D15" s="30">
        <v>0</v>
      </c>
      <c r="E15" s="30">
        <v>0</v>
      </c>
      <c r="F15" s="30">
        <v>0</v>
      </c>
      <c r="G15" s="31">
        <f>SUM(FL_FINANCIAL)</f>
        <v>0</v>
      </c>
      <c r="H15" s="30"/>
      <c r="I15" s="34" t="s">
        <v>26</v>
      </c>
      <c r="J15" s="35">
        <v>0</v>
      </c>
      <c r="K15" s="30"/>
      <c r="L15" s="29"/>
      <c r="M15" s="30"/>
      <c r="N15" s="30"/>
      <c r="O15" s="30"/>
      <c r="P15" s="30"/>
      <c r="Q15" s="30"/>
      <c r="R15" s="30"/>
      <c r="S15" s="30"/>
      <c r="T15" s="30"/>
      <c r="U15" s="30"/>
      <c r="V15" s="31"/>
    </row>
    <row r="16" spans="1:22">
      <c r="A16" s="1" t="s">
        <v>27</v>
      </c>
      <c r="B16" s="29">
        <v>0</v>
      </c>
      <c r="C16" s="30">
        <v>0</v>
      </c>
      <c r="D16" s="30">
        <v>0</v>
      </c>
      <c r="E16" s="30">
        <v>0</v>
      </c>
      <c r="F16" s="30">
        <v>0</v>
      </c>
      <c r="G16" s="31">
        <f>SUM(GA_FINANCIAL)</f>
        <v>0</v>
      </c>
      <c r="H16" s="30"/>
      <c r="I16" s="34" t="s">
        <v>28</v>
      </c>
      <c r="J16" s="35">
        <v>0</v>
      </c>
      <c r="K16" s="30"/>
      <c r="L16" s="29"/>
      <c r="M16" s="30"/>
      <c r="N16" s="30"/>
      <c r="O16" s="30"/>
      <c r="P16" s="30"/>
      <c r="Q16" s="30"/>
      <c r="R16" s="30"/>
      <c r="S16" s="30"/>
      <c r="T16" s="30"/>
      <c r="U16" s="30"/>
      <c r="V16" s="31"/>
    </row>
    <row r="17" spans="1:22">
      <c r="A17" s="1" t="s">
        <v>29</v>
      </c>
      <c r="B17" s="29">
        <v>0</v>
      </c>
      <c r="C17" s="30">
        <v>0</v>
      </c>
      <c r="D17" s="30">
        <v>0</v>
      </c>
      <c r="E17" s="30">
        <v>0</v>
      </c>
      <c r="F17" s="30">
        <v>0</v>
      </c>
      <c r="G17" s="31">
        <f>SUM(HI_FINANCIAL)</f>
        <v>0</v>
      </c>
      <c r="H17" s="30"/>
      <c r="I17" s="34"/>
      <c r="J17" s="35"/>
      <c r="K17" s="30"/>
      <c r="L17" s="29"/>
      <c r="M17" s="30"/>
      <c r="N17" s="30"/>
      <c r="O17" s="30"/>
      <c r="P17" s="30"/>
      <c r="Q17" s="30"/>
      <c r="R17" s="30"/>
      <c r="S17" s="30"/>
      <c r="T17" s="30"/>
      <c r="U17" s="30"/>
      <c r="V17" s="31"/>
    </row>
    <row r="18" spans="1:22">
      <c r="A18" s="1" t="s">
        <v>30</v>
      </c>
      <c r="B18" s="29">
        <v>0</v>
      </c>
      <c r="C18" s="30">
        <v>0</v>
      </c>
      <c r="D18" s="30">
        <v>0</v>
      </c>
      <c r="E18" s="30">
        <v>0</v>
      </c>
      <c r="F18" s="30">
        <v>0</v>
      </c>
      <c r="G18" s="31">
        <f>SUM(ID_FINANCIAL)</f>
        <v>0</v>
      </c>
      <c r="H18" s="30"/>
      <c r="I18" s="34" t="s">
        <v>31</v>
      </c>
      <c r="J18" s="35"/>
      <c r="K18" s="30"/>
      <c r="L18" s="29"/>
      <c r="M18" s="30"/>
      <c r="N18" s="30"/>
      <c r="O18" s="30"/>
      <c r="P18" s="30"/>
      <c r="Q18" s="30"/>
      <c r="R18" s="30"/>
      <c r="S18" s="30"/>
      <c r="T18" s="30"/>
      <c r="U18" s="30"/>
      <c r="V18" s="31"/>
    </row>
    <row r="19" spans="1:22">
      <c r="A19" s="1" t="s">
        <v>32</v>
      </c>
      <c r="B19" s="29">
        <v>0</v>
      </c>
      <c r="C19" s="30">
        <v>0</v>
      </c>
      <c r="D19" s="30">
        <v>9776890</v>
      </c>
      <c r="E19" s="30">
        <v>0</v>
      </c>
      <c r="F19" s="30">
        <v>0</v>
      </c>
      <c r="G19" s="31">
        <f>SUM(IL_FINANCIAL)</f>
        <v>9776890</v>
      </c>
      <c r="H19" s="30"/>
      <c r="I19" s="34" t="s">
        <v>33</v>
      </c>
      <c r="J19" s="35">
        <v>0</v>
      </c>
      <c r="K19" s="30"/>
      <c r="L19" s="29">
        <v>0</v>
      </c>
      <c r="M19" s="30">
        <v>0</v>
      </c>
      <c r="N19" s="30"/>
      <c r="O19" s="30">
        <v>0</v>
      </c>
      <c r="P19" s="30">
        <v>0</v>
      </c>
      <c r="Q19" s="30"/>
      <c r="R19" s="30">
        <v>40000000</v>
      </c>
      <c r="S19" s="30">
        <v>0</v>
      </c>
      <c r="T19" s="30"/>
      <c r="U19" s="30">
        <v>0</v>
      </c>
      <c r="V19" s="31">
        <v>0</v>
      </c>
    </row>
    <row r="20" spans="1:22">
      <c r="A20" s="1" t="s">
        <v>34</v>
      </c>
      <c r="B20" s="29">
        <v>0</v>
      </c>
      <c r="C20" s="30">
        <v>0</v>
      </c>
      <c r="D20" s="30">
        <v>0</v>
      </c>
      <c r="E20" s="30">
        <v>0</v>
      </c>
      <c r="F20" s="30">
        <v>0</v>
      </c>
      <c r="G20" s="31">
        <f>SUM(IN_FINANCIAL)</f>
        <v>0</v>
      </c>
      <c r="H20" s="30"/>
      <c r="I20" s="34" t="s">
        <v>35</v>
      </c>
      <c r="J20" s="35">
        <v>46062952</v>
      </c>
      <c r="K20" s="30"/>
      <c r="L20" s="29"/>
      <c r="M20" s="30"/>
      <c r="N20" s="30"/>
      <c r="O20" s="30"/>
      <c r="P20" s="30"/>
      <c r="Q20" s="30"/>
      <c r="R20" s="30"/>
      <c r="S20" s="30"/>
      <c r="T20" s="30"/>
      <c r="U20" s="30"/>
      <c r="V20" s="31"/>
    </row>
    <row r="21" spans="1:22">
      <c r="A21" s="1" t="s">
        <v>36</v>
      </c>
      <c r="B21" s="29">
        <v>0</v>
      </c>
      <c r="C21" s="30">
        <v>0</v>
      </c>
      <c r="D21" s="30">
        <v>0</v>
      </c>
      <c r="E21" s="30">
        <v>0</v>
      </c>
      <c r="F21" s="30">
        <v>0</v>
      </c>
      <c r="G21" s="31">
        <f>SUM(IA_FINANCIAL)</f>
        <v>0</v>
      </c>
      <c r="H21" s="30"/>
      <c r="I21" s="34" t="s">
        <v>37</v>
      </c>
      <c r="J21" s="35"/>
      <c r="K21" s="30"/>
      <c r="L21" s="29"/>
      <c r="M21" s="30"/>
      <c r="N21" s="30"/>
      <c r="O21" s="30"/>
      <c r="P21" s="30"/>
      <c r="Q21" s="30"/>
      <c r="R21" s="30"/>
      <c r="S21" s="30"/>
      <c r="T21" s="30"/>
      <c r="U21" s="30"/>
      <c r="V21" s="31"/>
    </row>
    <row r="22" spans="1:22">
      <c r="A22" s="1" t="s">
        <v>38</v>
      </c>
      <c r="B22" s="29">
        <v>0</v>
      </c>
      <c r="C22" s="30">
        <v>0</v>
      </c>
      <c r="D22" s="30">
        <v>0</v>
      </c>
      <c r="E22" s="30">
        <v>0</v>
      </c>
      <c r="F22" s="30">
        <v>0</v>
      </c>
      <c r="G22" s="31">
        <f>SUM(KS_FINANCIAL)</f>
        <v>0</v>
      </c>
      <c r="H22" s="30"/>
      <c r="I22" s="34" t="s">
        <v>39</v>
      </c>
      <c r="J22" s="35">
        <v>0</v>
      </c>
      <c r="K22" s="30"/>
      <c r="L22" s="29"/>
      <c r="M22" s="30"/>
      <c r="N22" s="30"/>
      <c r="O22" s="30"/>
      <c r="P22" s="30"/>
      <c r="Q22" s="30"/>
      <c r="R22" s="30"/>
      <c r="S22" s="30"/>
      <c r="T22" s="30"/>
      <c r="U22" s="30"/>
      <c r="V22" s="31"/>
    </row>
    <row r="23" spans="1:22">
      <c r="A23" s="1" t="s">
        <v>40</v>
      </c>
      <c r="B23" s="29">
        <v>0</v>
      </c>
      <c r="C23" s="30">
        <v>0</v>
      </c>
      <c r="D23" s="30">
        <v>0</v>
      </c>
      <c r="E23" s="30">
        <v>0</v>
      </c>
      <c r="F23" s="30">
        <v>0</v>
      </c>
      <c r="G23" s="31">
        <f>SUM(KY_FINANCIAL)</f>
        <v>0</v>
      </c>
      <c r="H23" s="30"/>
      <c r="I23" s="34" t="s">
        <v>41</v>
      </c>
      <c r="J23" s="35"/>
      <c r="K23" s="30"/>
      <c r="L23" s="29"/>
      <c r="M23" s="30"/>
      <c r="N23" s="30"/>
      <c r="O23" s="30"/>
      <c r="P23" s="30"/>
      <c r="Q23" s="30"/>
      <c r="R23" s="30"/>
      <c r="S23" s="30"/>
      <c r="T23" s="30"/>
      <c r="U23" s="30"/>
      <c r="V23" s="31"/>
    </row>
    <row r="24" spans="1:22">
      <c r="A24" s="1" t="s">
        <v>42</v>
      </c>
      <c r="B24" s="29">
        <v>0</v>
      </c>
      <c r="C24" s="30">
        <v>0</v>
      </c>
      <c r="D24" s="30">
        <v>0</v>
      </c>
      <c r="E24" s="30">
        <v>0</v>
      </c>
      <c r="F24" s="30">
        <v>0</v>
      </c>
      <c r="G24" s="31">
        <f>SUM(LA_FINANCIAL)</f>
        <v>0</v>
      </c>
      <c r="H24" s="30"/>
      <c r="I24" s="34" t="s">
        <v>43</v>
      </c>
      <c r="J24" s="35">
        <v>45685167</v>
      </c>
      <c r="K24" s="30"/>
      <c r="L24" s="29"/>
      <c r="M24" s="30"/>
      <c r="N24" s="30"/>
      <c r="O24" s="30"/>
      <c r="P24" s="30"/>
      <c r="Q24" s="30"/>
      <c r="R24" s="30"/>
      <c r="S24" s="30"/>
      <c r="T24" s="30"/>
      <c r="U24" s="30"/>
      <c r="V24" s="31"/>
    </row>
    <row r="25" spans="1:22">
      <c r="A25" s="1" t="s">
        <v>44</v>
      </c>
      <c r="B25" s="29">
        <v>0</v>
      </c>
      <c r="C25" s="30">
        <v>0</v>
      </c>
      <c r="D25" s="30">
        <v>0</v>
      </c>
      <c r="E25" s="30">
        <v>0</v>
      </c>
      <c r="F25" s="30">
        <v>0</v>
      </c>
      <c r="G25" s="31">
        <f>SUM(ME_FINANCIAL)</f>
        <v>0</v>
      </c>
      <c r="H25" s="30"/>
      <c r="I25" s="34"/>
      <c r="J25" s="35"/>
      <c r="K25" s="30"/>
      <c r="L25" s="29"/>
      <c r="M25" s="30"/>
      <c r="N25" s="30"/>
      <c r="O25" s="30"/>
      <c r="P25" s="30"/>
      <c r="Q25" s="30"/>
      <c r="R25" s="30"/>
      <c r="S25" s="30"/>
      <c r="T25" s="30"/>
      <c r="U25" s="30"/>
      <c r="V25" s="31"/>
    </row>
    <row r="26" spans="1:22">
      <c r="A26" s="1" t="s">
        <v>45</v>
      </c>
      <c r="B26" s="29">
        <v>0</v>
      </c>
      <c r="C26" s="30">
        <v>0</v>
      </c>
      <c r="D26" s="30">
        <v>0</v>
      </c>
      <c r="E26" s="30">
        <v>0</v>
      </c>
      <c r="F26" s="30">
        <v>0</v>
      </c>
      <c r="G26" s="31">
        <f>SUM(MD_FINANCIAL)</f>
        <v>0</v>
      </c>
      <c r="H26" s="30"/>
      <c r="I26" s="34" t="s">
        <v>46</v>
      </c>
      <c r="J26" s="35">
        <f>SUM(ADD_FINANCIAL)-SUM(LESS_FINANCIAL)</f>
        <v>9776890</v>
      </c>
      <c r="K26" s="30"/>
      <c r="L26" s="29"/>
      <c r="M26" s="30"/>
      <c r="N26" s="30"/>
      <c r="O26" s="30"/>
      <c r="P26" s="30"/>
      <c r="Q26" s="30"/>
      <c r="R26" s="30"/>
      <c r="S26" s="30"/>
      <c r="T26" s="30"/>
      <c r="U26" s="30"/>
      <c r="V26" s="31"/>
    </row>
    <row r="27" spans="1:22">
      <c r="A27" s="1" t="s">
        <v>47</v>
      </c>
      <c r="B27" s="29">
        <v>0</v>
      </c>
      <c r="C27" s="30">
        <v>0</v>
      </c>
      <c r="D27" s="30">
        <v>0</v>
      </c>
      <c r="E27" s="30">
        <v>0</v>
      </c>
      <c r="F27" s="30">
        <v>0</v>
      </c>
      <c r="G27" s="31">
        <f>SUM(MA_FINANCIAL)</f>
        <v>0</v>
      </c>
      <c r="H27" s="30"/>
      <c r="I27" s="34" t="s">
        <v>48</v>
      </c>
      <c r="J27" s="35">
        <f>SUM(ALL_BLOCKS)</f>
        <v>9776890</v>
      </c>
      <c r="K27" s="30"/>
      <c r="L27" s="29"/>
      <c r="M27" s="30"/>
      <c r="N27" s="30"/>
      <c r="O27" s="30"/>
      <c r="P27" s="30"/>
      <c r="Q27" s="30"/>
      <c r="R27" s="30"/>
      <c r="S27" s="30"/>
      <c r="T27" s="30"/>
      <c r="U27" s="30"/>
      <c r="V27" s="31"/>
    </row>
    <row r="28" spans="1:22">
      <c r="A28" s="1" t="s">
        <v>49</v>
      </c>
      <c r="B28" s="29">
        <v>0</v>
      </c>
      <c r="C28" s="30">
        <v>0</v>
      </c>
      <c r="D28" s="30">
        <v>0</v>
      </c>
      <c r="E28" s="30">
        <v>0</v>
      </c>
      <c r="F28" s="30">
        <v>0</v>
      </c>
      <c r="G28" s="31">
        <f>SUM(MI_FINANCIAL)</f>
        <v>0</v>
      </c>
      <c r="H28" s="30"/>
      <c r="I28" s="36"/>
      <c r="J28" s="37"/>
      <c r="K28" s="30"/>
      <c r="L28" s="29"/>
      <c r="M28" s="30"/>
      <c r="N28" s="30"/>
      <c r="O28" s="30"/>
      <c r="P28" s="30"/>
      <c r="Q28" s="30"/>
      <c r="R28" s="30"/>
      <c r="S28" s="30"/>
      <c r="T28" s="30"/>
      <c r="U28" s="30"/>
      <c r="V28" s="31"/>
    </row>
    <row r="29" spans="1:22">
      <c r="A29" s="1" t="s">
        <v>50</v>
      </c>
      <c r="B29" s="29">
        <v>0</v>
      </c>
      <c r="C29" s="30">
        <v>0</v>
      </c>
      <c r="D29" s="30">
        <v>0</v>
      </c>
      <c r="E29" s="30">
        <v>0</v>
      </c>
      <c r="F29" s="30">
        <v>0</v>
      </c>
      <c r="G29" s="31">
        <f>SUM(MN_FINANCIAL)</f>
        <v>0</v>
      </c>
      <c r="H29" s="30"/>
      <c r="I29" s="30"/>
      <c r="J29" s="30"/>
      <c r="K29" s="30"/>
      <c r="L29" s="29"/>
      <c r="M29" s="30"/>
      <c r="N29" s="30"/>
      <c r="O29" s="30"/>
      <c r="P29" s="30"/>
      <c r="Q29" s="30"/>
      <c r="R29" s="30"/>
      <c r="S29" s="30"/>
      <c r="T29" s="30"/>
      <c r="U29" s="30"/>
      <c r="V29" s="31"/>
    </row>
    <row r="30" spans="1:22">
      <c r="A30" s="1" t="s">
        <v>51</v>
      </c>
      <c r="B30" s="29">
        <v>0</v>
      </c>
      <c r="C30" s="30">
        <v>0</v>
      </c>
      <c r="D30" s="30">
        <v>0</v>
      </c>
      <c r="E30" s="30">
        <v>0</v>
      </c>
      <c r="F30" s="30">
        <v>0</v>
      </c>
      <c r="G30" s="31">
        <f>SUM(MS_FINANCIAL)</f>
        <v>0</v>
      </c>
      <c r="H30" s="30"/>
      <c r="I30" s="30"/>
      <c r="J30" s="30"/>
      <c r="K30" s="30"/>
      <c r="L30" s="29"/>
      <c r="M30" s="30"/>
      <c r="N30" s="30"/>
      <c r="O30" s="30"/>
      <c r="P30" s="30"/>
      <c r="Q30" s="30"/>
      <c r="R30" s="30"/>
      <c r="S30" s="30"/>
      <c r="T30" s="30"/>
      <c r="U30" s="30"/>
      <c r="V30" s="31"/>
    </row>
    <row r="31" spans="1:22">
      <c r="A31" s="1" t="s">
        <v>52</v>
      </c>
      <c r="B31" s="29">
        <v>0</v>
      </c>
      <c r="C31" s="30">
        <v>0</v>
      </c>
      <c r="D31" s="30">
        <v>0</v>
      </c>
      <c r="E31" s="30">
        <v>0</v>
      </c>
      <c r="F31" s="30">
        <v>0</v>
      </c>
      <c r="G31" s="31">
        <f>SUM(MO_FINANCIAL)</f>
        <v>0</v>
      </c>
      <c r="H31" s="30"/>
      <c r="I31" s="30"/>
      <c r="J31" s="30"/>
      <c r="K31" s="30"/>
      <c r="L31" s="29"/>
      <c r="M31" s="30"/>
      <c r="N31" s="30"/>
      <c r="O31" s="30"/>
      <c r="P31" s="30"/>
      <c r="Q31" s="30"/>
      <c r="R31" s="30"/>
      <c r="S31" s="30"/>
      <c r="T31" s="30"/>
      <c r="U31" s="30"/>
      <c r="V31" s="31"/>
    </row>
    <row r="32" spans="1:22">
      <c r="A32" s="1" t="s">
        <v>53</v>
      </c>
      <c r="B32" s="29">
        <v>0</v>
      </c>
      <c r="C32" s="30">
        <v>0</v>
      </c>
      <c r="D32" s="30">
        <v>0</v>
      </c>
      <c r="E32" s="30">
        <v>0</v>
      </c>
      <c r="F32" s="30">
        <v>0</v>
      </c>
      <c r="G32" s="31">
        <f>SUM(MT_FINANCIAL)</f>
        <v>0</v>
      </c>
      <c r="H32" s="30"/>
      <c r="I32" s="30"/>
      <c r="J32" s="30"/>
      <c r="K32" s="30"/>
      <c r="L32" s="29"/>
      <c r="M32" s="30"/>
      <c r="N32" s="30"/>
      <c r="O32" s="30"/>
      <c r="P32" s="30"/>
      <c r="Q32" s="30"/>
      <c r="R32" s="30"/>
      <c r="S32" s="30"/>
      <c r="T32" s="30"/>
      <c r="U32" s="30"/>
      <c r="V32" s="31"/>
    </row>
    <row r="33" spans="1:22">
      <c r="A33" s="1" t="s">
        <v>54</v>
      </c>
      <c r="B33" s="29">
        <v>0</v>
      </c>
      <c r="C33" s="30">
        <v>0</v>
      </c>
      <c r="D33" s="30">
        <v>0</v>
      </c>
      <c r="E33" s="30">
        <v>0</v>
      </c>
      <c r="F33" s="30">
        <v>0</v>
      </c>
      <c r="G33" s="31">
        <f>SUM(NE_FINANCIAL)</f>
        <v>0</v>
      </c>
      <c r="H33" s="30"/>
      <c r="I33" s="30"/>
      <c r="J33" s="30"/>
      <c r="K33" s="30"/>
      <c r="L33" s="29"/>
      <c r="M33" s="30"/>
      <c r="N33" s="30"/>
      <c r="O33" s="30"/>
      <c r="P33" s="30"/>
      <c r="Q33" s="30"/>
      <c r="R33" s="30"/>
      <c r="S33" s="30"/>
      <c r="T33" s="30"/>
      <c r="U33" s="30"/>
      <c r="V33" s="31"/>
    </row>
    <row r="34" spans="1:22">
      <c r="A34" s="1" t="s">
        <v>55</v>
      </c>
      <c r="B34" s="29">
        <v>0</v>
      </c>
      <c r="C34" s="30">
        <v>0</v>
      </c>
      <c r="D34" s="30">
        <v>0</v>
      </c>
      <c r="E34" s="30">
        <v>0</v>
      </c>
      <c r="F34" s="30">
        <v>0</v>
      </c>
      <c r="G34" s="31">
        <f>SUM(NV_FINANCIAL)</f>
        <v>0</v>
      </c>
      <c r="H34" s="30"/>
      <c r="I34" s="30"/>
      <c r="J34" s="30"/>
      <c r="K34" s="30"/>
      <c r="L34" s="29"/>
      <c r="M34" s="30"/>
      <c r="N34" s="30"/>
      <c r="O34" s="30"/>
      <c r="P34" s="30"/>
      <c r="Q34" s="30"/>
      <c r="R34" s="30"/>
      <c r="S34" s="30"/>
      <c r="T34" s="30"/>
      <c r="U34" s="30"/>
      <c r="V34" s="31"/>
    </row>
    <row r="35" spans="1:22">
      <c r="A35" s="1" t="s">
        <v>56</v>
      </c>
      <c r="B35" s="29">
        <v>0</v>
      </c>
      <c r="C35" s="30">
        <v>0</v>
      </c>
      <c r="D35" s="30">
        <v>0</v>
      </c>
      <c r="E35" s="30">
        <v>0</v>
      </c>
      <c r="F35" s="30">
        <v>0</v>
      </c>
      <c r="G35" s="31">
        <f>SUM(NH_FINANCIAL)</f>
        <v>0</v>
      </c>
      <c r="H35" s="30"/>
      <c r="I35" s="30"/>
      <c r="J35" s="30"/>
      <c r="K35" s="30"/>
      <c r="L35" s="29"/>
      <c r="M35" s="30"/>
      <c r="N35" s="30"/>
      <c r="O35" s="30"/>
      <c r="P35" s="30"/>
      <c r="Q35" s="30"/>
      <c r="R35" s="30"/>
      <c r="S35" s="30"/>
      <c r="T35" s="30"/>
      <c r="U35" s="30"/>
      <c r="V35" s="31"/>
    </row>
    <row r="36" spans="1:22">
      <c r="A36" s="1" t="s">
        <v>57</v>
      </c>
      <c r="B36" s="29">
        <v>0</v>
      </c>
      <c r="C36" s="30">
        <v>0</v>
      </c>
      <c r="D36" s="30">
        <v>0</v>
      </c>
      <c r="E36" s="30">
        <v>0</v>
      </c>
      <c r="F36" s="30">
        <v>0</v>
      </c>
      <c r="G36" s="31">
        <f>SUM(NJ_FINANCIAL)</f>
        <v>0</v>
      </c>
      <c r="H36" s="30"/>
      <c r="I36" s="30"/>
      <c r="J36" s="30"/>
      <c r="K36" s="30"/>
      <c r="L36" s="29"/>
      <c r="M36" s="30"/>
      <c r="N36" s="30"/>
      <c r="O36" s="30"/>
      <c r="P36" s="30"/>
      <c r="Q36" s="30"/>
      <c r="R36" s="30"/>
      <c r="S36" s="30"/>
      <c r="T36" s="30"/>
      <c r="U36" s="30"/>
      <c r="V36" s="31"/>
    </row>
    <row r="37" spans="1:22">
      <c r="A37" s="1" t="s">
        <v>58</v>
      </c>
      <c r="B37" s="29">
        <v>0</v>
      </c>
      <c r="C37" s="30">
        <v>0</v>
      </c>
      <c r="D37" s="30">
        <v>0</v>
      </c>
      <c r="E37" s="30">
        <v>0</v>
      </c>
      <c r="F37" s="30">
        <v>0</v>
      </c>
      <c r="G37" s="31">
        <f>SUM(NM_FINANCIAL)</f>
        <v>0</v>
      </c>
      <c r="H37" s="30"/>
      <c r="I37" s="30"/>
      <c r="J37" s="30"/>
      <c r="K37" s="30"/>
      <c r="L37" s="29"/>
      <c r="M37" s="30"/>
      <c r="N37" s="30"/>
      <c r="O37" s="30"/>
      <c r="P37" s="30"/>
      <c r="Q37" s="30"/>
      <c r="R37" s="30"/>
      <c r="S37" s="30"/>
      <c r="T37" s="30"/>
      <c r="U37" s="30"/>
      <c r="V37" s="31"/>
    </row>
    <row r="38" spans="1:22">
      <c r="A38" s="1" t="s">
        <v>59</v>
      </c>
      <c r="B38" s="29">
        <v>0</v>
      </c>
      <c r="C38" s="30">
        <v>0</v>
      </c>
      <c r="D38" s="30">
        <v>0</v>
      </c>
      <c r="E38" s="30">
        <v>0</v>
      </c>
      <c r="F38" s="30">
        <v>0</v>
      </c>
      <c r="G38" s="31">
        <f>SUM(NY_FINANCIAL)</f>
        <v>0</v>
      </c>
      <c r="H38" s="30"/>
      <c r="I38" s="30"/>
      <c r="J38" s="30"/>
      <c r="K38" s="30"/>
      <c r="L38" s="29"/>
      <c r="M38" s="30"/>
      <c r="N38" s="30"/>
      <c r="O38" s="30"/>
      <c r="P38" s="30"/>
      <c r="Q38" s="30"/>
      <c r="R38" s="30"/>
      <c r="S38" s="30"/>
      <c r="T38" s="30"/>
      <c r="U38" s="30"/>
      <c r="V38" s="31"/>
    </row>
    <row r="39" spans="1:22">
      <c r="A39" s="1" t="s">
        <v>60</v>
      </c>
      <c r="B39" s="29">
        <v>0</v>
      </c>
      <c r="C39" s="30">
        <v>0</v>
      </c>
      <c r="D39" s="30">
        <v>0</v>
      </c>
      <c r="E39" s="30">
        <v>0</v>
      </c>
      <c r="F39" s="30">
        <v>0</v>
      </c>
      <c r="G39" s="31">
        <f>SUM(NC_FINANCIAL)</f>
        <v>0</v>
      </c>
      <c r="H39" s="30"/>
      <c r="I39" s="30"/>
      <c r="J39" s="30"/>
      <c r="K39" s="30"/>
      <c r="L39" s="29"/>
      <c r="M39" s="30"/>
      <c r="N39" s="30"/>
      <c r="O39" s="30"/>
      <c r="P39" s="30"/>
      <c r="Q39" s="30"/>
      <c r="R39" s="30"/>
      <c r="S39" s="30"/>
      <c r="T39" s="30"/>
      <c r="U39" s="30"/>
      <c r="V39" s="31"/>
    </row>
    <row r="40" spans="1:22">
      <c r="A40" s="1" t="s">
        <v>61</v>
      </c>
      <c r="B40" s="29">
        <v>0</v>
      </c>
      <c r="C40" s="30">
        <v>0</v>
      </c>
      <c r="D40" s="30">
        <v>0</v>
      </c>
      <c r="E40" s="30">
        <v>0</v>
      </c>
      <c r="F40" s="30">
        <v>0</v>
      </c>
      <c r="G40" s="31">
        <f>SUM(ND_FINANCIAL)</f>
        <v>0</v>
      </c>
      <c r="H40" s="30"/>
      <c r="I40" s="30"/>
      <c r="J40" s="30"/>
      <c r="K40" s="30"/>
      <c r="L40" s="29"/>
      <c r="M40" s="30"/>
      <c r="N40" s="30"/>
      <c r="O40" s="30"/>
      <c r="P40" s="30"/>
      <c r="Q40" s="30"/>
      <c r="R40" s="30"/>
      <c r="S40" s="30"/>
      <c r="T40" s="30"/>
      <c r="U40" s="30"/>
      <c r="V40" s="31"/>
    </row>
    <row r="41" spans="1:22">
      <c r="A41" s="1" t="s">
        <v>62</v>
      </c>
      <c r="B41" s="29">
        <v>0</v>
      </c>
      <c r="C41" s="30">
        <v>0</v>
      </c>
      <c r="D41" s="30">
        <v>0</v>
      </c>
      <c r="E41" s="30">
        <v>0</v>
      </c>
      <c r="F41" s="30">
        <v>0</v>
      </c>
      <c r="G41" s="31">
        <f>SUM(OH_FINANCIAL)</f>
        <v>0</v>
      </c>
      <c r="H41" s="30"/>
      <c r="I41" s="30"/>
      <c r="J41" s="30"/>
      <c r="K41" s="30"/>
      <c r="L41" s="29"/>
      <c r="M41" s="30"/>
      <c r="N41" s="30"/>
      <c r="O41" s="30"/>
      <c r="P41" s="30"/>
      <c r="Q41" s="30"/>
      <c r="R41" s="30"/>
      <c r="S41" s="30"/>
      <c r="T41" s="30"/>
      <c r="U41" s="30"/>
      <c r="V41" s="31"/>
    </row>
    <row r="42" spans="1:22">
      <c r="A42" s="1" t="s">
        <v>63</v>
      </c>
      <c r="B42" s="29">
        <v>0</v>
      </c>
      <c r="C42" s="30">
        <v>0</v>
      </c>
      <c r="D42" s="30">
        <v>0</v>
      </c>
      <c r="E42" s="30">
        <v>0</v>
      </c>
      <c r="F42" s="30">
        <v>0</v>
      </c>
      <c r="G42" s="31">
        <f>SUM(OK_FINANCIAL)</f>
        <v>0</v>
      </c>
      <c r="H42" s="30"/>
      <c r="I42" s="30"/>
      <c r="J42" s="30"/>
      <c r="K42" s="30"/>
      <c r="L42" s="29"/>
      <c r="M42" s="30"/>
      <c r="N42" s="30"/>
      <c r="O42" s="30"/>
      <c r="P42" s="30"/>
      <c r="Q42" s="30"/>
      <c r="R42" s="30"/>
      <c r="S42" s="30"/>
      <c r="T42" s="30"/>
      <c r="U42" s="30"/>
      <c r="V42" s="31"/>
    </row>
    <row r="43" spans="1:22">
      <c r="A43" s="1" t="s">
        <v>64</v>
      </c>
      <c r="B43" s="29">
        <v>0</v>
      </c>
      <c r="C43" s="30">
        <v>0</v>
      </c>
      <c r="D43" s="30">
        <v>0</v>
      </c>
      <c r="E43" s="30">
        <v>0</v>
      </c>
      <c r="F43" s="30">
        <v>0</v>
      </c>
      <c r="G43" s="31">
        <f>SUM(OR_FINANCIAL)</f>
        <v>0</v>
      </c>
      <c r="H43" s="30"/>
      <c r="I43" s="30"/>
      <c r="J43" s="30"/>
      <c r="K43" s="30"/>
      <c r="L43" s="29"/>
      <c r="M43" s="30"/>
      <c r="N43" s="30"/>
      <c r="O43" s="30"/>
      <c r="P43" s="30"/>
      <c r="Q43" s="30"/>
      <c r="R43" s="30"/>
      <c r="S43" s="30"/>
      <c r="T43" s="30"/>
      <c r="U43" s="30"/>
      <c r="V43" s="31"/>
    </row>
    <row r="44" spans="1:22">
      <c r="A44" s="1" t="s">
        <v>65</v>
      </c>
      <c r="B44" s="29">
        <v>0</v>
      </c>
      <c r="C44" s="30">
        <v>0</v>
      </c>
      <c r="D44" s="30">
        <v>0</v>
      </c>
      <c r="E44" s="30">
        <v>0</v>
      </c>
      <c r="F44" s="30">
        <v>0</v>
      </c>
      <c r="G44" s="31">
        <f>SUM(PA_FINANCIAL)</f>
        <v>0</v>
      </c>
      <c r="H44" s="30"/>
      <c r="I44" s="30"/>
      <c r="J44" s="30"/>
      <c r="K44" s="30"/>
      <c r="L44" s="29"/>
      <c r="M44" s="30"/>
      <c r="N44" s="30"/>
      <c r="O44" s="30"/>
      <c r="P44" s="30"/>
      <c r="Q44" s="30"/>
      <c r="R44" s="30"/>
      <c r="S44" s="30"/>
      <c r="T44" s="30"/>
      <c r="U44" s="30"/>
      <c r="V44" s="31"/>
    </row>
    <row r="45" spans="1:22">
      <c r="A45" s="1" t="s">
        <v>66</v>
      </c>
      <c r="B45" s="29">
        <v>0</v>
      </c>
      <c r="C45" s="30">
        <v>0</v>
      </c>
      <c r="D45" s="30">
        <v>0</v>
      </c>
      <c r="E45" s="30">
        <v>0</v>
      </c>
      <c r="F45" s="30">
        <v>0</v>
      </c>
      <c r="G45" s="31">
        <f>SUM(PR_FINANCIAL)</f>
        <v>0</v>
      </c>
      <c r="H45" s="30"/>
      <c r="I45" s="30"/>
      <c r="J45" s="30"/>
      <c r="K45" s="30"/>
      <c r="L45" s="29"/>
      <c r="M45" s="30"/>
      <c r="N45" s="30"/>
      <c r="O45" s="30"/>
      <c r="P45" s="30"/>
      <c r="Q45" s="30"/>
      <c r="R45" s="30"/>
      <c r="S45" s="30"/>
      <c r="T45" s="30"/>
      <c r="U45" s="30"/>
      <c r="V45" s="31"/>
    </row>
    <row r="46" spans="1:22">
      <c r="A46" s="1" t="s">
        <v>67</v>
      </c>
      <c r="B46" s="29">
        <v>0</v>
      </c>
      <c r="C46" s="30">
        <v>0</v>
      </c>
      <c r="D46" s="30">
        <v>0</v>
      </c>
      <c r="E46" s="30">
        <v>0</v>
      </c>
      <c r="F46" s="30">
        <v>0</v>
      </c>
      <c r="G46" s="31">
        <f>SUM(RI_FINANCIAL)</f>
        <v>0</v>
      </c>
      <c r="H46" s="30"/>
      <c r="I46" s="30"/>
      <c r="J46" s="30"/>
      <c r="K46" s="30"/>
      <c r="L46" s="29"/>
      <c r="M46" s="30"/>
      <c r="N46" s="30"/>
      <c r="O46" s="30"/>
      <c r="P46" s="30"/>
      <c r="Q46" s="30"/>
      <c r="R46" s="30"/>
      <c r="S46" s="30"/>
      <c r="T46" s="30"/>
      <c r="U46" s="30"/>
      <c r="V46" s="31"/>
    </row>
    <row r="47" spans="1:22">
      <c r="A47" s="1" t="s">
        <v>68</v>
      </c>
      <c r="B47" s="29">
        <v>0</v>
      </c>
      <c r="C47" s="30">
        <v>0</v>
      </c>
      <c r="D47" s="30">
        <v>0</v>
      </c>
      <c r="E47" s="30">
        <v>0</v>
      </c>
      <c r="F47" s="30">
        <v>0</v>
      </c>
      <c r="G47" s="31">
        <f>SUM(SC_FINANCIAL)</f>
        <v>0</v>
      </c>
      <c r="H47" s="30"/>
      <c r="I47" s="30"/>
      <c r="J47" s="30"/>
      <c r="K47" s="30"/>
      <c r="L47" s="29"/>
      <c r="M47" s="30"/>
      <c r="N47" s="30"/>
      <c r="O47" s="30"/>
      <c r="P47" s="30"/>
      <c r="Q47" s="30"/>
      <c r="R47" s="30"/>
      <c r="S47" s="30"/>
      <c r="T47" s="30"/>
      <c r="U47" s="30"/>
      <c r="V47" s="31"/>
    </row>
    <row r="48" spans="1:22">
      <c r="A48" s="1" t="s">
        <v>69</v>
      </c>
      <c r="B48" s="29">
        <v>0</v>
      </c>
      <c r="C48" s="30">
        <v>0</v>
      </c>
      <c r="D48" s="30">
        <v>0</v>
      </c>
      <c r="E48" s="30">
        <v>0</v>
      </c>
      <c r="F48" s="30">
        <v>0</v>
      </c>
      <c r="G48" s="31">
        <f>SUM(SD_FINANCIAL)</f>
        <v>0</v>
      </c>
      <c r="H48" s="30"/>
      <c r="I48" s="30"/>
      <c r="J48" s="30"/>
      <c r="K48" s="30"/>
      <c r="L48" s="29"/>
      <c r="M48" s="30"/>
      <c r="N48" s="30"/>
      <c r="O48" s="30"/>
      <c r="P48" s="30"/>
      <c r="Q48" s="30"/>
      <c r="R48" s="30"/>
      <c r="S48" s="30"/>
      <c r="T48" s="30"/>
      <c r="U48" s="30"/>
      <c r="V48" s="31"/>
    </row>
    <row r="49" spans="1:22">
      <c r="A49" s="1" t="s">
        <v>70</v>
      </c>
      <c r="B49" s="29">
        <v>0</v>
      </c>
      <c r="C49" s="30">
        <v>0</v>
      </c>
      <c r="D49" s="30">
        <v>0</v>
      </c>
      <c r="E49" s="30">
        <v>0</v>
      </c>
      <c r="F49" s="30">
        <v>0</v>
      </c>
      <c r="G49" s="31">
        <f>SUM(TN_FINANCIAL)</f>
        <v>0</v>
      </c>
      <c r="H49" s="30"/>
      <c r="I49" s="30"/>
      <c r="J49" s="30"/>
      <c r="K49" s="30"/>
      <c r="L49" s="29"/>
      <c r="M49" s="30"/>
      <c r="N49" s="30"/>
      <c r="O49" s="30"/>
      <c r="P49" s="30"/>
      <c r="Q49" s="30"/>
      <c r="R49" s="30"/>
      <c r="S49" s="30"/>
      <c r="T49" s="30"/>
      <c r="U49" s="30"/>
      <c r="V49" s="31"/>
    </row>
    <row r="50" spans="1:22">
      <c r="A50" s="1" t="s">
        <v>71</v>
      </c>
      <c r="B50" s="29">
        <v>0</v>
      </c>
      <c r="C50" s="30">
        <v>0</v>
      </c>
      <c r="D50" s="30">
        <v>0</v>
      </c>
      <c r="E50" s="30">
        <v>0</v>
      </c>
      <c r="F50" s="30">
        <v>0</v>
      </c>
      <c r="G50" s="31">
        <f>SUM(TX_FINANCIAL)</f>
        <v>0</v>
      </c>
      <c r="H50" s="30"/>
      <c r="I50" s="30"/>
      <c r="J50" s="30"/>
      <c r="K50" s="30"/>
      <c r="L50" s="29"/>
      <c r="M50" s="30"/>
      <c r="N50" s="30"/>
      <c r="O50" s="30"/>
      <c r="P50" s="30"/>
      <c r="Q50" s="30"/>
      <c r="R50" s="30"/>
      <c r="S50" s="30"/>
      <c r="T50" s="30"/>
      <c r="U50" s="30"/>
      <c r="V50" s="31"/>
    </row>
    <row r="51" spans="1:22">
      <c r="A51" s="1" t="s">
        <v>72</v>
      </c>
      <c r="B51" s="29">
        <v>0</v>
      </c>
      <c r="C51" s="30">
        <v>0</v>
      </c>
      <c r="D51" s="30">
        <v>0</v>
      </c>
      <c r="E51" s="30">
        <v>0</v>
      </c>
      <c r="F51" s="30">
        <v>0</v>
      </c>
      <c r="G51" s="31">
        <f>SUM(UT_FINANCIAL)</f>
        <v>0</v>
      </c>
      <c r="H51" s="30"/>
      <c r="I51" s="30"/>
      <c r="J51" s="30"/>
      <c r="K51" s="30"/>
      <c r="L51" s="29"/>
      <c r="M51" s="30"/>
      <c r="N51" s="30"/>
      <c r="O51" s="30"/>
      <c r="P51" s="30"/>
      <c r="Q51" s="30"/>
      <c r="R51" s="30"/>
      <c r="S51" s="30"/>
      <c r="T51" s="30"/>
      <c r="U51" s="30"/>
      <c r="V51" s="31"/>
    </row>
    <row r="52" spans="1:22">
      <c r="A52" s="1" t="s">
        <v>73</v>
      </c>
      <c r="B52" s="29">
        <v>0</v>
      </c>
      <c r="C52" s="30">
        <v>0</v>
      </c>
      <c r="D52" s="30">
        <v>0</v>
      </c>
      <c r="E52" s="30">
        <v>0</v>
      </c>
      <c r="F52" s="30">
        <v>0</v>
      </c>
      <c r="G52" s="31">
        <f>SUM(VT_FINANCIAL)</f>
        <v>0</v>
      </c>
      <c r="H52" s="30"/>
      <c r="I52" s="30"/>
      <c r="J52" s="30"/>
      <c r="K52" s="30"/>
      <c r="L52" s="29"/>
      <c r="M52" s="30"/>
      <c r="N52" s="30"/>
      <c r="O52" s="30"/>
      <c r="P52" s="30"/>
      <c r="Q52" s="30"/>
      <c r="R52" s="30"/>
      <c r="S52" s="30"/>
      <c r="T52" s="30"/>
      <c r="U52" s="30"/>
      <c r="V52" s="31"/>
    </row>
    <row r="53" spans="1:22">
      <c r="A53" s="1" t="s">
        <v>74</v>
      </c>
      <c r="B53" s="29">
        <v>0</v>
      </c>
      <c r="C53" s="30">
        <v>0</v>
      </c>
      <c r="D53" s="30">
        <v>0</v>
      </c>
      <c r="E53" s="30">
        <v>0</v>
      </c>
      <c r="F53" s="30">
        <v>0</v>
      </c>
      <c r="G53" s="31">
        <f>SUM(VA_FINANCIAL)</f>
        <v>0</v>
      </c>
      <c r="H53" s="30"/>
      <c r="I53" s="30"/>
      <c r="J53" s="30"/>
      <c r="K53" s="30"/>
      <c r="L53" s="29"/>
      <c r="M53" s="30"/>
      <c r="N53" s="30"/>
      <c r="O53" s="30"/>
      <c r="P53" s="30"/>
      <c r="Q53" s="30"/>
      <c r="R53" s="30"/>
      <c r="S53" s="30"/>
      <c r="T53" s="30"/>
      <c r="U53" s="30"/>
      <c r="V53" s="31"/>
    </row>
    <row r="54" spans="1:22">
      <c r="A54" s="1" t="s">
        <v>75</v>
      </c>
      <c r="B54" s="29">
        <v>0</v>
      </c>
      <c r="C54" s="30">
        <v>0</v>
      </c>
      <c r="D54" s="30">
        <v>0</v>
      </c>
      <c r="E54" s="30">
        <v>0</v>
      </c>
      <c r="F54" s="30">
        <v>0</v>
      </c>
      <c r="G54" s="31">
        <f>SUM(WA_FINANCIAL)</f>
        <v>0</v>
      </c>
      <c r="H54" s="30"/>
      <c r="I54" s="30"/>
      <c r="J54" s="30"/>
      <c r="K54" s="30"/>
      <c r="L54" s="29"/>
      <c r="M54" s="30"/>
      <c r="N54" s="30"/>
      <c r="O54" s="30"/>
      <c r="P54" s="30"/>
      <c r="Q54" s="30"/>
      <c r="R54" s="30"/>
      <c r="S54" s="30"/>
      <c r="T54" s="30"/>
      <c r="U54" s="30"/>
      <c r="V54" s="31"/>
    </row>
    <row r="55" spans="1:22">
      <c r="A55" s="1" t="s">
        <v>76</v>
      </c>
      <c r="B55" s="29">
        <v>0</v>
      </c>
      <c r="C55" s="30">
        <v>0</v>
      </c>
      <c r="D55" s="30">
        <v>0</v>
      </c>
      <c r="E55" s="30">
        <v>0</v>
      </c>
      <c r="F55" s="30">
        <v>0</v>
      </c>
      <c r="G55" s="31">
        <f>SUM(WV_FINANCIAL)</f>
        <v>0</v>
      </c>
      <c r="H55" s="30"/>
      <c r="I55" s="30"/>
      <c r="J55" s="30"/>
      <c r="K55" s="30"/>
      <c r="L55" s="29"/>
      <c r="M55" s="30"/>
      <c r="N55" s="30"/>
      <c r="O55" s="30"/>
      <c r="P55" s="30"/>
      <c r="Q55" s="30"/>
      <c r="R55" s="30"/>
      <c r="S55" s="30"/>
      <c r="T55" s="30"/>
      <c r="U55" s="30"/>
      <c r="V55" s="31"/>
    </row>
    <row r="56" spans="1:22">
      <c r="A56" s="1" t="s">
        <v>77</v>
      </c>
      <c r="B56" s="29">
        <v>0</v>
      </c>
      <c r="C56" s="30">
        <v>0</v>
      </c>
      <c r="D56" s="30">
        <v>0</v>
      </c>
      <c r="E56" s="30">
        <v>0</v>
      </c>
      <c r="F56" s="30">
        <v>0</v>
      </c>
      <c r="G56" s="31">
        <f>SUM(WI_FINANCIAL)</f>
        <v>0</v>
      </c>
      <c r="H56" s="30"/>
      <c r="I56" s="30"/>
      <c r="J56" s="30"/>
      <c r="K56" s="30"/>
      <c r="L56" s="29"/>
      <c r="M56" s="30"/>
      <c r="N56" s="30"/>
      <c r="O56" s="30"/>
      <c r="P56" s="30"/>
      <c r="Q56" s="30"/>
      <c r="R56" s="30"/>
      <c r="S56" s="30"/>
      <c r="T56" s="30"/>
      <c r="U56" s="30"/>
      <c r="V56" s="31"/>
    </row>
    <row r="57" spans="1:22">
      <c r="A57" s="1" t="s">
        <v>78</v>
      </c>
      <c r="B57" s="29">
        <v>0</v>
      </c>
      <c r="C57" s="30">
        <v>0</v>
      </c>
      <c r="D57" s="30">
        <v>0</v>
      </c>
      <c r="E57" s="30">
        <v>0</v>
      </c>
      <c r="F57" s="30">
        <v>0</v>
      </c>
      <c r="G57" s="31">
        <f>SUM(WY_FINANCIAL)</f>
        <v>0</v>
      </c>
      <c r="H57" s="30"/>
      <c r="I57" s="30"/>
      <c r="J57" s="30"/>
      <c r="K57" s="30"/>
      <c r="L57" s="29"/>
      <c r="M57" s="30"/>
      <c r="N57" s="30"/>
      <c r="O57" s="30"/>
      <c r="P57" s="30"/>
      <c r="Q57" s="30"/>
      <c r="R57" s="30"/>
      <c r="S57" s="30"/>
      <c r="T57" s="30"/>
      <c r="U57" s="30"/>
      <c r="V57" s="31"/>
    </row>
    <row r="58" spans="1:22">
      <c r="A58" s="1" t="s">
        <v>79</v>
      </c>
      <c r="B58" s="29">
        <v>0</v>
      </c>
      <c r="C58" s="30">
        <v>0</v>
      </c>
      <c r="D58" s="30">
        <v>0</v>
      </c>
      <c r="E58" s="30">
        <v>0</v>
      </c>
      <c r="F58" s="30">
        <v>0</v>
      </c>
      <c r="G58" s="31">
        <f>SUM(OT_FINANCIAL)</f>
        <v>0</v>
      </c>
      <c r="H58" s="30"/>
      <c r="I58" s="30"/>
      <c r="J58" s="30"/>
      <c r="K58" s="30"/>
      <c r="L58" s="29"/>
      <c r="M58" s="30"/>
      <c r="N58" s="30"/>
      <c r="O58" s="30"/>
      <c r="P58" s="30"/>
      <c r="Q58" s="30"/>
      <c r="R58" s="30"/>
      <c r="S58" s="30"/>
      <c r="T58" s="30"/>
      <c r="U58" s="30"/>
      <c r="V58" s="31"/>
    </row>
    <row r="59" spans="1:22">
      <c r="B59" s="29"/>
      <c r="C59" s="30"/>
      <c r="D59" s="30"/>
      <c r="E59" s="30"/>
      <c r="F59" s="30"/>
      <c r="G59" s="31"/>
      <c r="H59" s="30"/>
      <c r="I59" s="30"/>
      <c r="J59" s="30"/>
      <c r="K59" s="30"/>
      <c r="L59" s="29"/>
      <c r="M59" s="30"/>
      <c r="N59" s="30"/>
      <c r="O59" s="30"/>
      <c r="P59" s="30"/>
      <c r="Q59" s="30"/>
      <c r="R59" s="30"/>
      <c r="S59" s="30"/>
      <c r="T59" s="30"/>
      <c r="U59" s="30"/>
      <c r="V59" s="31"/>
    </row>
    <row r="60" spans="1:22">
      <c r="A60" s="1" t="s">
        <v>8</v>
      </c>
      <c r="B60" s="29">
        <f>SUM(LIFE)</f>
        <v>0</v>
      </c>
      <c r="C60" s="30">
        <f>SUM(ALLOCATED)</f>
        <v>0</v>
      </c>
      <c r="D60" s="30">
        <f>SUM(HEALTH)</f>
        <v>9776890</v>
      </c>
      <c r="E60" s="30">
        <f>SUM(UNALLOCATED)</f>
        <v>0</v>
      </c>
      <c r="F60" s="30">
        <f>SUM(LTC)</f>
        <v>0</v>
      </c>
      <c r="G60" s="31">
        <f>SUM(ALL_BLOCKS)</f>
        <v>9776890</v>
      </c>
      <c r="H60" s="30"/>
      <c r="I60" s="30"/>
      <c r="J60" s="30"/>
      <c r="K60" s="30"/>
      <c r="L60" s="29">
        <f>SUM(LIFE_CALLED)</f>
        <v>0</v>
      </c>
      <c r="M60" s="30">
        <f>SUM(LIFE_REFUNDED)</f>
        <v>0</v>
      </c>
      <c r="N60" s="30"/>
      <c r="O60" s="30">
        <f>SUM(ALLOC_CALLED)</f>
        <v>0</v>
      </c>
      <c r="P60" s="30">
        <f>SUM(ALLOC_REFUNDED)</f>
        <v>0</v>
      </c>
      <c r="Q60" s="30"/>
      <c r="R60" s="30">
        <f>SUM(HEALTH_CALLED)</f>
        <v>40000000</v>
      </c>
      <c r="S60" s="30">
        <f>SUM(HEALTH_REFUNDED)</f>
        <v>0</v>
      </c>
      <c r="T60" s="30"/>
      <c r="U60" s="30">
        <f>SUM(UNALLOC_CALLED)</f>
        <v>0</v>
      </c>
      <c r="V60" s="31">
        <f>SUM(UNALLOC_REFUNDED)</f>
        <v>0</v>
      </c>
    </row>
    <row r="61" spans="1:22" ht="5.0999999999999996" customHeight="1">
      <c r="B61" s="8"/>
      <c r="G61" s="11"/>
      <c r="L61" s="8"/>
      <c r="V61" s="11"/>
    </row>
    <row r="62" spans="1:22">
      <c r="B62" s="8"/>
      <c r="G62" s="11"/>
      <c r="L62" s="122" t="s">
        <v>80</v>
      </c>
      <c r="M62" s="123"/>
      <c r="N62" s="123"/>
      <c r="O62" s="123"/>
      <c r="P62" s="123"/>
      <c r="Q62" s="123"/>
      <c r="R62" s="123"/>
      <c r="S62" s="123"/>
      <c r="T62" s="123"/>
      <c r="U62" s="123"/>
      <c r="V62" s="124"/>
    </row>
    <row r="63" spans="1:22">
      <c r="B63" s="8"/>
      <c r="G63" s="11"/>
      <c r="L63" s="125"/>
      <c r="M63" s="123"/>
      <c r="N63" s="123"/>
      <c r="O63" s="123"/>
      <c r="P63" s="123"/>
      <c r="Q63" s="123"/>
      <c r="R63" s="123"/>
      <c r="S63" s="123"/>
      <c r="T63" s="123"/>
      <c r="U63" s="123"/>
      <c r="V63" s="124"/>
    </row>
    <row r="64" spans="1:22">
      <c r="B64" s="10"/>
      <c r="C64" s="7"/>
      <c r="D64" s="7"/>
      <c r="E64" s="7"/>
      <c r="F64" s="7"/>
      <c r="G64" s="13"/>
      <c r="L64" s="126"/>
      <c r="M64" s="127"/>
      <c r="N64" s="127"/>
      <c r="O64" s="127"/>
      <c r="P64" s="127"/>
      <c r="Q64" s="127"/>
      <c r="R64" s="127"/>
      <c r="S64" s="127"/>
      <c r="T64" s="127"/>
      <c r="U64" s="127"/>
      <c r="V64" s="128"/>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pageSetUpPr fitToPage="1"/>
  </sheetPr>
  <dimension ref="A1:V64"/>
  <sheetViews>
    <sheetView zoomScale="75" workbookViewId="0">
      <selection sqref="A1:XFD1048576"/>
    </sheetView>
  </sheetViews>
  <sheetFormatPr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129" t="s">
        <v>132</v>
      </c>
      <c r="B1" s="123"/>
      <c r="C1" s="123"/>
      <c r="D1" s="123"/>
      <c r="E1" s="123"/>
      <c r="F1" s="123"/>
      <c r="G1" s="123"/>
    </row>
    <row r="3" spans="1:22">
      <c r="B3" s="130" t="s">
        <v>1</v>
      </c>
      <c r="C3" s="131"/>
      <c r="D3" s="131"/>
      <c r="E3" s="131"/>
      <c r="F3" s="131"/>
      <c r="G3" s="132"/>
      <c r="L3" s="133" t="s">
        <v>2</v>
      </c>
      <c r="M3" s="134"/>
      <c r="N3" s="134"/>
      <c r="O3" s="134"/>
      <c r="P3" s="134"/>
      <c r="Q3" s="134"/>
      <c r="R3" s="134"/>
      <c r="S3" s="134"/>
      <c r="T3" s="134"/>
      <c r="U3" s="134"/>
      <c r="V3" s="135"/>
    </row>
    <row r="4" spans="1:22">
      <c r="B4" s="8"/>
      <c r="G4" s="11"/>
      <c r="L4" s="136" t="s">
        <v>3</v>
      </c>
      <c r="M4" s="137"/>
      <c r="N4" s="4"/>
      <c r="O4" s="138" t="s">
        <v>4</v>
      </c>
      <c r="P4" s="137"/>
      <c r="Q4" s="4"/>
      <c r="R4" s="138" t="s">
        <v>5</v>
      </c>
      <c r="S4" s="137"/>
      <c r="T4" s="4"/>
      <c r="U4" s="138" t="s">
        <v>6</v>
      </c>
      <c r="V4" s="139"/>
    </row>
    <row r="5" spans="1:22" ht="60" customHeight="1">
      <c r="B5" s="9" t="s">
        <v>3</v>
      </c>
      <c r="C5" s="5" t="s">
        <v>4</v>
      </c>
      <c r="D5" s="5" t="s">
        <v>5</v>
      </c>
      <c r="E5" s="5" t="s">
        <v>6</v>
      </c>
      <c r="F5" s="5" t="s">
        <v>7</v>
      </c>
      <c r="G5" s="12" t="s">
        <v>8</v>
      </c>
      <c r="L5" s="15" t="s">
        <v>9</v>
      </c>
      <c r="M5" s="14" t="s">
        <v>10</v>
      </c>
      <c r="N5" s="14"/>
      <c r="O5" s="14" t="s">
        <v>9</v>
      </c>
      <c r="P5" s="14" t="s">
        <v>10</v>
      </c>
      <c r="Q5" s="14"/>
      <c r="R5" s="14" t="s">
        <v>9</v>
      </c>
      <c r="S5" s="14" t="s">
        <v>10</v>
      </c>
      <c r="T5" s="14"/>
      <c r="U5" s="14" t="s">
        <v>9</v>
      </c>
      <c r="V5" s="16" t="s">
        <v>10</v>
      </c>
    </row>
    <row r="6" spans="1:22">
      <c r="A6" s="1" t="s">
        <v>11</v>
      </c>
      <c r="B6" s="29">
        <v>0</v>
      </c>
      <c r="C6" s="30">
        <v>0</v>
      </c>
      <c r="D6" s="30">
        <v>856.71483357993566</v>
      </c>
      <c r="E6" s="30">
        <v>0</v>
      </c>
      <c r="F6" s="30">
        <v>0</v>
      </c>
      <c r="G6" s="31">
        <f>SUM(AL_FINANCIAL)</f>
        <v>856.71483357993566</v>
      </c>
      <c r="H6" s="30"/>
      <c r="I6" s="30"/>
      <c r="J6" s="30"/>
      <c r="K6" s="30"/>
      <c r="L6" s="29"/>
      <c r="M6" s="30"/>
      <c r="N6" s="30"/>
      <c r="O6" s="30"/>
      <c r="P6" s="30"/>
      <c r="Q6" s="30"/>
      <c r="R6" s="30"/>
      <c r="S6" s="30"/>
      <c r="T6" s="30"/>
      <c r="U6" s="30"/>
      <c r="V6" s="31"/>
    </row>
    <row r="7" spans="1:22">
      <c r="A7" s="1" t="s">
        <v>12</v>
      </c>
      <c r="B7" s="29">
        <v>0</v>
      </c>
      <c r="C7" s="30">
        <v>0</v>
      </c>
      <c r="D7" s="30">
        <v>20.860000000000014</v>
      </c>
      <c r="E7" s="30">
        <v>0</v>
      </c>
      <c r="F7" s="30">
        <v>0</v>
      </c>
      <c r="G7" s="31">
        <f>SUM(AK_FINANCIAL)</f>
        <v>20.860000000000014</v>
      </c>
      <c r="H7" s="30"/>
      <c r="I7" s="32"/>
      <c r="J7" s="33"/>
      <c r="K7" s="30"/>
      <c r="L7" s="29"/>
      <c r="M7" s="30"/>
      <c r="N7" s="30"/>
      <c r="O7" s="30"/>
      <c r="P7" s="30"/>
      <c r="Q7" s="30"/>
      <c r="R7" s="30"/>
      <c r="S7" s="30"/>
      <c r="T7" s="30"/>
      <c r="U7" s="30"/>
      <c r="V7" s="31"/>
    </row>
    <row r="8" spans="1:22">
      <c r="A8" s="1" t="s">
        <v>13</v>
      </c>
      <c r="B8" s="29">
        <v>0</v>
      </c>
      <c r="C8" s="30">
        <v>0</v>
      </c>
      <c r="D8" s="30">
        <v>88311.61309055821</v>
      </c>
      <c r="E8" s="30">
        <v>0</v>
      </c>
      <c r="F8" s="30">
        <v>0</v>
      </c>
      <c r="G8" s="31">
        <f>SUM(AZ_FINANCIAL)</f>
        <v>88311.61309055821</v>
      </c>
      <c r="H8" s="30"/>
      <c r="I8" s="34" t="s">
        <v>14</v>
      </c>
      <c r="J8" s="35"/>
      <c r="K8" s="30"/>
      <c r="L8" s="29"/>
      <c r="M8" s="30"/>
      <c r="N8" s="30"/>
      <c r="O8" s="30"/>
      <c r="P8" s="30"/>
      <c r="Q8" s="30"/>
      <c r="R8" s="30"/>
      <c r="S8" s="30"/>
      <c r="T8" s="30"/>
      <c r="U8" s="30"/>
      <c r="V8" s="31"/>
    </row>
    <row r="9" spans="1:22">
      <c r="A9" s="1" t="s">
        <v>15</v>
      </c>
      <c r="B9" s="29">
        <v>0</v>
      </c>
      <c r="C9" s="30">
        <v>0</v>
      </c>
      <c r="D9" s="30">
        <v>413.68608711907655</v>
      </c>
      <c r="E9" s="30">
        <v>0</v>
      </c>
      <c r="F9" s="30">
        <v>0</v>
      </c>
      <c r="G9" s="31">
        <f>SUM(AR_FINANCIAL)</f>
        <v>413.68608711907655</v>
      </c>
      <c r="H9" s="30"/>
      <c r="I9" s="34"/>
      <c r="J9" s="35"/>
      <c r="K9" s="30"/>
      <c r="L9" s="29"/>
      <c r="M9" s="30"/>
      <c r="N9" s="30"/>
      <c r="O9" s="30"/>
      <c r="P9" s="30"/>
      <c r="Q9" s="30"/>
      <c r="R9" s="30"/>
      <c r="S9" s="30"/>
      <c r="T9" s="30"/>
      <c r="U9" s="30"/>
      <c r="V9" s="31"/>
    </row>
    <row r="10" spans="1:22">
      <c r="A10" s="1" t="s">
        <v>16</v>
      </c>
      <c r="B10" s="29">
        <v>0</v>
      </c>
      <c r="C10" s="30">
        <v>0</v>
      </c>
      <c r="D10" s="30">
        <v>6982.6016947443131</v>
      </c>
      <c r="E10" s="30">
        <v>0</v>
      </c>
      <c r="F10" s="30">
        <v>0</v>
      </c>
      <c r="G10" s="31">
        <f>SUM(CA_FINANCIAL)</f>
        <v>6982.6016947443131</v>
      </c>
      <c r="H10" s="30"/>
      <c r="I10" s="34" t="s">
        <v>17</v>
      </c>
      <c r="J10" s="35">
        <v>2633693.4740727684</v>
      </c>
      <c r="K10" s="30"/>
      <c r="L10" s="29">
        <v>0</v>
      </c>
      <c r="M10" s="30">
        <v>0</v>
      </c>
      <c r="N10" s="30"/>
      <c r="O10" s="30">
        <v>0</v>
      </c>
      <c r="P10" s="30">
        <v>0</v>
      </c>
      <c r="Q10" s="30"/>
      <c r="R10" s="30">
        <v>150000</v>
      </c>
      <c r="S10" s="30">
        <v>0</v>
      </c>
      <c r="T10" s="30"/>
      <c r="U10" s="30">
        <v>0</v>
      </c>
      <c r="V10" s="31">
        <v>0</v>
      </c>
    </row>
    <row r="11" spans="1:22">
      <c r="A11" s="1" t="s">
        <v>18</v>
      </c>
      <c r="B11" s="29">
        <v>0</v>
      </c>
      <c r="C11" s="30">
        <v>0</v>
      </c>
      <c r="D11" s="30">
        <v>8637.2477088680025</v>
      </c>
      <c r="E11" s="30">
        <v>0</v>
      </c>
      <c r="F11" s="30">
        <v>0</v>
      </c>
      <c r="G11" s="31">
        <f>SUM(CO_FINANCIAL)</f>
        <v>8637.2477088680025</v>
      </c>
      <c r="H11" s="30"/>
      <c r="I11" s="34"/>
      <c r="J11" s="35"/>
      <c r="K11" s="30"/>
      <c r="L11" s="29">
        <v>0</v>
      </c>
      <c r="M11" s="30">
        <v>0</v>
      </c>
      <c r="N11" s="30"/>
      <c r="O11" s="30">
        <v>0</v>
      </c>
      <c r="P11" s="30">
        <v>0</v>
      </c>
      <c r="Q11" s="30"/>
      <c r="R11" s="30">
        <v>84325</v>
      </c>
      <c r="S11" s="30">
        <v>0</v>
      </c>
      <c r="T11" s="30"/>
      <c r="U11" s="30">
        <v>0</v>
      </c>
      <c r="V11" s="31">
        <v>0</v>
      </c>
    </row>
    <row r="12" spans="1:22">
      <c r="A12" s="1" t="s">
        <v>19</v>
      </c>
      <c r="B12" s="29">
        <v>0</v>
      </c>
      <c r="C12" s="30">
        <v>0</v>
      </c>
      <c r="D12" s="30">
        <v>28719.732587284438</v>
      </c>
      <c r="E12" s="30">
        <v>0</v>
      </c>
      <c r="F12" s="30">
        <v>0</v>
      </c>
      <c r="G12" s="31">
        <f>SUM(CT_FINANCIAL)</f>
        <v>28719.732587284438</v>
      </c>
      <c r="H12" s="30"/>
      <c r="I12" s="34" t="s">
        <v>20</v>
      </c>
      <c r="J12" s="35"/>
      <c r="K12" s="30"/>
      <c r="L12" s="29"/>
      <c r="M12" s="30"/>
      <c r="N12" s="30"/>
      <c r="O12" s="30"/>
      <c r="P12" s="30"/>
      <c r="Q12" s="30"/>
      <c r="R12" s="30"/>
      <c r="S12" s="30"/>
      <c r="T12" s="30"/>
      <c r="U12" s="30"/>
      <c r="V12" s="31"/>
    </row>
    <row r="13" spans="1:22">
      <c r="A13" s="1" t="s">
        <v>21</v>
      </c>
      <c r="B13" s="29">
        <v>0</v>
      </c>
      <c r="C13" s="30">
        <v>0</v>
      </c>
      <c r="D13" s="30">
        <v>-0.22000000000116415</v>
      </c>
      <c r="E13" s="30">
        <v>0</v>
      </c>
      <c r="F13" s="30">
        <v>0</v>
      </c>
      <c r="G13" s="31">
        <f>SUM(DE_FINANCIAL)</f>
        <v>-0.22000000000116415</v>
      </c>
      <c r="H13" s="30"/>
      <c r="I13" s="34" t="s">
        <v>22</v>
      </c>
      <c r="J13" s="35">
        <v>2633693.4740727684</v>
      </c>
      <c r="K13" s="30"/>
      <c r="L13" s="29"/>
      <c r="M13" s="30"/>
      <c r="N13" s="30"/>
      <c r="O13" s="30"/>
      <c r="P13" s="30"/>
      <c r="Q13" s="30"/>
      <c r="R13" s="30"/>
      <c r="S13" s="30"/>
      <c r="T13" s="30"/>
      <c r="U13" s="30"/>
      <c r="V13" s="31"/>
    </row>
    <row r="14" spans="1:22">
      <c r="A14" s="1" t="s">
        <v>23</v>
      </c>
      <c r="B14" s="29">
        <v>0</v>
      </c>
      <c r="C14" s="30">
        <v>0</v>
      </c>
      <c r="D14" s="30">
        <v>45.511601004182239</v>
      </c>
      <c r="E14" s="30">
        <v>0</v>
      </c>
      <c r="F14" s="30">
        <v>0</v>
      </c>
      <c r="G14" s="31">
        <f>SUM(DC_FINANCIAL)</f>
        <v>45.511601004182239</v>
      </c>
      <c r="H14" s="30"/>
      <c r="I14" s="34" t="s">
        <v>24</v>
      </c>
      <c r="J14" s="35">
        <v>1250118.9409999999</v>
      </c>
      <c r="K14" s="30"/>
      <c r="L14" s="29"/>
      <c r="M14" s="30"/>
      <c r="N14" s="30"/>
      <c r="O14" s="30"/>
      <c r="P14" s="30"/>
      <c r="Q14" s="30"/>
      <c r="R14" s="30"/>
      <c r="S14" s="30"/>
      <c r="T14" s="30"/>
      <c r="U14" s="30"/>
      <c r="V14" s="31"/>
    </row>
    <row r="15" spans="1:22">
      <c r="A15" s="1" t="s">
        <v>25</v>
      </c>
      <c r="B15" s="29">
        <v>0</v>
      </c>
      <c r="C15" s="30">
        <v>0</v>
      </c>
      <c r="D15" s="30">
        <v>20424.381565688789</v>
      </c>
      <c r="E15" s="30">
        <v>0</v>
      </c>
      <c r="F15" s="30">
        <v>0</v>
      </c>
      <c r="G15" s="31">
        <f>SUM(FL_FINANCIAL)</f>
        <v>20424.381565688789</v>
      </c>
      <c r="H15" s="30"/>
      <c r="I15" s="34" t="s">
        <v>26</v>
      </c>
      <c r="J15" s="35">
        <v>809341.54661038483</v>
      </c>
      <c r="K15" s="30"/>
      <c r="L15" s="29"/>
      <c r="M15" s="30"/>
      <c r="N15" s="30"/>
      <c r="O15" s="30"/>
      <c r="P15" s="30"/>
      <c r="Q15" s="30"/>
      <c r="R15" s="30"/>
      <c r="S15" s="30"/>
      <c r="T15" s="30"/>
      <c r="U15" s="30"/>
      <c r="V15" s="31"/>
    </row>
    <row r="16" spans="1:22">
      <c r="A16" s="1" t="s">
        <v>27</v>
      </c>
      <c r="B16" s="29">
        <v>0</v>
      </c>
      <c r="C16" s="30">
        <v>0</v>
      </c>
      <c r="D16" s="30">
        <v>42946.74624899507</v>
      </c>
      <c r="E16" s="30">
        <v>0</v>
      </c>
      <c r="F16" s="30">
        <v>0</v>
      </c>
      <c r="G16" s="31">
        <f>SUM(GA_FINANCIAL)</f>
        <v>42946.74624899507</v>
      </c>
      <c r="H16" s="30"/>
      <c r="I16" s="34" t="s">
        <v>28</v>
      </c>
      <c r="J16" s="35">
        <v>0</v>
      </c>
      <c r="K16" s="30"/>
      <c r="L16" s="29"/>
      <c r="M16" s="30"/>
      <c r="N16" s="30"/>
      <c r="O16" s="30"/>
      <c r="P16" s="30"/>
      <c r="Q16" s="30"/>
      <c r="R16" s="30"/>
      <c r="S16" s="30"/>
      <c r="T16" s="30"/>
      <c r="U16" s="30"/>
      <c r="V16" s="31"/>
    </row>
    <row r="17" spans="1:22">
      <c r="A17" s="1" t="s">
        <v>29</v>
      </c>
      <c r="B17" s="29">
        <v>0</v>
      </c>
      <c r="C17" s="30">
        <v>0</v>
      </c>
      <c r="D17" s="30">
        <v>6477.8515839003958</v>
      </c>
      <c r="E17" s="30">
        <v>0</v>
      </c>
      <c r="F17" s="30">
        <v>0</v>
      </c>
      <c r="G17" s="31">
        <f>SUM(HI_FINANCIAL)</f>
        <v>6477.8515839003958</v>
      </c>
      <c r="H17" s="30"/>
      <c r="I17" s="34"/>
      <c r="J17" s="35"/>
      <c r="K17" s="30"/>
      <c r="L17" s="29"/>
      <c r="M17" s="30"/>
      <c r="N17" s="30"/>
      <c r="O17" s="30"/>
      <c r="P17" s="30"/>
      <c r="Q17" s="30"/>
      <c r="R17" s="30"/>
      <c r="S17" s="30"/>
      <c r="T17" s="30"/>
      <c r="U17" s="30"/>
      <c r="V17" s="31"/>
    </row>
    <row r="18" spans="1:22">
      <c r="A18" s="1" t="s">
        <v>30</v>
      </c>
      <c r="B18" s="29">
        <v>0</v>
      </c>
      <c r="C18" s="30">
        <v>0</v>
      </c>
      <c r="D18" s="30">
        <v>-69145.544477746706</v>
      </c>
      <c r="E18" s="30">
        <v>0</v>
      </c>
      <c r="F18" s="30">
        <v>0</v>
      </c>
      <c r="G18" s="31">
        <f>SUM(ID_FINANCIAL)</f>
        <v>-69145.544477746706</v>
      </c>
      <c r="H18" s="30"/>
      <c r="I18" s="34" t="s">
        <v>31</v>
      </c>
      <c r="J18" s="35"/>
      <c r="K18" s="30"/>
      <c r="L18" s="29"/>
      <c r="M18" s="30"/>
      <c r="N18" s="30"/>
      <c r="O18" s="30"/>
      <c r="P18" s="30"/>
      <c r="Q18" s="30"/>
      <c r="R18" s="30"/>
      <c r="S18" s="30"/>
      <c r="T18" s="30"/>
      <c r="U18" s="30"/>
      <c r="V18" s="31"/>
    </row>
    <row r="19" spans="1:22">
      <c r="A19" s="1" t="s">
        <v>32</v>
      </c>
      <c r="B19" s="29">
        <v>0</v>
      </c>
      <c r="C19" s="30">
        <v>0</v>
      </c>
      <c r="D19" s="30">
        <v>3568.5423792631191</v>
      </c>
      <c r="E19" s="30">
        <v>0</v>
      </c>
      <c r="F19" s="30">
        <v>0</v>
      </c>
      <c r="G19" s="31">
        <f>SUM(IL_FINANCIAL)</f>
        <v>3568.5423792631191</v>
      </c>
      <c r="H19" s="30"/>
      <c r="I19" s="34" t="s">
        <v>33</v>
      </c>
      <c r="J19" s="35">
        <v>0</v>
      </c>
      <c r="K19" s="30"/>
      <c r="L19" s="29"/>
      <c r="M19" s="30"/>
      <c r="N19" s="30"/>
      <c r="O19" s="30"/>
      <c r="P19" s="30"/>
      <c r="Q19" s="30"/>
      <c r="R19" s="30"/>
      <c r="S19" s="30"/>
      <c r="T19" s="30"/>
      <c r="U19" s="30"/>
      <c r="V19" s="31"/>
    </row>
    <row r="20" spans="1:22">
      <c r="A20" s="1" t="s">
        <v>34</v>
      </c>
      <c r="B20" s="29">
        <v>0</v>
      </c>
      <c r="C20" s="30">
        <v>0</v>
      </c>
      <c r="D20" s="30">
        <v>1465.035867672681</v>
      </c>
      <c r="E20" s="30">
        <v>0</v>
      </c>
      <c r="F20" s="30">
        <v>0</v>
      </c>
      <c r="G20" s="31">
        <f>SUM(IN_FINANCIAL)</f>
        <v>1465.035867672681</v>
      </c>
      <c r="H20" s="30"/>
      <c r="I20" s="34" t="s">
        <v>35</v>
      </c>
      <c r="J20" s="35">
        <v>2633693.4740727684</v>
      </c>
      <c r="K20" s="30"/>
      <c r="L20" s="29"/>
      <c r="M20" s="30"/>
      <c r="N20" s="30"/>
      <c r="O20" s="30"/>
      <c r="P20" s="30"/>
      <c r="Q20" s="30"/>
      <c r="R20" s="30"/>
      <c r="S20" s="30"/>
      <c r="T20" s="30"/>
      <c r="U20" s="30"/>
      <c r="V20" s="31"/>
    </row>
    <row r="21" spans="1:22">
      <c r="A21" s="1" t="s">
        <v>36</v>
      </c>
      <c r="B21" s="29">
        <v>0</v>
      </c>
      <c r="C21" s="30">
        <v>0</v>
      </c>
      <c r="D21" s="30">
        <v>39.110017103784458</v>
      </c>
      <c r="E21" s="30">
        <v>0</v>
      </c>
      <c r="F21" s="30">
        <v>0</v>
      </c>
      <c r="G21" s="31">
        <f>SUM(IA_FINANCIAL)</f>
        <v>39.110017103784458</v>
      </c>
      <c r="H21" s="30"/>
      <c r="I21" s="34" t="s">
        <v>37</v>
      </c>
      <c r="J21" s="35"/>
      <c r="K21" s="30"/>
      <c r="L21" s="29"/>
      <c r="M21" s="30"/>
      <c r="N21" s="30"/>
      <c r="O21" s="30"/>
      <c r="P21" s="30"/>
      <c r="Q21" s="30"/>
      <c r="R21" s="30"/>
      <c r="S21" s="30"/>
      <c r="T21" s="30"/>
      <c r="U21" s="30"/>
      <c r="V21" s="31"/>
    </row>
    <row r="22" spans="1:22">
      <c r="A22" s="1" t="s">
        <v>38</v>
      </c>
      <c r="B22" s="29">
        <v>0</v>
      </c>
      <c r="C22" s="30">
        <v>0</v>
      </c>
      <c r="D22" s="30">
        <v>3950.6337616327946</v>
      </c>
      <c r="E22" s="30">
        <v>0</v>
      </c>
      <c r="F22" s="30">
        <v>0</v>
      </c>
      <c r="G22" s="31">
        <f>SUM(KS_FINANCIAL)</f>
        <v>3950.6337616327946</v>
      </c>
      <c r="H22" s="30"/>
      <c r="I22" s="34" t="s">
        <v>39</v>
      </c>
      <c r="J22" s="35">
        <v>0</v>
      </c>
      <c r="K22" s="30"/>
      <c r="L22" s="29"/>
      <c r="M22" s="30"/>
      <c r="N22" s="30"/>
      <c r="O22" s="30"/>
      <c r="P22" s="30"/>
      <c r="Q22" s="30"/>
      <c r="R22" s="30"/>
      <c r="S22" s="30"/>
      <c r="T22" s="30"/>
      <c r="U22" s="30"/>
      <c r="V22" s="31"/>
    </row>
    <row r="23" spans="1:22">
      <c r="A23" s="1" t="s">
        <v>40</v>
      </c>
      <c r="B23" s="29">
        <v>0</v>
      </c>
      <c r="C23" s="30">
        <v>0</v>
      </c>
      <c r="D23" s="30">
        <v>0</v>
      </c>
      <c r="E23" s="30">
        <v>0</v>
      </c>
      <c r="F23" s="30">
        <v>0</v>
      </c>
      <c r="G23" s="31">
        <f>SUM(KY_FINANCIAL)</f>
        <v>0</v>
      </c>
      <c r="H23" s="30"/>
      <c r="I23" s="34" t="s">
        <v>41</v>
      </c>
      <c r="J23" s="35"/>
      <c r="K23" s="30"/>
      <c r="L23" s="29"/>
      <c r="M23" s="30"/>
      <c r="N23" s="30"/>
      <c r="O23" s="30"/>
      <c r="P23" s="30"/>
      <c r="Q23" s="30"/>
      <c r="R23" s="30"/>
      <c r="S23" s="30"/>
      <c r="T23" s="30"/>
      <c r="U23" s="30"/>
      <c r="V23" s="31"/>
    </row>
    <row r="24" spans="1:22">
      <c r="A24" s="1" t="s">
        <v>42</v>
      </c>
      <c r="B24" s="29">
        <v>0</v>
      </c>
      <c r="C24" s="30">
        <v>0</v>
      </c>
      <c r="D24" s="30">
        <v>7994.3628219039965</v>
      </c>
      <c r="E24" s="30">
        <v>0</v>
      </c>
      <c r="F24" s="30">
        <v>0</v>
      </c>
      <c r="G24" s="31">
        <f>SUM(LA_FINANCIAL)</f>
        <v>7994.3628219039965</v>
      </c>
      <c r="H24" s="30"/>
      <c r="I24" s="34" t="s">
        <v>43</v>
      </c>
      <c r="J24" s="35">
        <v>4282186.4452284491</v>
      </c>
      <c r="K24" s="30"/>
      <c r="L24" s="29"/>
      <c r="M24" s="30"/>
      <c r="N24" s="30"/>
      <c r="O24" s="30"/>
      <c r="P24" s="30"/>
      <c r="Q24" s="30"/>
      <c r="R24" s="30"/>
      <c r="S24" s="30"/>
      <c r="T24" s="30"/>
      <c r="U24" s="30"/>
      <c r="V24" s="31"/>
    </row>
    <row r="25" spans="1:22">
      <c r="A25" s="1" t="s">
        <v>44</v>
      </c>
      <c r="B25" s="29">
        <v>0</v>
      </c>
      <c r="C25" s="30">
        <v>0</v>
      </c>
      <c r="D25" s="30">
        <v>1.0544520542907776</v>
      </c>
      <c r="E25" s="30">
        <v>0</v>
      </c>
      <c r="F25" s="30">
        <v>0</v>
      </c>
      <c r="G25" s="31">
        <f>SUM(ME_FINANCIAL)</f>
        <v>1.0544520542907776</v>
      </c>
      <c r="H25" s="30"/>
      <c r="I25" s="34"/>
      <c r="J25" s="35"/>
      <c r="K25" s="30"/>
      <c r="L25" s="29"/>
      <c r="M25" s="30"/>
      <c r="N25" s="30"/>
      <c r="O25" s="30"/>
      <c r="P25" s="30"/>
      <c r="Q25" s="30"/>
      <c r="R25" s="30"/>
      <c r="S25" s="30"/>
      <c r="T25" s="30"/>
      <c r="U25" s="30"/>
      <c r="V25" s="31"/>
    </row>
    <row r="26" spans="1:22">
      <c r="A26" s="1" t="s">
        <v>45</v>
      </c>
      <c r="B26" s="29">
        <v>0</v>
      </c>
      <c r="C26" s="30">
        <v>0</v>
      </c>
      <c r="D26" s="30">
        <v>1785.7890830002325</v>
      </c>
      <c r="E26" s="30">
        <v>0</v>
      </c>
      <c r="F26" s="30">
        <v>0</v>
      </c>
      <c r="G26" s="31">
        <f>SUM(MD_FINANCIAL)</f>
        <v>1785.7890830002325</v>
      </c>
      <c r="H26" s="30"/>
      <c r="I26" s="34" t="s">
        <v>46</v>
      </c>
      <c r="J26" s="35">
        <f>SUM(ADD_FINANCIAL)-SUM(LESS_FINANCIAL)</f>
        <v>410967.51645470411</v>
      </c>
      <c r="K26" s="30"/>
      <c r="L26" s="29"/>
      <c r="M26" s="30"/>
      <c r="N26" s="30"/>
      <c r="O26" s="30"/>
      <c r="P26" s="30"/>
      <c r="Q26" s="30"/>
      <c r="R26" s="30"/>
      <c r="S26" s="30"/>
      <c r="T26" s="30"/>
      <c r="U26" s="30"/>
      <c r="V26" s="31"/>
    </row>
    <row r="27" spans="1:22">
      <c r="A27" s="1" t="s">
        <v>47</v>
      </c>
      <c r="B27" s="29">
        <v>0</v>
      </c>
      <c r="C27" s="30">
        <v>0</v>
      </c>
      <c r="D27" s="30">
        <v>27997.620158274367</v>
      </c>
      <c r="E27" s="30">
        <v>0</v>
      </c>
      <c r="F27" s="30">
        <v>0</v>
      </c>
      <c r="G27" s="31">
        <f>SUM(MA_FINANCIAL)</f>
        <v>27997.620158274367</v>
      </c>
      <c r="H27" s="30"/>
      <c r="I27" s="34" t="s">
        <v>48</v>
      </c>
      <c r="J27" s="35">
        <f>SUM(ALL_BLOCKS)</f>
        <v>410967.5164547048</v>
      </c>
      <c r="K27" s="30"/>
      <c r="L27" s="29"/>
      <c r="M27" s="30"/>
      <c r="N27" s="30"/>
      <c r="O27" s="30"/>
      <c r="P27" s="30"/>
      <c r="Q27" s="30"/>
      <c r="R27" s="30"/>
      <c r="S27" s="30"/>
      <c r="T27" s="30"/>
      <c r="U27" s="30"/>
      <c r="V27" s="31"/>
    </row>
    <row r="28" spans="1:22">
      <c r="A28" s="1" t="s">
        <v>49</v>
      </c>
      <c r="B28" s="29">
        <v>0</v>
      </c>
      <c r="C28" s="30">
        <v>0</v>
      </c>
      <c r="D28" s="30">
        <v>7253.9965041472751</v>
      </c>
      <c r="E28" s="30">
        <v>0</v>
      </c>
      <c r="F28" s="30">
        <v>0</v>
      </c>
      <c r="G28" s="31">
        <f>SUM(MI_FINANCIAL)</f>
        <v>7253.9965041472751</v>
      </c>
      <c r="H28" s="30"/>
      <c r="I28" s="36"/>
      <c r="J28" s="37"/>
      <c r="K28" s="30"/>
      <c r="L28" s="29"/>
      <c r="M28" s="30"/>
      <c r="N28" s="30"/>
      <c r="O28" s="30"/>
      <c r="P28" s="30"/>
      <c r="Q28" s="30"/>
      <c r="R28" s="30"/>
      <c r="S28" s="30"/>
      <c r="T28" s="30"/>
      <c r="U28" s="30"/>
      <c r="V28" s="31"/>
    </row>
    <row r="29" spans="1:22">
      <c r="A29" s="1" t="s">
        <v>50</v>
      </c>
      <c r="B29" s="29">
        <v>0</v>
      </c>
      <c r="C29" s="30">
        <v>0</v>
      </c>
      <c r="D29" s="30">
        <v>203.14225160933984</v>
      </c>
      <c r="E29" s="30">
        <v>0</v>
      </c>
      <c r="F29" s="30">
        <v>0</v>
      </c>
      <c r="G29" s="31">
        <f>SUM(MN_FINANCIAL)</f>
        <v>203.14225160933984</v>
      </c>
      <c r="H29" s="30"/>
      <c r="I29" s="30"/>
      <c r="J29" s="30"/>
      <c r="K29" s="30"/>
      <c r="L29" s="29"/>
      <c r="M29" s="30"/>
      <c r="N29" s="30"/>
      <c r="O29" s="30"/>
      <c r="P29" s="30"/>
      <c r="Q29" s="30"/>
      <c r="R29" s="30"/>
      <c r="S29" s="30"/>
      <c r="T29" s="30"/>
      <c r="U29" s="30"/>
      <c r="V29" s="31"/>
    </row>
    <row r="30" spans="1:22">
      <c r="A30" s="1" t="s">
        <v>51</v>
      </c>
      <c r="B30" s="29">
        <v>0</v>
      </c>
      <c r="C30" s="30">
        <v>0</v>
      </c>
      <c r="D30" s="30">
        <v>9480.009755476698</v>
      </c>
      <c r="E30" s="30">
        <v>0</v>
      </c>
      <c r="F30" s="30">
        <v>0</v>
      </c>
      <c r="G30" s="31">
        <f>SUM(MS_FINANCIAL)</f>
        <v>9480.009755476698</v>
      </c>
      <c r="H30" s="30"/>
      <c r="I30" s="30"/>
      <c r="J30" s="30"/>
      <c r="K30" s="30"/>
      <c r="L30" s="29"/>
      <c r="M30" s="30"/>
      <c r="N30" s="30"/>
      <c r="O30" s="30"/>
      <c r="P30" s="30"/>
      <c r="Q30" s="30"/>
      <c r="R30" s="30"/>
      <c r="S30" s="30"/>
      <c r="T30" s="30"/>
      <c r="U30" s="30"/>
      <c r="V30" s="31"/>
    </row>
    <row r="31" spans="1:22">
      <c r="A31" s="1" t="s">
        <v>52</v>
      </c>
      <c r="B31" s="29">
        <v>0</v>
      </c>
      <c r="C31" s="30">
        <v>0</v>
      </c>
      <c r="D31" s="30">
        <v>8641.6924702854958</v>
      </c>
      <c r="E31" s="30">
        <v>0</v>
      </c>
      <c r="F31" s="30">
        <v>0</v>
      </c>
      <c r="G31" s="31">
        <f>SUM(MO_FINANCIAL)</f>
        <v>8641.6924702854958</v>
      </c>
      <c r="H31" s="30"/>
      <c r="I31" s="30"/>
      <c r="J31" s="30"/>
      <c r="K31" s="30"/>
      <c r="L31" s="29"/>
      <c r="M31" s="30"/>
      <c r="N31" s="30"/>
      <c r="O31" s="30"/>
      <c r="P31" s="30"/>
      <c r="Q31" s="30"/>
      <c r="R31" s="30"/>
      <c r="S31" s="30"/>
      <c r="T31" s="30"/>
      <c r="U31" s="30"/>
      <c r="V31" s="31"/>
    </row>
    <row r="32" spans="1:22">
      <c r="A32" s="1" t="s">
        <v>53</v>
      </c>
      <c r="B32" s="29">
        <v>0</v>
      </c>
      <c r="C32" s="30">
        <v>0</v>
      </c>
      <c r="D32" s="30">
        <v>23630.333346471998</v>
      </c>
      <c r="E32" s="30">
        <v>0</v>
      </c>
      <c r="F32" s="30">
        <v>0</v>
      </c>
      <c r="G32" s="31">
        <f>SUM(MT_FINANCIAL)</f>
        <v>23630.333346471998</v>
      </c>
      <c r="H32" s="30"/>
      <c r="I32" s="30"/>
      <c r="J32" s="30"/>
      <c r="K32" s="30"/>
      <c r="L32" s="29"/>
      <c r="M32" s="30"/>
      <c r="N32" s="30"/>
      <c r="O32" s="30"/>
      <c r="P32" s="30"/>
      <c r="Q32" s="30"/>
      <c r="R32" s="30"/>
      <c r="S32" s="30"/>
      <c r="T32" s="30"/>
      <c r="U32" s="30"/>
      <c r="V32" s="31"/>
    </row>
    <row r="33" spans="1:22">
      <c r="A33" s="1" t="s">
        <v>54</v>
      </c>
      <c r="B33" s="29">
        <v>0</v>
      </c>
      <c r="C33" s="30">
        <v>0</v>
      </c>
      <c r="D33" s="30">
        <v>0</v>
      </c>
      <c r="E33" s="30">
        <v>0</v>
      </c>
      <c r="F33" s="30">
        <v>0</v>
      </c>
      <c r="G33" s="31">
        <f>SUM(NE_FINANCIAL)</f>
        <v>0</v>
      </c>
      <c r="H33" s="30"/>
      <c r="I33" s="30"/>
      <c r="J33" s="30"/>
      <c r="K33" s="30"/>
      <c r="L33" s="29"/>
      <c r="M33" s="30"/>
      <c r="N33" s="30"/>
      <c r="O33" s="30"/>
      <c r="P33" s="30"/>
      <c r="Q33" s="30"/>
      <c r="R33" s="30"/>
      <c r="S33" s="30"/>
      <c r="T33" s="30"/>
      <c r="U33" s="30"/>
      <c r="V33" s="31"/>
    </row>
    <row r="34" spans="1:22">
      <c r="A34" s="1" t="s">
        <v>55</v>
      </c>
      <c r="B34" s="29">
        <v>0</v>
      </c>
      <c r="C34" s="30">
        <v>0</v>
      </c>
      <c r="D34" s="30">
        <v>468.56105302173</v>
      </c>
      <c r="E34" s="30">
        <v>0</v>
      </c>
      <c r="F34" s="30">
        <v>0</v>
      </c>
      <c r="G34" s="31">
        <f>SUM(NV_FINANCIAL)</f>
        <v>468.56105302173</v>
      </c>
      <c r="H34" s="30"/>
      <c r="I34" s="30"/>
      <c r="J34" s="30"/>
      <c r="K34" s="30"/>
      <c r="L34" s="29"/>
      <c r="M34" s="30"/>
      <c r="N34" s="30"/>
      <c r="O34" s="30"/>
      <c r="P34" s="30"/>
      <c r="Q34" s="30"/>
      <c r="R34" s="30"/>
      <c r="S34" s="30"/>
      <c r="T34" s="30"/>
      <c r="U34" s="30"/>
      <c r="V34" s="31"/>
    </row>
    <row r="35" spans="1:22">
      <c r="A35" s="1" t="s">
        <v>56</v>
      </c>
      <c r="B35" s="29">
        <v>0</v>
      </c>
      <c r="C35" s="30">
        <v>0</v>
      </c>
      <c r="D35" s="30">
        <v>40132.869999999995</v>
      </c>
      <c r="E35" s="30">
        <v>0</v>
      </c>
      <c r="F35" s="30">
        <v>0</v>
      </c>
      <c r="G35" s="31">
        <f>SUM(NH_FINANCIAL)</f>
        <v>40132.869999999995</v>
      </c>
      <c r="H35" s="30"/>
      <c r="I35" s="30"/>
      <c r="J35" s="30"/>
      <c r="K35" s="30"/>
      <c r="L35" s="29"/>
      <c r="M35" s="30"/>
      <c r="N35" s="30"/>
      <c r="O35" s="30"/>
      <c r="P35" s="30"/>
      <c r="Q35" s="30"/>
      <c r="R35" s="30"/>
      <c r="S35" s="30"/>
      <c r="T35" s="30"/>
      <c r="U35" s="30"/>
      <c r="V35" s="31"/>
    </row>
    <row r="36" spans="1:22">
      <c r="A36" s="1" t="s">
        <v>57</v>
      </c>
      <c r="B36" s="29">
        <v>0</v>
      </c>
      <c r="C36" s="30">
        <v>0</v>
      </c>
      <c r="D36" s="30">
        <v>769.08855270943059</v>
      </c>
      <c r="E36" s="30">
        <v>0</v>
      </c>
      <c r="F36" s="30">
        <v>0</v>
      </c>
      <c r="G36" s="31">
        <f>SUM(NJ_FINANCIAL)</f>
        <v>769.08855270943059</v>
      </c>
      <c r="H36" s="30"/>
      <c r="I36" s="30"/>
      <c r="J36" s="30"/>
      <c r="K36" s="30"/>
      <c r="L36" s="29"/>
      <c r="M36" s="30"/>
      <c r="N36" s="30"/>
      <c r="O36" s="30"/>
      <c r="P36" s="30"/>
      <c r="Q36" s="30"/>
      <c r="R36" s="30"/>
      <c r="S36" s="30"/>
      <c r="T36" s="30"/>
      <c r="U36" s="30"/>
      <c r="V36" s="31"/>
    </row>
    <row r="37" spans="1:22">
      <c r="A37" s="1" t="s">
        <v>58</v>
      </c>
      <c r="B37" s="29">
        <v>0</v>
      </c>
      <c r="C37" s="30">
        <v>0</v>
      </c>
      <c r="D37" s="30">
        <v>5175.3278253209501</v>
      </c>
      <c r="E37" s="30">
        <v>0</v>
      </c>
      <c r="F37" s="30">
        <v>0</v>
      </c>
      <c r="G37" s="31">
        <f>SUM(NM_FINANCIAL)</f>
        <v>5175.3278253209501</v>
      </c>
      <c r="H37" s="30"/>
      <c r="I37" s="30"/>
      <c r="J37" s="30"/>
      <c r="K37" s="30"/>
      <c r="L37" s="29"/>
      <c r="M37" s="30"/>
      <c r="N37" s="30"/>
      <c r="O37" s="30"/>
      <c r="P37" s="30"/>
      <c r="Q37" s="30"/>
      <c r="R37" s="30"/>
      <c r="S37" s="30"/>
      <c r="T37" s="30"/>
      <c r="U37" s="30"/>
      <c r="V37" s="31"/>
    </row>
    <row r="38" spans="1:22">
      <c r="A38" s="1" t="s">
        <v>59</v>
      </c>
      <c r="B38" s="29">
        <v>0</v>
      </c>
      <c r="C38" s="30">
        <v>0</v>
      </c>
      <c r="D38" s="30">
        <v>0</v>
      </c>
      <c r="E38" s="30">
        <v>0</v>
      </c>
      <c r="F38" s="30">
        <v>0</v>
      </c>
      <c r="G38" s="31">
        <f>SUM(NY_FINANCIAL)</f>
        <v>0</v>
      </c>
      <c r="H38" s="30"/>
      <c r="I38" s="30"/>
      <c r="J38" s="30"/>
      <c r="K38" s="30"/>
      <c r="L38" s="29"/>
      <c r="M38" s="30"/>
      <c r="N38" s="30"/>
      <c r="O38" s="30"/>
      <c r="P38" s="30"/>
      <c r="Q38" s="30"/>
      <c r="R38" s="30"/>
      <c r="S38" s="30"/>
      <c r="T38" s="30"/>
      <c r="U38" s="30"/>
      <c r="V38" s="31"/>
    </row>
    <row r="39" spans="1:22">
      <c r="A39" s="1" t="s">
        <v>60</v>
      </c>
      <c r="B39" s="29">
        <v>0</v>
      </c>
      <c r="C39" s="30">
        <v>0</v>
      </c>
      <c r="D39" s="30">
        <v>0</v>
      </c>
      <c r="E39" s="30">
        <v>0</v>
      </c>
      <c r="F39" s="30">
        <v>0</v>
      </c>
      <c r="G39" s="31">
        <f>SUM(NC_FINANCIAL)</f>
        <v>0</v>
      </c>
      <c r="H39" s="30"/>
      <c r="I39" s="30"/>
      <c r="J39" s="30"/>
      <c r="K39" s="30"/>
      <c r="L39" s="29"/>
      <c r="M39" s="30"/>
      <c r="N39" s="30"/>
      <c r="O39" s="30"/>
      <c r="P39" s="30"/>
      <c r="Q39" s="30"/>
      <c r="R39" s="30"/>
      <c r="S39" s="30"/>
      <c r="T39" s="30"/>
      <c r="U39" s="30"/>
      <c r="V39" s="31"/>
    </row>
    <row r="40" spans="1:22">
      <c r="A40" s="1" t="s">
        <v>61</v>
      </c>
      <c r="B40" s="29">
        <v>0</v>
      </c>
      <c r="C40" s="30">
        <v>0</v>
      </c>
      <c r="D40" s="30">
        <v>-0.5</v>
      </c>
      <c r="E40" s="30">
        <v>0</v>
      </c>
      <c r="F40" s="30">
        <v>0</v>
      </c>
      <c r="G40" s="31">
        <f>SUM(ND_FINANCIAL)</f>
        <v>-0.5</v>
      </c>
      <c r="H40" s="30"/>
      <c r="I40" s="30"/>
      <c r="J40" s="30"/>
      <c r="K40" s="30"/>
      <c r="L40" s="29"/>
      <c r="M40" s="30"/>
      <c r="N40" s="30"/>
      <c r="O40" s="30"/>
      <c r="P40" s="30"/>
      <c r="Q40" s="30"/>
      <c r="R40" s="30"/>
      <c r="S40" s="30"/>
      <c r="T40" s="30"/>
      <c r="U40" s="30"/>
      <c r="V40" s="31"/>
    </row>
    <row r="41" spans="1:22">
      <c r="A41" s="1" t="s">
        <v>62</v>
      </c>
      <c r="B41" s="29">
        <v>0</v>
      </c>
      <c r="C41" s="30">
        <v>0</v>
      </c>
      <c r="D41" s="30">
        <v>1007.5539719394683</v>
      </c>
      <c r="E41" s="30">
        <v>0</v>
      </c>
      <c r="F41" s="30">
        <v>0</v>
      </c>
      <c r="G41" s="31">
        <f>SUM(OH_FINANCIAL)</f>
        <v>1007.5539719394683</v>
      </c>
      <c r="H41" s="30"/>
      <c r="I41" s="30"/>
      <c r="J41" s="30"/>
      <c r="K41" s="30"/>
      <c r="L41" s="29"/>
      <c r="M41" s="30"/>
      <c r="N41" s="30"/>
      <c r="O41" s="30"/>
      <c r="P41" s="30"/>
      <c r="Q41" s="30"/>
      <c r="R41" s="30"/>
      <c r="S41" s="30"/>
      <c r="T41" s="30"/>
      <c r="U41" s="30"/>
      <c r="V41" s="31"/>
    </row>
    <row r="42" spans="1:22">
      <c r="A42" s="1" t="s">
        <v>63</v>
      </c>
      <c r="B42" s="29">
        <v>0</v>
      </c>
      <c r="C42" s="30">
        <v>0</v>
      </c>
      <c r="D42" s="30">
        <v>279.79762361031317</v>
      </c>
      <c r="E42" s="30">
        <v>0</v>
      </c>
      <c r="F42" s="30">
        <v>0</v>
      </c>
      <c r="G42" s="31">
        <f>SUM(OK_FINANCIAL)</f>
        <v>279.79762361031317</v>
      </c>
      <c r="H42" s="30"/>
      <c r="I42" s="30"/>
      <c r="J42" s="30"/>
      <c r="K42" s="30"/>
      <c r="L42" s="29"/>
      <c r="M42" s="30"/>
      <c r="N42" s="30"/>
      <c r="O42" s="30"/>
      <c r="P42" s="30"/>
      <c r="Q42" s="30"/>
      <c r="R42" s="30"/>
      <c r="S42" s="30"/>
      <c r="T42" s="30"/>
      <c r="U42" s="30"/>
      <c r="V42" s="31"/>
    </row>
    <row r="43" spans="1:22">
      <c r="A43" s="1" t="s">
        <v>64</v>
      </c>
      <c r="B43" s="29">
        <v>0</v>
      </c>
      <c r="C43" s="30">
        <v>0</v>
      </c>
      <c r="D43" s="30">
        <v>10056.980478759</v>
      </c>
      <c r="E43" s="30">
        <v>0</v>
      </c>
      <c r="F43" s="30">
        <v>0</v>
      </c>
      <c r="G43" s="31">
        <f>SUM(OR_FINANCIAL)</f>
        <v>10056.980478759</v>
      </c>
      <c r="H43" s="30"/>
      <c r="I43" s="30"/>
      <c r="J43" s="30"/>
      <c r="K43" s="30"/>
      <c r="L43" s="29"/>
      <c r="M43" s="30"/>
      <c r="N43" s="30"/>
      <c r="O43" s="30"/>
      <c r="P43" s="30"/>
      <c r="Q43" s="30"/>
      <c r="R43" s="30"/>
      <c r="S43" s="30"/>
      <c r="T43" s="30"/>
      <c r="U43" s="30"/>
      <c r="V43" s="31"/>
    </row>
    <row r="44" spans="1:22">
      <c r="A44" s="1" t="s">
        <v>65</v>
      </c>
      <c r="B44" s="29">
        <v>0</v>
      </c>
      <c r="C44" s="30">
        <v>0</v>
      </c>
      <c r="D44" s="30">
        <v>1374.563721814935</v>
      </c>
      <c r="E44" s="30">
        <v>0</v>
      </c>
      <c r="F44" s="30">
        <v>0</v>
      </c>
      <c r="G44" s="31">
        <f>SUM(PA_FINANCIAL)</f>
        <v>1374.563721814935</v>
      </c>
      <c r="H44" s="30"/>
      <c r="I44" s="30"/>
      <c r="J44" s="30"/>
      <c r="K44" s="30"/>
      <c r="L44" s="29"/>
      <c r="M44" s="30"/>
      <c r="N44" s="30"/>
      <c r="O44" s="30"/>
      <c r="P44" s="30"/>
      <c r="Q44" s="30"/>
      <c r="R44" s="30"/>
      <c r="S44" s="30"/>
      <c r="T44" s="30"/>
      <c r="U44" s="30"/>
      <c r="V44" s="31"/>
    </row>
    <row r="45" spans="1:22">
      <c r="A45" s="1" t="s">
        <v>66</v>
      </c>
      <c r="B45" s="29">
        <v>0</v>
      </c>
      <c r="C45" s="30">
        <v>0</v>
      </c>
      <c r="D45" s="30">
        <v>0</v>
      </c>
      <c r="E45" s="30">
        <v>0</v>
      </c>
      <c r="F45" s="30">
        <v>0</v>
      </c>
      <c r="G45" s="31">
        <f>SUM(PR_FINANCIAL)</f>
        <v>0</v>
      </c>
      <c r="H45" s="30"/>
      <c r="I45" s="30"/>
      <c r="J45" s="30"/>
      <c r="K45" s="30"/>
      <c r="L45" s="29"/>
      <c r="M45" s="30"/>
      <c r="N45" s="30"/>
      <c r="O45" s="30"/>
      <c r="P45" s="30"/>
      <c r="Q45" s="30"/>
      <c r="R45" s="30"/>
      <c r="S45" s="30"/>
      <c r="T45" s="30"/>
      <c r="U45" s="30"/>
      <c r="V45" s="31"/>
    </row>
    <row r="46" spans="1:22">
      <c r="A46" s="1" t="s">
        <v>67</v>
      </c>
      <c r="B46" s="29">
        <v>0</v>
      </c>
      <c r="C46" s="30">
        <v>0</v>
      </c>
      <c r="D46" s="30">
        <v>120.64315062352807</v>
      </c>
      <c r="E46" s="30">
        <v>0</v>
      </c>
      <c r="F46" s="30">
        <v>0</v>
      </c>
      <c r="G46" s="31">
        <f>SUM(RI_FINANCIAL)</f>
        <v>120.64315062352807</v>
      </c>
      <c r="H46" s="30"/>
      <c r="I46" s="30"/>
      <c r="J46" s="30"/>
      <c r="K46" s="30"/>
      <c r="L46" s="29"/>
      <c r="M46" s="30"/>
      <c r="N46" s="30"/>
      <c r="O46" s="30"/>
      <c r="P46" s="30"/>
      <c r="Q46" s="30"/>
      <c r="R46" s="30"/>
      <c r="S46" s="30"/>
      <c r="T46" s="30"/>
      <c r="U46" s="30"/>
      <c r="V46" s="31"/>
    </row>
    <row r="47" spans="1:22">
      <c r="A47" s="1" t="s">
        <v>68</v>
      </c>
      <c r="B47" s="29">
        <v>0</v>
      </c>
      <c r="C47" s="30">
        <v>0</v>
      </c>
      <c r="D47" s="30">
        <v>7206.4948457720066</v>
      </c>
      <c r="E47" s="30">
        <v>0</v>
      </c>
      <c r="F47" s="30">
        <v>0</v>
      </c>
      <c r="G47" s="31">
        <f>SUM(SC_FINANCIAL)</f>
        <v>7206.4948457720066</v>
      </c>
      <c r="H47" s="30"/>
      <c r="I47" s="30"/>
      <c r="J47" s="30"/>
      <c r="K47" s="30"/>
      <c r="L47" s="29"/>
      <c r="M47" s="30"/>
      <c r="N47" s="30"/>
      <c r="O47" s="30"/>
      <c r="P47" s="30"/>
      <c r="Q47" s="30"/>
      <c r="R47" s="30"/>
      <c r="S47" s="30"/>
      <c r="T47" s="30"/>
      <c r="U47" s="30"/>
      <c r="V47" s="31"/>
    </row>
    <row r="48" spans="1:22">
      <c r="A48" s="1" t="s">
        <v>69</v>
      </c>
      <c r="B48" s="29">
        <v>0</v>
      </c>
      <c r="C48" s="30">
        <v>0</v>
      </c>
      <c r="D48" s="30">
        <v>13.241909239717643</v>
      </c>
      <c r="E48" s="30">
        <v>0</v>
      </c>
      <c r="F48" s="30">
        <v>0</v>
      </c>
      <c r="G48" s="31">
        <f>SUM(SD_FINANCIAL)</f>
        <v>13.241909239717643</v>
      </c>
      <c r="H48" s="30"/>
      <c r="I48" s="30"/>
      <c r="J48" s="30"/>
      <c r="K48" s="30"/>
      <c r="L48" s="29"/>
      <c r="M48" s="30"/>
      <c r="N48" s="30"/>
      <c r="O48" s="30"/>
      <c r="P48" s="30"/>
      <c r="Q48" s="30"/>
      <c r="R48" s="30"/>
      <c r="S48" s="30"/>
      <c r="T48" s="30"/>
      <c r="U48" s="30"/>
      <c r="V48" s="31"/>
    </row>
    <row r="49" spans="1:22">
      <c r="A49" s="1" t="s">
        <v>70</v>
      </c>
      <c r="B49" s="29">
        <v>0</v>
      </c>
      <c r="C49" s="30">
        <v>0</v>
      </c>
      <c r="D49" s="30">
        <v>1866.134117391508</v>
      </c>
      <c r="E49" s="30">
        <v>0</v>
      </c>
      <c r="F49" s="30">
        <v>0</v>
      </c>
      <c r="G49" s="31">
        <f>SUM(TN_FINANCIAL)</f>
        <v>1866.134117391508</v>
      </c>
      <c r="H49" s="30"/>
      <c r="I49" s="30"/>
      <c r="J49" s="30"/>
      <c r="K49" s="30"/>
      <c r="L49" s="29"/>
      <c r="M49" s="30"/>
      <c r="N49" s="30"/>
      <c r="O49" s="30"/>
      <c r="P49" s="30"/>
      <c r="Q49" s="30"/>
      <c r="R49" s="30"/>
      <c r="S49" s="30"/>
      <c r="T49" s="30"/>
      <c r="U49" s="30"/>
      <c r="V49" s="31"/>
    </row>
    <row r="50" spans="1:22">
      <c r="A50" s="1" t="s">
        <v>71</v>
      </c>
      <c r="B50" s="29">
        <v>0</v>
      </c>
      <c r="C50" s="30">
        <v>0</v>
      </c>
      <c r="D50" s="30">
        <v>-44795.091520482092</v>
      </c>
      <c r="E50" s="30">
        <v>0</v>
      </c>
      <c r="F50" s="30">
        <v>0</v>
      </c>
      <c r="G50" s="31">
        <f>SUM(TX_FINANCIAL)</f>
        <v>-44795.091520482092</v>
      </c>
      <c r="H50" s="30"/>
      <c r="I50" s="30"/>
      <c r="J50" s="30"/>
      <c r="K50" s="30"/>
      <c r="L50" s="29">
        <v>0</v>
      </c>
      <c r="M50" s="30">
        <v>0</v>
      </c>
      <c r="N50" s="30"/>
      <c r="O50" s="30">
        <v>0</v>
      </c>
      <c r="P50" s="30">
        <v>0</v>
      </c>
      <c r="Q50" s="30"/>
      <c r="R50" s="30">
        <v>250000</v>
      </c>
      <c r="S50" s="30">
        <v>0</v>
      </c>
      <c r="T50" s="30"/>
      <c r="U50" s="30">
        <v>0</v>
      </c>
      <c r="V50" s="31">
        <v>0</v>
      </c>
    </row>
    <row r="51" spans="1:22">
      <c r="A51" s="1" t="s">
        <v>72</v>
      </c>
      <c r="B51" s="29">
        <v>0</v>
      </c>
      <c r="C51" s="30">
        <v>0</v>
      </c>
      <c r="D51" s="30">
        <v>2139.1719344912381</v>
      </c>
      <c r="E51" s="30">
        <v>0</v>
      </c>
      <c r="F51" s="30">
        <v>0</v>
      </c>
      <c r="G51" s="31">
        <f>SUM(UT_FINANCIAL)</f>
        <v>2139.1719344912381</v>
      </c>
      <c r="H51" s="30"/>
      <c r="I51" s="30"/>
      <c r="J51" s="30"/>
      <c r="K51" s="30"/>
      <c r="L51" s="29"/>
      <c r="M51" s="30"/>
      <c r="N51" s="30"/>
      <c r="O51" s="30"/>
      <c r="P51" s="30"/>
      <c r="Q51" s="30"/>
      <c r="R51" s="30"/>
      <c r="S51" s="30"/>
      <c r="T51" s="30"/>
      <c r="U51" s="30"/>
      <c r="V51" s="31"/>
    </row>
    <row r="52" spans="1:22">
      <c r="A52" s="1" t="s">
        <v>73</v>
      </c>
      <c r="B52" s="29">
        <v>0</v>
      </c>
      <c r="C52" s="30">
        <v>0</v>
      </c>
      <c r="D52" s="30">
        <v>5.2790667782424521</v>
      </c>
      <c r="E52" s="30">
        <v>0</v>
      </c>
      <c r="F52" s="30">
        <v>0</v>
      </c>
      <c r="G52" s="31">
        <f>SUM(VT_FINANCIAL)</f>
        <v>5.2790667782424521</v>
      </c>
      <c r="H52" s="30"/>
      <c r="I52" s="30"/>
      <c r="J52" s="30"/>
      <c r="K52" s="30"/>
      <c r="L52" s="29"/>
      <c r="M52" s="30"/>
      <c r="N52" s="30"/>
      <c r="O52" s="30"/>
      <c r="P52" s="30"/>
      <c r="Q52" s="30"/>
      <c r="R52" s="30"/>
      <c r="S52" s="30"/>
      <c r="T52" s="30"/>
      <c r="U52" s="30"/>
      <c r="V52" s="31"/>
    </row>
    <row r="53" spans="1:22">
      <c r="A53" s="1" t="s">
        <v>74</v>
      </c>
      <c r="B53" s="29">
        <v>0</v>
      </c>
      <c r="C53" s="30">
        <v>0</v>
      </c>
      <c r="D53" s="30">
        <v>21458.533058939793</v>
      </c>
      <c r="E53" s="30">
        <v>0</v>
      </c>
      <c r="F53" s="30">
        <v>0</v>
      </c>
      <c r="G53" s="31">
        <f>SUM(VA_FINANCIAL)</f>
        <v>21458.533058939793</v>
      </c>
      <c r="H53" s="30"/>
      <c r="I53" s="30"/>
      <c r="J53" s="30"/>
      <c r="K53" s="30"/>
      <c r="L53" s="29"/>
      <c r="M53" s="30"/>
      <c r="N53" s="30"/>
      <c r="O53" s="30"/>
      <c r="P53" s="30"/>
      <c r="Q53" s="30"/>
      <c r="R53" s="30"/>
      <c r="S53" s="30"/>
      <c r="T53" s="30"/>
      <c r="U53" s="30"/>
      <c r="V53" s="31"/>
    </row>
    <row r="54" spans="1:22">
      <c r="A54" s="1" t="s">
        <v>75</v>
      </c>
      <c r="B54" s="29">
        <v>0</v>
      </c>
      <c r="C54" s="30">
        <v>0</v>
      </c>
      <c r="D54" s="30">
        <v>2195.7136992921878</v>
      </c>
      <c r="E54" s="30">
        <v>0</v>
      </c>
      <c r="F54" s="30">
        <v>0</v>
      </c>
      <c r="G54" s="31">
        <f>SUM(WA_FINANCIAL)</f>
        <v>2195.7136992921878</v>
      </c>
      <c r="H54" s="30"/>
      <c r="I54" s="30"/>
      <c r="J54" s="30"/>
      <c r="K54" s="30"/>
      <c r="L54" s="29"/>
      <c r="M54" s="30"/>
      <c r="N54" s="30"/>
      <c r="O54" s="30"/>
      <c r="P54" s="30"/>
      <c r="Q54" s="30"/>
      <c r="R54" s="30"/>
      <c r="S54" s="30"/>
      <c r="T54" s="30"/>
      <c r="U54" s="30"/>
      <c r="V54" s="31"/>
    </row>
    <row r="55" spans="1:22">
      <c r="A55" s="1" t="s">
        <v>76</v>
      </c>
      <c r="B55" s="29">
        <v>0</v>
      </c>
      <c r="C55" s="30">
        <v>0</v>
      </c>
      <c r="D55" s="30">
        <v>3323.1834244310448</v>
      </c>
      <c r="E55" s="30">
        <v>0</v>
      </c>
      <c r="F55" s="30">
        <v>0</v>
      </c>
      <c r="G55" s="31">
        <f>SUM(WV_FINANCIAL)</f>
        <v>3323.1834244310448</v>
      </c>
      <c r="H55" s="30"/>
      <c r="I55" s="30"/>
      <c r="J55" s="30"/>
      <c r="K55" s="30"/>
      <c r="L55" s="29">
        <v>0</v>
      </c>
      <c r="M55" s="30">
        <v>0</v>
      </c>
      <c r="N55" s="30"/>
      <c r="O55" s="30">
        <v>0</v>
      </c>
      <c r="P55" s="30">
        <v>0</v>
      </c>
      <c r="Q55" s="30"/>
      <c r="R55" s="30">
        <v>100000</v>
      </c>
      <c r="S55" s="30">
        <v>0</v>
      </c>
      <c r="T55" s="30"/>
      <c r="U55" s="30">
        <v>0</v>
      </c>
      <c r="V55" s="31">
        <v>0</v>
      </c>
    </row>
    <row r="56" spans="1:22">
      <c r="A56" s="1" t="s">
        <v>77</v>
      </c>
      <c r="B56" s="29">
        <v>0</v>
      </c>
      <c r="C56" s="30">
        <v>0</v>
      </c>
      <c r="D56" s="30">
        <v>126604.58872038173</v>
      </c>
      <c r="E56" s="30">
        <v>0</v>
      </c>
      <c r="F56" s="30">
        <v>0</v>
      </c>
      <c r="G56" s="31">
        <f>SUM(WI_FINANCIAL)</f>
        <v>126604.58872038173</v>
      </c>
      <c r="H56" s="30"/>
      <c r="I56" s="30"/>
      <c r="J56" s="30"/>
      <c r="K56" s="30"/>
      <c r="L56" s="29"/>
      <c r="M56" s="30"/>
      <c r="N56" s="30"/>
      <c r="O56" s="30"/>
      <c r="P56" s="30"/>
      <c r="Q56" s="30"/>
      <c r="R56" s="30"/>
      <c r="S56" s="30"/>
      <c r="T56" s="30"/>
      <c r="U56" s="30"/>
      <c r="V56" s="31"/>
    </row>
    <row r="57" spans="1:22">
      <c r="A57" s="1" t="s">
        <v>78</v>
      </c>
      <c r="B57" s="29">
        <v>0</v>
      </c>
      <c r="C57" s="30">
        <v>0</v>
      </c>
      <c r="D57" s="30">
        <v>862.87542777831914</v>
      </c>
      <c r="E57" s="30">
        <v>0</v>
      </c>
      <c r="F57" s="30">
        <v>0</v>
      </c>
      <c r="G57" s="31">
        <f>SUM(WY_FINANCIAL)</f>
        <v>862.87542777831914</v>
      </c>
      <c r="H57" s="30"/>
      <c r="I57" s="30"/>
      <c r="J57" s="30"/>
      <c r="K57" s="30"/>
      <c r="L57" s="29"/>
      <c r="M57" s="30"/>
      <c r="N57" s="30"/>
      <c r="O57" s="30"/>
      <c r="P57" s="30"/>
      <c r="Q57" s="30"/>
      <c r="R57" s="30"/>
      <c r="S57" s="30"/>
      <c r="T57" s="30"/>
      <c r="U57" s="30"/>
      <c r="V57" s="31"/>
    </row>
    <row r="58" spans="1:22">
      <c r="A58" s="1" t="s">
        <v>79</v>
      </c>
      <c r="B58" s="29">
        <v>0</v>
      </c>
      <c r="C58" s="30">
        <v>0</v>
      </c>
      <c r="D58" s="30">
        <v>0</v>
      </c>
      <c r="E58" s="30">
        <v>0</v>
      </c>
      <c r="F58" s="30">
        <v>0</v>
      </c>
      <c r="G58" s="31">
        <f>SUM(OT_FINANCIAL)</f>
        <v>0</v>
      </c>
      <c r="H58" s="30"/>
      <c r="I58" s="30"/>
      <c r="J58" s="30"/>
      <c r="K58" s="30"/>
      <c r="L58" s="29"/>
      <c r="M58" s="30"/>
      <c r="N58" s="30"/>
      <c r="O58" s="30"/>
      <c r="P58" s="30"/>
      <c r="Q58" s="30"/>
      <c r="R58" s="30"/>
      <c r="S58" s="30"/>
      <c r="T58" s="30"/>
      <c r="U58" s="30"/>
      <c r="V58" s="31"/>
    </row>
    <row r="59" spans="1:22">
      <c r="B59" s="29"/>
      <c r="C59" s="30"/>
      <c r="D59" s="30"/>
      <c r="E59" s="30"/>
      <c r="F59" s="30"/>
      <c r="G59" s="31"/>
      <c r="H59" s="30"/>
      <c r="I59" s="30"/>
      <c r="J59" s="30"/>
      <c r="K59" s="30"/>
      <c r="L59" s="29"/>
      <c r="M59" s="30"/>
      <c r="N59" s="30"/>
      <c r="O59" s="30"/>
      <c r="P59" s="30"/>
      <c r="Q59" s="30"/>
      <c r="R59" s="30"/>
      <c r="S59" s="30"/>
      <c r="T59" s="30"/>
      <c r="U59" s="30"/>
      <c r="V59" s="31"/>
    </row>
    <row r="60" spans="1:22">
      <c r="A60" s="1" t="s">
        <v>8</v>
      </c>
      <c r="B60" s="29">
        <f>SUM(LIFE)</f>
        <v>0</v>
      </c>
      <c r="C60" s="30">
        <f>SUM(ALLOCATED)</f>
        <v>0</v>
      </c>
      <c r="D60" s="30">
        <f>SUM(HEALTH)</f>
        <v>410967.5164547048</v>
      </c>
      <c r="E60" s="30">
        <f>SUM(UNALLOCATED)</f>
        <v>0</v>
      </c>
      <c r="F60" s="30">
        <f>SUM(LTC)</f>
        <v>0</v>
      </c>
      <c r="G60" s="31">
        <f>SUM(ALL_BLOCKS)</f>
        <v>410967.5164547048</v>
      </c>
      <c r="H60" s="30"/>
      <c r="I60" s="30"/>
      <c r="J60" s="30"/>
      <c r="K60" s="30"/>
      <c r="L60" s="29">
        <f>SUM(LIFE_CALLED)</f>
        <v>0</v>
      </c>
      <c r="M60" s="30">
        <f>SUM(LIFE_REFUNDED)</f>
        <v>0</v>
      </c>
      <c r="N60" s="30"/>
      <c r="O60" s="30">
        <f>SUM(ALLOC_CALLED)</f>
        <v>0</v>
      </c>
      <c r="P60" s="30">
        <f>SUM(ALLOC_REFUNDED)</f>
        <v>0</v>
      </c>
      <c r="Q60" s="30"/>
      <c r="R60" s="30">
        <f>SUM(HEALTH_CALLED)</f>
        <v>584325</v>
      </c>
      <c r="S60" s="30">
        <f>SUM(HEALTH_REFUNDED)</f>
        <v>0</v>
      </c>
      <c r="T60" s="30"/>
      <c r="U60" s="30">
        <f>SUM(UNALLOC_CALLED)</f>
        <v>0</v>
      </c>
      <c r="V60" s="31">
        <f>SUM(UNALLOC_REFUNDED)</f>
        <v>0</v>
      </c>
    </row>
    <row r="61" spans="1:22" ht="5.0999999999999996" customHeight="1">
      <c r="B61" s="8"/>
      <c r="G61" s="11"/>
      <c r="L61" s="8"/>
      <c r="V61" s="11"/>
    </row>
    <row r="62" spans="1:22">
      <c r="B62" s="8"/>
      <c r="G62" s="11"/>
      <c r="L62" s="122" t="s">
        <v>80</v>
      </c>
      <c r="M62" s="123"/>
      <c r="N62" s="123"/>
      <c r="O62" s="123"/>
      <c r="P62" s="123"/>
      <c r="Q62" s="123"/>
      <c r="R62" s="123"/>
      <c r="S62" s="123"/>
      <c r="T62" s="123"/>
      <c r="U62" s="123"/>
      <c r="V62" s="124"/>
    </row>
    <row r="63" spans="1:22">
      <c r="B63" s="8"/>
      <c r="G63" s="11"/>
      <c r="L63" s="125"/>
      <c r="M63" s="123"/>
      <c r="N63" s="123"/>
      <c r="O63" s="123"/>
      <c r="P63" s="123"/>
      <c r="Q63" s="123"/>
      <c r="R63" s="123"/>
      <c r="S63" s="123"/>
      <c r="T63" s="123"/>
      <c r="U63" s="123"/>
      <c r="V63" s="124"/>
    </row>
    <row r="64" spans="1:22">
      <c r="B64" s="10"/>
      <c r="C64" s="7"/>
      <c r="D64" s="7"/>
      <c r="E64" s="7"/>
      <c r="F64" s="7"/>
      <c r="G64" s="13"/>
      <c r="L64" s="126"/>
      <c r="M64" s="127"/>
      <c r="N64" s="127"/>
      <c r="O64" s="127"/>
      <c r="P64" s="127"/>
      <c r="Q64" s="127"/>
      <c r="R64" s="127"/>
      <c r="S64" s="127"/>
      <c r="T64" s="127"/>
      <c r="U64" s="127"/>
      <c r="V64" s="128"/>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pageSetUpPr fitToPage="1"/>
  </sheetPr>
  <dimension ref="A1:V64"/>
  <sheetViews>
    <sheetView zoomScale="75" workbookViewId="0">
      <selection sqref="A1:XFD1048576"/>
    </sheetView>
  </sheetViews>
  <sheetFormatPr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129" t="s">
        <v>133</v>
      </c>
      <c r="B1" s="123"/>
      <c r="C1" s="123"/>
      <c r="D1" s="123"/>
      <c r="E1" s="123"/>
      <c r="F1" s="123"/>
      <c r="G1" s="123"/>
    </row>
    <row r="3" spans="1:22">
      <c r="B3" s="130" t="s">
        <v>1</v>
      </c>
      <c r="C3" s="131"/>
      <c r="D3" s="131"/>
      <c r="E3" s="131"/>
      <c r="F3" s="131"/>
      <c r="G3" s="132"/>
      <c r="L3" s="133" t="s">
        <v>2</v>
      </c>
      <c r="M3" s="134"/>
      <c r="N3" s="134"/>
      <c r="O3" s="134"/>
      <c r="P3" s="134"/>
      <c r="Q3" s="134"/>
      <c r="R3" s="134"/>
      <c r="S3" s="134"/>
      <c r="T3" s="134"/>
      <c r="U3" s="134"/>
      <c r="V3" s="135"/>
    </row>
    <row r="4" spans="1:22">
      <c r="B4" s="8"/>
      <c r="G4" s="11"/>
      <c r="L4" s="136" t="s">
        <v>3</v>
      </c>
      <c r="M4" s="137"/>
      <c r="N4" s="4"/>
      <c r="O4" s="138" t="s">
        <v>4</v>
      </c>
      <c r="P4" s="137"/>
      <c r="Q4" s="4"/>
      <c r="R4" s="138" t="s">
        <v>5</v>
      </c>
      <c r="S4" s="137"/>
      <c r="T4" s="4"/>
      <c r="U4" s="138" t="s">
        <v>6</v>
      </c>
      <c r="V4" s="139"/>
    </row>
    <row r="5" spans="1:22" ht="60" customHeight="1">
      <c r="B5" s="9" t="s">
        <v>3</v>
      </c>
      <c r="C5" s="5" t="s">
        <v>4</v>
      </c>
      <c r="D5" s="5" t="s">
        <v>5</v>
      </c>
      <c r="E5" s="5" t="s">
        <v>6</v>
      </c>
      <c r="F5" s="5" t="s">
        <v>7</v>
      </c>
      <c r="G5" s="12" t="s">
        <v>8</v>
      </c>
      <c r="L5" s="15" t="s">
        <v>9</v>
      </c>
      <c r="M5" s="14" t="s">
        <v>10</v>
      </c>
      <c r="N5" s="14"/>
      <c r="O5" s="14" t="s">
        <v>9</v>
      </c>
      <c r="P5" s="14" t="s">
        <v>10</v>
      </c>
      <c r="Q5" s="14"/>
      <c r="R5" s="14" t="s">
        <v>9</v>
      </c>
      <c r="S5" s="14" t="s">
        <v>10</v>
      </c>
      <c r="T5" s="14"/>
      <c r="U5" s="14" t="s">
        <v>9</v>
      </c>
      <c r="V5" s="16" t="s">
        <v>10</v>
      </c>
    </row>
    <row r="6" spans="1:22">
      <c r="A6" s="1" t="s">
        <v>11</v>
      </c>
      <c r="B6" s="29">
        <v>22116.744589618029</v>
      </c>
      <c r="C6" s="30">
        <v>0</v>
      </c>
      <c r="D6" s="30">
        <v>209483.20951146161</v>
      </c>
      <c r="E6" s="30">
        <v>0</v>
      </c>
      <c r="F6" s="30">
        <v>0</v>
      </c>
      <c r="G6" s="31">
        <f>SUM(AL_FINANCIAL)</f>
        <v>231599.95410107964</v>
      </c>
      <c r="H6" s="30"/>
      <c r="I6" s="30"/>
      <c r="J6" s="30"/>
      <c r="K6" s="30"/>
      <c r="L6" s="29"/>
      <c r="M6" s="30"/>
      <c r="N6" s="30"/>
      <c r="O6" s="30"/>
      <c r="P6" s="30"/>
      <c r="Q6" s="30"/>
      <c r="R6" s="30"/>
      <c r="S6" s="30"/>
      <c r="T6" s="30"/>
      <c r="U6" s="30"/>
      <c r="V6" s="31"/>
    </row>
    <row r="7" spans="1:22">
      <c r="A7" s="1" t="s">
        <v>12</v>
      </c>
      <c r="B7" s="29">
        <v>0</v>
      </c>
      <c r="C7" s="30">
        <v>0</v>
      </c>
      <c r="D7" s="30">
        <v>0</v>
      </c>
      <c r="E7" s="30">
        <v>0</v>
      </c>
      <c r="F7" s="30">
        <v>0</v>
      </c>
      <c r="G7" s="31">
        <f>SUM(AK_FINANCIAL)</f>
        <v>0</v>
      </c>
      <c r="H7" s="30"/>
      <c r="I7" s="32"/>
      <c r="J7" s="33"/>
      <c r="K7" s="30"/>
      <c r="L7" s="29"/>
      <c r="M7" s="30"/>
      <c r="N7" s="30"/>
      <c r="O7" s="30"/>
      <c r="P7" s="30"/>
      <c r="Q7" s="30"/>
      <c r="R7" s="30"/>
      <c r="S7" s="30"/>
      <c r="T7" s="30"/>
      <c r="U7" s="30"/>
      <c r="V7" s="31"/>
    </row>
    <row r="8" spans="1:22">
      <c r="A8" s="1" t="s">
        <v>13</v>
      </c>
      <c r="B8" s="29">
        <v>17594.511043997059</v>
      </c>
      <c r="C8" s="30">
        <v>0</v>
      </c>
      <c r="D8" s="30">
        <v>1210463.9280545779</v>
      </c>
      <c r="E8" s="30">
        <v>0</v>
      </c>
      <c r="F8" s="30">
        <v>0</v>
      </c>
      <c r="G8" s="31">
        <f>SUM(AZ_FINANCIAL)</f>
        <v>1228058.4390985749</v>
      </c>
      <c r="H8" s="30"/>
      <c r="I8" s="34" t="s">
        <v>14</v>
      </c>
      <c r="J8" s="35"/>
      <c r="K8" s="30"/>
      <c r="L8" s="29"/>
      <c r="M8" s="30"/>
      <c r="N8" s="30"/>
      <c r="O8" s="30"/>
      <c r="P8" s="30"/>
      <c r="Q8" s="30"/>
      <c r="R8" s="30"/>
      <c r="S8" s="30"/>
      <c r="T8" s="30"/>
      <c r="U8" s="30"/>
      <c r="V8" s="31"/>
    </row>
    <row r="9" spans="1:22">
      <c r="A9" s="1" t="s">
        <v>15</v>
      </c>
      <c r="B9" s="29">
        <v>-1180.0120868159865</v>
      </c>
      <c r="C9" s="30">
        <v>0</v>
      </c>
      <c r="D9" s="30">
        <v>-27460.739171695328</v>
      </c>
      <c r="E9" s="30">
        <v>0</v>
      </c>
      <c r="F9" s="30">
        <v>0</v>
      </c>
      <c r="G9" s="31">
        <f>SUM(AR_FINANCIAL)</f>
        <v>-28640.751258511315</v>
      </c>
      <c r="H9" s="30"/>
      <c r="I9" s="34"/>
      <c r="J9" s="35"/>
      <c r="K9" s="30"/>
      <c r="L9" s="29">
        <v>21578</v>
      </c>
      <c r="M9" s="30">
        <v>0</v>
      </c>
      <c r="N9" s="30"/>
      <c r="O9" s="30">
        <v>0</v>
      </c>
      <c r="P9" s="30">
        <v>0</v>
      </c>
      <c r="Q9" s="30"/>
      <c r="R9" s="30">
        <v>0</v>
      </c>
      <c r="S9" s="30">
        <v>0</v>
      </c>
      <c r="T9" s="30"/>
      <c r="U9" s="30">
        <v>0</v>
      </c>
      <c r="V9" s="31">
        <v>0</v>
      </c>
    </row>
    <row r="10" spans="1:22">
      <c r="A10" s="1" t="s">
        <v>16</v>
      </c>
      <c r="B10" s="29">
        <v>0</v>
      </c>
      <c r="C10" s="30">
        <v>0</v>
      </c>
      <c r="D10" s="30">
        <v>0</v>
      </c>
      <c r="E10" s="30">
        <v>0</v>
      </c>
      <c r="F10" s="30">
        <v>0</v>
      </c>
      <c r="G10" s="31">
        <f>SUM(CA_FINANCIAL)</f>
        <v>0</v>
      </c>
      <c r="H10" s="30"/>
      <c r="I10" s="34" t="s">
        <v>17</v>
      </c>
      <c r="J10" s="35">
        <v>47709013</v>
      </c>
      <c r="K10" s="30"/>
      <c r="L10" s="29"/>
      <c r="M10" s="30"/>
      <c r="N10" s="30"/>
      <c r="O10" s="30"/>
      <c r="P10" s="30"/>
      <c r="Q10" s="30"/>
      <c r="R10" s="30"/>
      <c r="S10" s="30"/>
      <c r="T10" s="30"/>
      <c r="U10" s="30"/>
      <c r="V10" s="31"/>
    </row>
    <row r="11" spans="1:22">
      <c r="A11" s="1" t="s">
        <v>18</v>
      </c>
      <c r="B11" s="29">
        <v>3990.6761919017772</v>
      </c>
      <c r="C11" s="30">
        <v>0</v>
      </c>
      <c r="D11" s="30">
        <v>277678.54315960919</v>
      </c>
      <c r="E11" s="30">
        <v>0</v>
      </c>
      <c r="F11" s="30">
        <v>0</v>
      </c>
      <c r="G11" s="31">
        <f>SUM(CO_FINANCIAL)</f>
        <v>281669.21935151098</v>
      </c>
      <c r="H11" s="30"/>
      <c r="I11" s="34"/>
      <c r="J11" s="35"/>
      <c r="K11" s="30"/>
      <c r="L11" s="29">
        <v>0</v>
      </c>
      <c r="M11" s="30">
        <v>0</v>
      </c>
      <c r="N11" s="30"/>
      <c r="O11" s="30">
        <v>0</v>
      </c>
      <c r="P11" s="30">
        <v>0</v>
      </c>
      <c r="Q11" s="30"/>
      <c r="R11" s="30">
        <v>35214</v>
      </c>
      <c r="S11" s="30">
        <v>0</v>
      </c>
      <c r="T11" s="30"/>
      <c r="U11" s="30">
        <v>0</v>
      </c>
      <c r="V11" s="31">
        <v>0</v>
      </c>
    </row>
    <row r="12" spans="1:22">
      <c r="A12" s="1" t="s">
        <v>19</v>
      </c>
      <c r="B12" s="29">
        <v>0</v>
      </c>
      <c r="C12" s="30">
        <v>0</v>
      </c>
      <c r="D12" s="30">
        <v>0</v>
      </c>
      <c r="E12" s="30">
        <v>0</v>
      </c>
      <c r="F12" s="30">
        <v>0</v>
      </c>
      <c r="G12" s="31">
        <f>SUM(CT_FINANCIAL)</f>
        <v>0</v>
      </c>
      <c r="H12" s="30"/>
      <c r="I12" s="34" t="s">
        <v>20</v>
      </c>
      <c r="J12" s="35"/>
      <c r="K12" s="30"/>
      <c r="L12" s="29"/>
      <c r="M12" s="30"/>
      <c r="N12" s="30"/>
      <c r="O12" s="30"/>
      <c r="P12" s="30"/>
      <c r="Q12" s="30"/>
      <c r="R12" s="30"/>
      <c r="S12" s="30"/>
      <c r="T12" s="30"/>
      <c r="U12" s="30"/>
      <c r="V12" s="31"/>
    </row>
    <row r="13" spans="1:22">
      <c r="A13" s="1" t="s">
        <v>21</v>
      </c>
      <c r="B13" s="29">
        <v>1464.0775938309271</v>
      </c>
      <c r="C13" s="30">
        <v>0</v>
      </c>
      <c r="D13" s="30">
        <v>435.21227221270237</v>
      </c>
      <c r="E13" s="30">
        <v>0</v>
      </c>
      <c r="F13" s="30">
        <v>0</v>
      </c>
      <c r="G13" s="31">
        <f>SUM(DE_FINANCIAL)</f>
        <v>1899.2898660436294</v>
      </c>
      <c r="H13" s="30"/>
      <c r="I13" s="34" t="s">
        <v>22</v>
      </c>
      <c r="J13" s="35">
        <v>44409827.035000287</v>
      </c>
      <c r="K13" s="30"/>
      <c r="L13" s="29"/>
      <c r="M13" s="30"/>
      <c r="N13" s="30"/>
      <c r="O13" s="30"/>
      <c r="P13" s="30"/>
      <c r="Q13" s="30"/>
      <c r="R13" s="30"/>
      <c r="S13" s="30"/>
      <c r="T13" s="30"/>
      <c r="U13" s="30"/>
      <c r="V13" s="31"/>
    </row>
    <row r="14" spans="1:22">
      <c r="A14" s="1" t="s">
        <v>23</v>
      </c>
      <c r="B14" s="29">
        <v>-1265.0000454598544</v>
      </c>
      <c r="C14" s="30">
        <v>0</v>
      </c>
      <c r="D14" s="30">
        <v>-1120</v>
      </c>
      <c r="E14" s="30">
        <v>0</v>
      </c>
      <c r="F14" s="30">
        <v>0</v>
      </c>
      <c r="G14" s="31">
        <f>SUM(DC_FINANCIAL)</f>
        <v>-2385.0000454598544</v>
      </c>
      <c r="H14" s="30"/>
      <c r="I14" s="34" t="s">
        <v>24</v>
      </c>
      <c r="J14" s="35">
        <v>3937934.6700000004</v>
      </c>
      <c r="K14" s="30"/>
      <c r="L14" s="29"/>
      <c r="M14" s="30"/>
      <c r="N14" s="30"/>
      <c r="O14" s="30"/>
      <c r="P14" s="30"/>
      <c r="Q14" s="30"/>
      <c r="R14" s="30"/>
      <c r="S14" s="30"/>
      <c r="T14" s="30"/>
      <c r="U14" s="30"/>
      <c r="V14" s="31"/>
    </row>
    <row r="15" spans="1:22">
      <c r="A15" s="1" t="s">
        <v>25</v>
      </c>
      <c r="B15" s="29">
        <v>183048.92850515316</v>
      </c>
      <c r="C15" s="30">
        <v>0</v>
      </c>
      <c r="D15" s="30">
        <v>10336318.688129649</v>
      </c>
      <c r="E15" s="30">
        <v>0</v>
      </c>
      <c r="F15" s="30">
        <v>0</v>
      </c>
      <c r="G15" s="31">
        <f>SUM(FL_FINANCIAL)</f>
        <v>10519367.616634801</v>
      </c>
      <c r="H15" s="30"/>
      <c r="I15" s="34" t="s">
        <v>26</v>
      </c>
      <c r="J15" s="35">
        <v>7400472.6193214851</v>
      </c>
      <c r="K15" s="30"/>
      <c r="L15" s="29">
        <v>0</v>
      </c>
      <c r="M15" s="30">
        <v>0</v>
      </c>
      <c r="N15" s="30"/>
      <c r="O15" s="30">
        <v>0</v>
      </c>
      <c r="P15" s="30">
        <v>0</v>
      </c>
      <c r="Q15" s="30"/>
      <c r="R15" s="30">
        <v>6866686</v>
      </c>
      <c r="S15" s="30">
        <v>0</v>
      </c>
      <c r="T15" s="30"/>
      <c r="U15" s="30">
        <v>0</v>
      </c>
      <c r="V15" s="31">
        <v>0</v>
      </c>
    </row>
    <row r="16" spans="1:22">
      <c r="A16" s="1" t="s">
        <v>27</v>
      </c>
      <c r="B16" s="29">
        <v>56980.087391709618</v>
      </c>
      <c r="C16" s="30">
        <v>0</v>
      </c>
      <c r="D16" s="30">
        <v>10710382.900405858</v>
      </c>
      <c r="E16" s="30">
        <v>0</v>
      </c>
      <c r="F16" s="30">
        <v>0</v>
      </c>
      <c r="G16" s="31">
        <f>SUM(GA_FINANCIAL)</f>
        <v>10767362.987797568</v>
      </c>
      <c r="H16" s="30"/>
      <c r="I16" s="34" t="s">
        <v>28</v>
      </c>
      <c r="J16" s="35">
        <v>12750084.741250001</v>
      </c>
      <c r="K16" s="30"/>
      <c r="L16" s="29">
        <v>0</v>
      </c>
      <c r="M16" s="30">
        <v>0</v>
      </c>
      <c r="N16" s="30"/>
      <c r="O16" s="30">
        <v>0</v>
      </c>
      <c r="P16" s="30">
        <v>0</v>
      </c>
      <c r="Q16" s="30"/>
      <c r="R16" s="30">
        <v>9437552</v>
      </c>
      <c r="S16" s="30">
        <v>0</v>
      </c>
      <c r="T16" s="30"/>
      <c r="U16" s="30">
        <v>0</v>
      </c>
      <c r="V16" s="31">
        <v>0</v>
      </c>
    </row>
    <row r="17" spans="1:22">
      <c r="A17" s="1" t="s">
        <v>29</v>
      </c>
      <c r="B17" s="29">
        <v>32338.052387581174</v>
      </c>
      <c r="C17" s="30">
        <v>0</v>
      </c>
      <c r="D17" s="30">
        <v>24859.216176739912</v>
      </c>
      <c r="E17" s="30">
        <v>0</v>
      </c>
      <c r="F17" s="30">
        <v>0</v>
      </c>
      <c r="G17" s="31">
        <f>SUM(HI_FINANCIAL)</f>
        <v>57197.268564321086</v>
      </c>
      <c r="H17" s="30"/>
      <c r="I17" s="34"/>
      <c r="J17" s="35"/>
      <c r="K17" s="30"/>
      <c r="L17" s="29"/>
      <c r="M17" s="30"/>
      <c r="N17" s="30"/>
      <c r="O17" s="30"/>
      <c r="P17" s="30"/>
      <c r="Q17" s="30"/>
      <c r="R17" s="30"/>
      <c r="S17" s="30"/>
      <c r="T17" s="30"/>
      <c r="U17" s="30"/>
      <c r="V17" s="31"/>
    </row>
    <row r="18" spans="1:22">
      <c r="A18" s="1" t="s">
        <v>30</v>
      </c>
      <c r="B18" s="29">
        <v>0</v>
      </c>
      <c r="C18" s="30">
        <v>0</v>
      </c>
      <c r="D18" s="30">
        <v>-11458.526733109538</v>
      </c>
      <c r="E18" s="30">
        <v>0</v>
      </c>
      <c r="F18" s="30">
        <v>0</v>
      </c>
      <c r="G18" s="31">
        <f>SUM(ID_FINANCIAL)</f>
        <v>-11458.526733109538</v>
      </c>
      <c r="H18" s="30"/>
      <c r="I18" s="34" t="s">
        <v>31</v>
      </c>
      <c r="J18" s="35"/>
      <c r="K18" s="30"/>
      <c r="L18" s="29">
        <v>0</v>
      </c>
      <c r="M18" s="30">
        <v>0</v>
      </c>
      <c r="N18" s="30"/>
      <c r="O18" s="30">
        <v>0</v>
      </c>
      <c r="P18" s="30">
        <v>0</v>
      </c>
      <c r="Q18" s="30"/>
      <c r="R18" s="30">
        <v>129500</v>
      </c>
      <c r="S18" s="30">
        <v>0</v>
      </c>
      <c r="T18" s="30"/>
      <c r="U18" s="30">
        <v>0</v>
      </c>
      <c r="V18" s="31">
        <v>0</v>
      </c>
    </row>
    <row r="19" spans="1:22">
      <c r="A19" s="1" t="s">
        <v>32</v>
      </c>
      <c r="B19" s="29">
        <v>42822.180588607269</v>
      </c>
      <c r="C19" s="30">
        <v>0</v>
      </c>
      <c r="D19" s="30">
        <v>2366171.9275939674</v>
      </c>
      <c r="E19" s="30">
        <v>0</v>
      </c>
      <c r="F19" s="30">
        <v>0</v>
      </c>
      <c r="G19" s="31">
        <f>SUM(IL_FINANCIAL)</f>
        <v>2408994.1081825746</v>
      </c>
      <c r="H19" s="30"/>
      <c r="I19" s="34" t="s">
        <v>33</v>
      </c>
      <c r="J19" s="35">
        <v>0</v>
      </c>
      <c r="K19" s="30"/>
      <c r="L19" s="29">
        <v>200000</v>
      </c>
      <c r="M19" s="30">
        <v>0</v>
      </c>
      <c r="N19" s="30"/>
      <c r="O19" s="30">
        <v>0</v>
      </c>
      <c r="P19" s="30">
        <v>0</v>
      </c>
      <c r="Q19" s="30"/>
      <c r="R19" s="30">
        <v>3100000</v>
      </c>
      <c r="S19" s="30">
        <v>1100000</v>
      </c>
      <c r="T19" s="30"/>
      <c r="U19" s="30">
        <v>0</v>
      </c>
      <c r="V19" s="31">
        <v>0</v>
      </c>
    </row>
    <row r="20" spans="1:22">
      <c r="A20" s="1" t="s">
        <v>34</v>
      </c>
      <c r="B20" s="29">
        <v>23958.382025668965</v>
      </c>
      <c r="C20" s="30">
        <v>0</v>
      </c>
      <c r="D20" s="30">
        <v>-24483.857944793752</v>
      </c>
      <c r="E20" s="30">
        <v>0</v>
      </c>
      <c r="F20" s="30">
        <v>0</v>
      </c>
      <c r="G20" s="31">
        <f>SUM(IN_FINANCIAL)</f>
        <v>-525.47591912478674</v>
      </c>
      <c r="H20" s="30"/>
      <c r="I20" s="34" t="s">
        <v>35</v>
      </c>
      <c r="J20" s="35">
        <v>43815428.568790302</v>
      </c>
      <c r="K20" s="30"/>
      <c r="L20" s="29"/>
      <c r="M20" s="30"/>
      <c r="N20" s="30"/>
      <c r="O20" s="30"/>
      <c r="P20" s="30"/>
      <c r="Q20" s="30"/>
      <c r="R20" s="30"/>
      <c r="S20" s="30"/>
      <c r="T20" s="30"/>
      <c r="U20" s="30"/>
      <c r="V20" s="31"/>
    </row>
    <row r="21" spans="1:22">
      <c r="A21" s="1" t="s">
        <v>36</v>
      </c>
      <c r="B21" s="29">
        <v>0</v>
      </c>
      <c r="C21" s="30">
        <v>0</v>
      </c>
      <c r="D21" s="30">
        <v>12423.229999999981</v>
      </c>
      <c r="E21" s="30">
        <v>0</v>
      </c>
      <c r="F21" s="30">
        <v>0</v>
      </c>
      <c r="G21" s="31">
        <f>SUM(IA_FINANCIAL)</f>
        <v>12423.229999999981</v>
      </c>
      <c r="H21" s="30"/>
      <c r="I21" s="34" t="s">
        <v>37</v>
      </c>
      <c r="J21" s="35"/>
      <c r="K21" s="30"/>
      <c r="L21" s="29"/>
      <c r="M21" s="30"/>
      <c r="N21" s="30"/>
      <c r="O21" s="30"/>
      <c r="P21" s="30"/>
      <c r="Q21" s="30"/>
      <c r="R21" s="30"/>
      <c r="S21" s="30"/>
      <c r="T21" s="30"/>
      <c r="U21" s="30"/>
      <c r="V21" s="31"/>
    </row>
    <row r="22" spans="1:22">
      <c r="A22" s="1" t="s">
        <v>38</v>
      </c>
      <c r="B22" s="29">
        <v>-4068.7264934954692</v>
      </c>
      <c r="C22" s="30">
        <v>0</v>
      </c>
      <c r="D22" s="30">
        <v>584266.20852993976</v>
      </c>
      <c r="E22" s="30">
        <v>0</v>
      </c>
      <c r="F22" s="30">
        <v>0</v>
      </c>
      <c r="G22" s="31">
        <f>SUM(KS_FINANCIAL)</f>
        <v>580197.48203644424</v>
      </c>
      <c r="H22" s="30"/>
      <c r="I22" s="34" t="s">
        <v>39</v>
      </c>
      <c r="J22" s="35">
        <v>0</v>
      </c>
      <c r="K22" s="30"/>
      <c r="L22" s="29"/>
      <c r="M22" s="30"/>
      <c r="N22" s="30"/>
      <c r="O22" s="30"/>
      <c r="P22" s="30"/>
      <c r="Q22" s="30"/>
      <c r="R22" s="30"/>
      <c r="S22" s="30"/>
      <c r="T22" s="30"/>
      <c r="U22" s="30"/>
      <c r="V22" s="31"/>
    </row>
    <row r="23" spans="1:22">
      <c r="A23" s="1" t="s">
        <v>40</v>
      </c>
      <c r="B23" s="29">
        <v>0</v>
      </c>
      <c r="C23" s="30">
        <v>0</v>
      </c>
      <c r="D23" s="30">
        <v>0</v>
      </c>
      <c r="E23" s="30">
        <v>0</v>
      </c>
      <c r="F23" s="30">
        <v>0</v>
      </c>
      <c r="G23" s="31">
        <f>SUM(KY_FINANCIAL)</f>
        <v>0</v>
      </c>
      <c r="H23" s="30"/>
      <c r="I23" s="34" t="s">
        <v>41</v>
      </c>
      <c r="J23" s="35"/>
      <c r="K23" s="30"/>
      <c r="L23" s="29"/>
      <c r="M23" s="30"/>
      <c r="N23" s="30"/>
      <c r="O23" s="30"/>
      <c r="P23" s="30"/>
      <c r="Q23" s="30"/>
      <c r="R23" s="30"/>
      <c r="S23" s="30"/>
      <c r="T23" s="30"/>
      <c r="U23" s="30"/>
      <c r="V23" s="31"/>
    </row>
    <row r="24" spans="1:22">
      <c r="A24" s="1" t="s">
        <v>42</v>
      </c>
      <c r="B24" s="29">
        <v>51358.558430781733</v>
      </c>
      <c r="C24" s="30">
        <v>0</v>
      </c>
      <c r="D24" s="30">
        <v>197888.46260124861</v>
      </c>
      <c r="E24" s="30">
        <v>0</v>
      </c>
      <c r="F24" s="30">
        <v>0</v>
      </c>
      <c r="G24" s="31">
        <f>SUM(LA_FINANCIAL)</f>
        <v>249247.02103203034</v>
      </c>
      <c r="H24" s="30"/>
      <c r="I24" s="34" t="s">
        <v>43</v>
      </c>
      <c r="J24" s="35">
        <v>34891721.526665002</v>
      </c>
      <c r="K24" s="30"/>
      <c r="L24" s="29">
        <v>11383</v>
      </c>
      <c r="M24" s="30">
        <v>0</v>
      </c>
      <c r="N24" s="30"/>
      <c r="O24" s="30">
        <v>529</v>
      </c>
      <c r="P24" s="30">
        <v>0</v>
      </c>
      <c r="Q24" s="30"/>
      <c r="R24" s="30">
        <v>235088</v>
      </c>
      <c r="S24" s="30">
        <v>0</v>
      </c>
      <c r="T24" s="30"/>
      <c r="U24" s="30">
        <v>0</v>
      </c>
      <c r="V24" s="31">
        <v>0</v>
      </c>
    </row>
    <row r="25" spans="1:22">
      <c r="A25" s="1" t="s">
        <v>44</v>
      </c>
      <c r="B25" s="29">
        <v>0</v>
      </c>
      <c r="C25" s="30">
        <v>0</v>
      </c>
      <c r="D25" s="30">
        <v>-857</v>
      </c>
      <c r="E25" s="30">
        <v>0</v>
      </c>
      <c r="F25" s="30">
        <v>0</v>
      </c>
      <c r="G25" s="31">
        <f>SUM(ME_FINANCIAL)</f>
        <v>-857</v>
      </c>
      <c r="H25" s="30"/>
      <c r="I25" s="34"/>
      <c r="J25" s="35"/>
      <c r="K25" s="30"/>
      <c r="L25" s="29"/>
      <c r="M25" s="30"/>
      <c r="N25" s="30"/>
      <c r="O25" s="30"/>
      <c r="P25" s="30"/>
      <c r="Q25" s="30"/>
      <c r="R25" s="30"/>
      <c r="S25" s="30"/>
      <c r="T25" s="30"/>
      <c r="U25" s="30"/>
      <c r="V25" s="31"/>
    </row>
    <row r="26" spans="1:22">
      <c r="A26" s="1" t="s">
        <v>45</v>
      </c>
      <c r="B26" s="29">
        <v>3866.79171698971</v>
      </c>
      <c r="C26" s="30">
        <v>0</v>
      </c>
      <c r="D26" s="30">
        <v>847254.91234860546</v>
      </c>
      <c r="E26" s="30">
        <v>0</v>
      </c>
      <c r="F26" s="30">
        <v>0</v>
      </c>
      <c r="G26" s="31">
        <f>SUM(MD_FINANCIAL)</f>
        <v>851121.70406559517</v>
      </c>
      <c r="H26" s="30"/>
      <c r="I26" s="34" t="s">
        <v>46</v>
      </c>
      <c r="J26" s="35">
        <f>SUM(ADD_FINANCIAL)-SUM(LESS_FINANCIAL)</f>
        <v>37500181.970116481</v>
      </c>
      <c r="K26" s="30"/>
      <c r="L26" s="29"/>
      <c r="M26" s="30"/>
      <c r="N26" s="30"/>
      <c r="O26" s="30"/>
      <c r="P26" s="30"/>
      <c r="Q26" s="30"/>
      <c r="R26" s="30"/>
      <c r="S26" s="30"/>
      <c r="T26" s="30"/>
      <c r="U26" s="30"/>
      <c r="V26" s="31"/>
    </row>
    <row r="27" spans="1:22">
      <c r="A27" s="1" t="s">
        <v>47</v>
      </c>
      <c r="B27" s="29">
        <v>0</v>
      </c>
      <c r="C27" s="30">
        <v>0</v>
      </c>
      <c r="D27" s="30">
        <v>0</v>
      </c>
      <c r="E27" s="30">
        <v>0</v>
      </c>
      <c r="F27" s="30">
        <v>0</v>
      </c>
      <c r="G27" s="31">
        <f>SUM(MA_FINANCIAL)</f>
        <v>0</v>
      </c>
      <c r="H27" s="30"/>
      <c r="I27" s="34" t="s">
        <v>48</v>
      </c>
      <c r="J27" s="35">
        <f>SUM(ALL_BLOCKS)</f>
        <v>37500181.970116481</v>
      </c>
      <c r="K27" s="30"/>
      <c r="L27" s="29"/>
      <c r="M27" s="30"/>
      <c r="N27" s="30"/>
      <c r="O27" s="30"/>
      <c r="P27" s="30"/>
      <c r="Q27" s="30"/>
      <c r="R27" s="30"/>
      <c r="S27" s="30"/>
      <c r="T27" s="30"/>
      <c r="U27" s="30"/>
      <c r="V27" s="31"/>
    </row>
    <row r="28" spans="1:22">
      <c r="A28" s="1" t="s">
        <v>49</v>
      </c>
      <c r="B28" s="29">
        <v>0</v>
      </c>
      <c r="C28" s="30">
        <v>0</v>
      </c>
      <c r="D28" s="30">
        <v>0</v>
      </c>
      <c r="E28" s="30">
        <v>0</v>
      </c>
      <c r="F28" s="30">
        <v>0</v>
      </c>
      <c r="G28" s="31">
        <f>SUM(MI_FINANCIAL)</f>
        <v>0</v>
      </c>
      <c r="H28" s="30"/>
      <c r="I28" s="36"/>
      <c r="J28" s="37"/>
      <c r="K28" s="30"/>
      <c r="L28" s="29"/>
      <c r="M28" s="30"/>
      <c r="N28" s="30"/>
      <c r="O28" s="30"/>
      <c r="P28" s="30"/>
      <c r="Q28" s="30"/>
      <c r="R28" s="30"/>
      <c r="S28" s="30"/>
      <c r="T28" s="30"/>
      <c r="U28" s="30"/>
      <c r="V28" s="31"/>
    </row>
    <row r="29" spans="1:22">
      <c r="A29" s="1" t="s">
        <v>50</v>
      </c>
      <c r="B29" s="29">
        <v>0</v>
      </c>
      <c r="C29" s="30">
        <v>0</v>
      </c>
      <c r="D29" s="30">
        <v>0</v>
      </c>
      <c r="E29" s="30">
        <v>0</v>
      </c>
      <c r="F29" s="30">
        <v>0</v>
      </c>
      <c r="G29" s="31">
        <f>SUM(MN_FINANCIAL)</f>
        <v>0</v>
      </c>
      <c r="H29" s="30"/>
      <c r="I29" s="30"/>
      <c r="J29" s="30"/>
      <c r="K29" s="30"/>
      <c r="L29" s="29"/>
      <c r="M29" s="30"/>
      <c r="N29" s="30"/>
      <c r="O29" s="30"/>
      <c r="P29" s="30"/>
      <c r="Q29" s="30"/>
      <c r="R29" s="30"/>
      <c r="S29" s="30"/>
      <c r="T29" s="30"/>
      <c r="U29" s="30"/>
      <c r="V29" s="31"/>
    </row>
    <row r="30" spans="1:22">
      <c r="A30" s="1" t="s">
        <v>51</v>
      </c>
      <c r="B30" s="29">
        <v>15426.766621707142</v>
      </c>
      <c r="C30" s="30">
        <v>0</v>
      </c>
      <c r="D30" s="30">
        <v>1128548.7259206986</v>
      </c>
      <c r="E30" s="30">
        <v>0</v>
      </c>
      <c r="F30" s="30">
        <v>0</v>
      </c>
      <c r="G30" s="31">
        <f>SUM(MS_FINANCIAL)</f>
        <v>1143975.4925424058</v>
      </c>
      <c r="H30" s="30"/>
      <c r="I30" s="30"/>
      <c r="J30" s="30"/>
      <c r="K30" s="30"/>
      <c r="L30" s="29"/>
      <c r="M30" s="30"/>
      <c r="N30" s="30"/>
      <c r="O30" s="30"/>
      <c r="P30" s="30"/>
      <c r="Q30" s="30"/>
      <c r="R30" s="30"/>
      <c r="S30" s="30"/>
      <c r="T30" s="30"/>
      <c r="U30" s="30"/>
      <c r="V30" s="31"/>
    </row>
    <row r="31" spans="1:22">
      <c r="A31" s="1" t="s">
        <v>52</v>
      </c>
      <c r="B31" s="29">
        <v>9112.6880984927593</v>
      </c>
      <c r="C31" s="30">
        <v>0</v>
      </c>
      <c r="D31" s="30">
        <v>1880695.786301831</v>
      </c>
      <c r="E31" s="30">
        <v>0</v>
      </c>
      <c r="F31" s="30">
        <v>0</v>
      </c>
      <c r="G31" s="31">
        <f>SUM(MO_FINANCIAL)</f>
        <v>1889808.4744003238</v>
      </c>
      <c r="H31" s="30"/>
      <c r="I31" s="30"/>
      <c r="J31" s="30"/>
      <c r="K31" s="30"/>
      <c r="L31" s="29">
        <v>0</v>
      </c>
      <c r="M31" s="30">
        <v>0</v>
      </c>
      <c r="N31" s="30"/>
      <c r="O31" s="30">
        <v>0</v>
      </c>
      <c r="P31" s="30">
        <v>0</v>
      </c>
      <c r="Q31" s="30"/>
      <c r="R31" s="30">
        <v>1202674</v>
      </c>
      <c r="S31" s="30">
        <v>0</v>
      </c>
      <c r="T31" s="30"/>
      <c r="U31" s="30">
        <v>0</v>
      </c>
      <c r="V31" s="31">
        <v>0</v>
      </c>
    </row>
    <row r="32" spans="1:22">
      <c r="A32" s="1" t="s">
        <v>53</v>
      </c>
      <c r="B32" s="29">
        <v>1409.5585278811398</v>
      </c>
      <c r="C32" s="30">
        <v>0</v>
      </c>
      <c r="D32" s="30">
        <v>216724.96457892153</v>
      </c>
      <c r="E32" s="30">
        <v>0</v>
      </c>
      <c r="F32" s="30">
        <v>0</v>
      </c>
      <c r="G32" s="31">
        <f>SUM(MT_FINANCIAL)</f>
        <v>218134.52310680266</v>
      </c>
      <c r="H32" s="30"/>
      <c r="I32" s="30"/>
      <c r="J32" s="30"/>
      <c r="K32" s="30"/>
      <c r="L32" s="29"/>
      <c r="M32" s="30"/>
      <c r="N32" s="30"/>
      <c r="O32" s="30"/>
      <c r="P32" s="30"/>
      <c r="Q32" s="30"/>
      <c r="R32" s="30"/>
      <c r="S32" s="30"/>
      <c r="T32" s="30"/>
      <c r="U32" s="30"/>
      <c r="V32" s="31"/>
    </row>
    <row r="33" spans="1:22">
      <c r="A33" s="1" t="s">
        <v>54</v>
      </c>
      <c r="B33" s="29">
        <v>0</v>
      </c>
      <c r="C33" s="30">
        <v>0</v>
      </c>
      <c r="D33" s="30">
        <v>0</v>
      </c>
      <c r="E33" s="30">
        <v>0</v>
      </c>
      <c r="F33" s="30">
        <v>0</v>
      </c>
      <c r="G33" s="31">
        <f>SUM(NE_FINANCIAL)</f>
        <v>0</v>
      </c>
      <c r="H33" s="30"/>
      <c r="I33" s="30"/>
      <c r="J33" s="30"/>
      <c r="K33" s="30"/>
      <c r="L33" s="29"/>
      <c r="M33" s="30"/>
      <c r="N33" s="30"/>
      <c r="O33" s="30"/>
      <c r="P33" s="30"/>
      <c r="Q33" s="30"/>
      <c r="R33" s="30"/>
      <c r="S33" s="30"/>
      <c r="T33" s="30"/>
      <c r="U33" s="30"/>
      <c r="V33" s="31"/>
    </row>
    <row r="34" spans="1:22">
      <c r="A34" s="1" t="s">
        <v>55</v>
      </c>
      <c r="B34" s="29">
        <v>58380.325956658919</v>
      </c>
      <c r="C34" s="30">
        <v>0</v>
      </c>
      <c r="D34" s="30">
        <v>4164.730473764208</v>
      </c>
      <c r="E34" s="30">
        <v>0</v>
      </c>
      <c r="F34" s="30">
        <v>0</v>
      </c>
      <c r="G34" s="31">
        <f>SUM(NV_FINANCIAL)</f>
        <v>62545.056430423123</v>
      </c>
      <c r="H34" s="30"/>
      <c r="I34" s="30"/>
      <c r="J34" s="30"/>
      <c r="K34" s="30"/>
      <c r="L34" s="29"/>
      <c r="M34" s="30"/>
      <c r="N34" s="30"/>
      <c r="O34" s="30"/>
      <c r="P34" s="30"/>
      <c r="Q34" s="30"/>
      <c r="R34" s="30"/>
      <c r="S34" s="30"/>
      <c r="T34" s="30"/>
      <c r="U34" s="30"/>
      <c r="V34" s="31"/>
    </row>
    <row r="35" spans="1:22">
      <c r="A35" s="1" t="s">
        <v>56</v>
      </c>
      <c r="B35" s="29">
        <v>0</v>
      </c>
      <c r="C35" s="30">
        <v>0</v>
      </c>
      <c r="D35" s="30">
        <v>0</v>
      </c>
      <c r="E35" s="30">
        <v>0</v>
      </c>
      <c r="F35" s="30">
        <v>0</v>
      </c>
      <c r="G35" s="31">
        <f>SUM(NH_FINANCIAL)</f>
        <v>0</v>
      </c>
      <c r="H35" s="30"/>
      <c r="I35" s="30"/>
      <c r="J35" s="30"/>
      <c r="K35" s="30"/>
      <c r="L35" s="29"/>
      <c r="M35" s="30"/>
      <c r="N35" s="30"/>
      <c r="O35" s="30"/>
      <c r="P35" s="30"/>
      <c r="Q35" s="30"/>
      <c r="R35" s="30"/>
      <c r="S35" s="30"/>
      <c r="T35" s="30"/>
      <c r="U35" s="30"/>
      <c r="V35" s="31"/>
    </row>
    <row r="36" spans="1:22">
      <c r="A36" s="1" t="s">
        <v>57</v>
      </c>
      <c r="B36" s="29">
        <v>0</v>
      </c>
      <c r="C36" s="30">
        <v>0</v>
      </c>
      <c r="D36" s="30">
        <v>0</v>
      </c>
      <c r="E36" s="30">
        <v>0</v>
      </c>
      <c r="F36" s="30">
        <v>0</v>
      </c>
      <c r="G36" s="31">
        <f>SUM(NJ_FINANCIAL)</f>
        <v>0</v>
      </c>
      <c r="H36" s="30"/>
      <c r="I36" s="30"/>
      <c r="J36" s="30"/>
      <c r="K36" s="30"/>
      <c r="L36" s="29"/>
      <c r="M36" s="30"/>
      <c r="N36" s="30"/>
      <c r="O36" s="30"/>
      <c r="P36" s="30"/>
      <c r="Q36" s="30"/>
      <c r="R36" s="30"/>
      <c r="S36" s="30"/>
      <c r="T36" s="30"/>
      <c r="U36" s="30"/>
      <c r="V36" s="31"/>
    </row>
    <row r="37" spans="1:22">
      <c r="A37" s="1" t="s">
        <v>58</v>
      </c>
      <c r="B37" s="29">
        <v>-748.95198152902958</v>
      </c>
      <c r="C37" s="30">
        <v>0</v>
      </c>
      <c r="D37" s="30">
        <v>397790.34965957131</v>
      </c>
      <c r="E37" s="30">
        <v>0</v>
      </c>
      <c r="F37" s="30">
        <v>0</v>
      </c>
      <c r="G37" s="31">
        <f>SUM(NM_FINANCIAL)</f>
        <v>397041.3976780423</v>
      </c>
      <c r="H37" s="30"/>
      <c r="I37" s="30"/>
      <c r="J37" s="30"/>
      <c r="K37" s="30"/>
      <c r="L37" s="29"/>
      <c r="M37" s="30"/>
      <c r="N37" s="30"/>
      <c r="O37" s="30"/>
      <c r="P37" s="30"/>
      <c r="Q37" s="30"/>
      <c r="R37" s="30"/>
      <c r="S37" s="30"/>
      <c r="T37" s="30"/>
      <c r="U37" s="30"/>
      <c r="V37" s="31"/>
    </row>
    <row r="38" spans="1:22">
      <c r="A38" s="1" t="s">
        <v>59</v>
      </c>
      <c r="B38" s="29">
        <v>0</v>
      </c>
      <c r="C38" s="30">
        <v>0</v>
      </c>
      <c r="D38" s="30">
        <v>0</v>
      </c>
      <c r="E38" s="30">
        <v>0</v>
      </c>
      <c r="F38" s="30">
        <v>0</v>
      </c>
      <c r="G38" s="31">
        <f>SUM(NY_FINANCIAL)</f>
        <v>0</v>
      </c>
      <c r="H38" s="30"/>
      <c r="I38" s="30"/>
      <c r="J38" s="30"/>
      <c r="K38" s="30"/>
      <c r="L38" s="29"/>
      <c r="M38" s="30"/>
      <c r="N38" s="30"/>
      <c r="O38" s="30"/>
      <c r="P38" s="30"/>
      <c r="Q38" s="30"/>
      <c r="R38" s="30"/>
      <c r="S38" s="30"/>
      <c r="T38" s="30"/>
      <c r="U38" s="30"/>
      <c r="V38" s="31"/>
    </row>
    <row r="39" spans="1:22">
      <c r="A39" s="1" t="s">
        <v>60</v>
      </c>
      <c r="B39" s="29">
        <v>0</v>
      </c>
      <c r="C39" s="30">
        <v>0</v>
      </c>
      <c r="D39" s="30">
        <v>0</v>
      </c>
      <c r="E39" s="30">
        <v>0</v>
      </c>
      <c r="F39" s="30">
        <v>0</v>
      </c>
      <c r="G39" s="31">
        <f>SUM(NC_FINANCIAL)</f>
        <v>0</v>
      </c>
      <c r="H39" s="30"/>
      <c r="I39" s="30"/>
      <c r="J39" s="30"/>
      <c r="K39" s="30"/>
      <c r="L39" s="29"/>
      <c r="M39" s="30"/>
      <c r="N39" s="30"/>
      <c r="O39" s="30"/>
      <c r="P39" s="30"/>
      <c r="Q39" s="30"/>
      <c r="R39" s="30"/>
      <c r="S39" s="30"/>
      <c r="T39" s="30"/>
      <c r="U39" s="30"/>
      <c r="V39" s="31"/>
    </row>
    <row r="40" spans="1:22">
      <c r="A40" s="1" t="s">
        <v>61</v>
      </c>
      <c r="B40" s="29">
        <v>0</v>
      </c>
      <c r="C40" s="30">
        <v>0</v>
      </c>
      <c r="D40" s="30">
        <v>2468780.3629570324</v>
      </c>
      <c r="E40" s="30">
        <v>0</v>
      </c>
      <c r="F40" s="30">
        <v>0</v>
      </c>
      <c r="G40" s="31">
        <f>SUM(ND_FINANCIAL)</f>
        <v>2468780.3629570324</v>
      </c>
      <c r="H40" s="30"/>
      <c r="I40" s="30"/>
      <c r="J40" s="30"/>
      <c r="K40" s="30"/>
      <c r="L40" s="29"/>
      <c r="M40" s="30"/>
      <c r="N40" s="30"/>
      <c r="O40" s="30"/>
      <c r="P40" s="30"/>
      <c r="Q40" s="30"/>
      <c r="R40" s="30"/>
      <c r="S40" s="30"/>
      <c r="T40" s="30"/>
      <c r="U40" s="30"/>
      <c r="V40" s="31"/>
    </row>
    <row r="41" spans="1:22">
      <c r="A41" s="1" t="s">
        <v>62</v>
      </c>
      <c r="B41" s="29">
        <v>81673.876259152486</v>
      </c>
      <c r="C41" s="30">
        <v>0</v>
      </c>
      <c r="D41" s="30">
        <v>490347.13263831381</v>
      </c>
      <c r="E41" s="30">
        <v>0</v>
      </c>
      <c r="F41" s="30">
        <v>0</v>
      </c>
      <c r="G41" s="31">
        <f>SUM(OH_FINANCIAL)</f>
        <v>572021.00889746635</v>
      </c>
      <c r="H41" s="30"/>
      <c r="I41" s="30"/>
      <c r="J41" s="30"/>
      <c r="K41" s="30"/>
      <c r="L41" s="29">
        <v>0</v>
      </c>
      <c r="M41" s="30">
        <v>0</v>
      </c>
      <c r="N41" s="30"/>
      <c r="O41" s="30">
        <v>0</v>
      </c>
      <c r="P41" s="30">
        <v>0</v>
      </c>
      <c r="Q41" s="30"/>
      <c r="R41" s="30">
        <v>400000</v>
      </c>
      <c r="S41" s="30">
        <v>0</v>
      </c>
      <c r="T41" s="30"/>
      <c r="U41" s="30">
        <v>0</v>
      </c>
      <c r="V41" s="31">
        <v>0</v>
      </c>
    </row>
    <row r="42" spans="1:22">
      <c r="A42" s="1" t="s">
        <v>63</v>
      </c>
      <c r="B42" s="29">
        <v>4509.3336920529418</v>
      </c>
      <c r="C42" s="30">
        <v>0</v>
      </c>
      <c r="D42" s="30">
        <v>192166.88858049992</v>
      </c>
      <c r="E42" s="30">
        <v>0</v>
      </c>
      <c r="F42" s="30">
        <v>0</v>
      </c>
      <c r="G42" s="31">
        <f>SUM(OK_FINANCIAL)</f>
        <v>196676.22227255287</v>
      </c>
      <c r="H42" s="30"/>
      <c r="I42" s="30"/>
      <c r="J42" s="30"/>
      <c r="K42" s="30"/>
      <c r="L42" s="29">
        <v>75000</v>
      </c>
      <c r="M42" s="30">
        <v>0</v>
      </c>
      <c r="N42" s="30"/>
      <c r="O42" s="30">
        <v>0</v>
      </c>
      <c r="P42" s="30">
        <v>0</v>
      </c>
      <c r="Q42" s="30"/>
      <c r="R42" s="30">
        <v>375000</v>
      </c>
      <c r="S42" s="30">
        <v>0</v>
      </c>
      <c r="T42" s="30"/>
      <c r="U42" s="30">
        <v>0</v>
      </c>
      <c r="V42" s="31">
        <v>0</v>
      </c>
    </row>
    <row r="43" spans="1:22">
      <c r="A43" s="1" t="s">
        <v>64</v>
      </c>
      <c r="B43" s="29">
        <v>0</v>
      </c>
      <c r="C43" s="30">
        <v>0</v>
      </c>
      <c r="D43" s="30">
        <v>0</v>
      </c>
      <c r="E43" s="30">
        <v>0</v>
      </c>
      <c r="F43" s="30">
        <v>0</v>
      </c>
      <c r="G43" s="31">
        <f>SUM(OR_FINANCIAL)</f>
        <v>0</v>
      </c>
      <c r="H43" s="30"/>
      <c r="I43" s="30"/>
      <c r="J43" s="30"/>
      <c r="K43" s="30"/>
      <c r="L43" s="29"/>
      <c r="M43" s="30"/>
      <c r="N43" s="30"/>
      <c r="O43" s="30"/>
      <c r="P43" s="30"/>
      <c r="Q43" s="30"/>
      <c r="R43" s="30"/>
      <c r="S43" s="30"/>
      <c r="T43" s="30"/>
      <c r="U43" s="30"/>
      <c r="V43" s="31"/>
    </row>
    <row r="44" spans="1:22">
      <c r="A44" s="1" t="s">
        <v>65</v>
      </c>
      <c r="B44" s="29">
        <v>-52733.265794972074</v>
      </c>
      <c r="C44" s="30">
        <v>0</v>
      </c>
      <c r="D44" s="30">
        <v>38683.854259530082</v>
      </c>
      <c r="E44" s="30">
        <v>0</v>
      </c>
      <c r="F44" s="30">
        <v>0</v>
      </c>
      <c r="G44" s="31">
        <f>SUM(PA_FINANCIAL)</f>
        <v>-14049.411535441992</v>
      </c>
      <c r="H44" s="30"/>
      <c r="I44" s="30"/>
      <c r="J44" s="30"/>
      <c r="K44" s="30"/>
      <c r="L44" s="29">
        <v>0</v>
      </c>
      <c r="M44" s="30">
        <v>0</v>
      </c>
      <c r="N44" s="30"/>
      <c r="O44" s="30">
        <v>0</v>
      </c>
      <c r="P44" s="30">
        <v>0</v>
      </c>
      <c r="Q44" s="30"/>
      <c r="R44" s="30">
        <v>2402000</v>
      </c>
      <c r="S44" s="30">
        <v>0</v>
      </c>
      <c r="T44" s="30"/>
      <c r="U44" s="30">
        <v>0</v>
      </c>
      <c r="V44" s="31">
        <v>0</v>
      </c>
    </row>
    <row r="45" spans="1:22">
      <c r="A45" s="1" t="s">
        <v>66</v>
      </c>
      <c r="B45" s="29">
        <v>0</v>
      </c>
      <c r="C45" s="30">
        <v>0</v>
      </c>
      <c r="D45" s="30">
        <v>0</v>
      </c>
      <c r="E45" s="30">
        <v>0</v>
      </c>
      <c r="F45" s="30">
        <v>0</v>
      </c>
      <c r="G45" s="31">
        <f>SUM(PR_FINANCIAL)</f>
        <v>0</v>
      </c>
      <c r="H45" s="30"/>
      <c r="I45" s="30"/>
      <c r="J45" s="30"/>
      <c r="K45" s="30"/>
      <c r="L45" s="29"/>
      <c r="M45" s="30"/>
      <c r="N45" s="30"/>
      <c r="O45" s="30"/>
      <c r="P45" s="30"/>
      <c r="Q45" s="30"/>
      <c r="R45" s="30"/>
      <c r="S45" s="30"/>
      <c r="T45" s="30"/>
      <c r="U45" s="30"/>
      <c r="V45" s="31"/>
    </row>
    <row r="46" spans="1:22">
      <c r="A46" s="1" t="s">
        <v>67</v>
      </c>
      <c r="B46" s="29">
        <v>0</v>
      </c>
      <c r="C46" s="30">
        <v>0</v>
      </c>
      <c r="D46" s="30">
        <v>0</v>
      </c>
      <c r="E46" s="30">
        <v>0</v>
      </c>
      <c r="F46" s="30">
        <v>0</v>
      </c>
      <c r="G46" s="31">
        <f>SUM(RI_FINANCIAL)</f>
        <v>0</v>
      </c>
      <c r="H46" s="30"/>
      <c r="I46" s="30"/>
      <c r="J46" s="30"/>
      <c r="K46" s="30"/>
      <c r="L46" s="29"/>
      <c r="M46" s="30"/>
      <c r="N46" s="30"/>
      <c r="O46" s="30"/>
      <c r="P46" s="30"/>
      <c r="Q46" s="30"/>
      <c r="R46" s="30"/>
      <c r="S46" s="30"/>
      <c r="T46" s="30"/>
      <c r="U46" s="30"/>
      <c r="V46" s="31"/>
    </row>
    <row r="47" spans="1:22">
      <c r="A47" s="1" t="s">
        <v>68</v>
      </c>
      <c r="B47" s="29">
        <v>0</v>
      </c>
      <c r="C47" s="30">
        <v>0</v>
      </c>
      <c r="D47" s="30">
        <v>0</v>
      </c>
      <c r="E47" s="30">
        <v>0</v>
      </c>
      <c r="F47" s="30">
        <v>0</v>
      </c>
      <c r="G47" s="31">
        <f>SUM(SC_FINANCIAL)</f>
        <v>0</v>
      </c>
      <c r="H47" s="30"/>
      <c r="I47" s="30"/>
      <c r="J47" s="30"/>
      <c r="K47" s="30"/>
      <c r="L47" s="29"/>
      <c r="M47" s="30"/>
      <c r="N47" s="30"/>
      <c r="O47" s="30"/>
      <c r="P47" s="30"/>
      <c r="Q47" s="30"/>
      <c r="R47" s="30"/>
      <c r="S47" s="30"/>
      <c r="T47" s="30"/>
      <c r="U47" s="30"/>
      <c r="V47" s="31"/>
    </row>
    <row r="48" spans="1:22">
      <c r="A48" s="1" t="s">
        <v>69</v>
      </c>
      <c r="B48" s="29">
        <v>-1081.1204795696988</v>
      </c>
      <c r="C48" s="30">
        <v>0</v>
      </c>
      <c r="D48" s="30">
        <v>2064993.1536453026</v>
      </c>
      <c r="E48" s="30">
        <v>0</v>
      </c>
      <c r="F48" s="30">
        <v>0</v>
      </c>
      <c r="G48" s="31">
        <f>SUM(SD_FINANCIAL)</f>
        <v>2063912.0331657329</v>
      </c>
      <c r="H48" s="30"/>
      <c r="I48" s="30"/>
      <c r="J48" s="30"/>
      <c r="K48" s="30"/>
      <c r="L48" s="29">
        <v>0</v>
      </c>
      <c r="M48" s="30">
        <v>0</v>
      </c>
      <c r="N48" s="30"/>
      <c r="O48" s="30">
        <v>0</v>
      </c>
      <c r="P48" s="30">
        <v>0</v>
      </c>
      <c r="Q48" s="30"/>
      <c r="R48" s="30">
        <v>1710000</v>
      </c>
      <c r="S48" s="30">
        <v>0</v>
      </c>
      <c r="T48" s="30"/>
      <c r="U48" s="30">
        <v>0</v>
      </c>
      <c r="V48" s="31">
        <v>0</v>
      </c>
    </row>
    <row r="49" spans="1:22">
      <c r="A49" s="1" t="s">
        <v>70</v>
      </c>
      <c r="B49" s="29">
        <v>32804.734999369786</v>
      </c>
      <c r="C49" s="30">
        <v>0</v>
      </c>
      <c r="D49" s="30">
        <v>1277118.4761878508</v>
      </c>
      <c r="E49" s="30">
        <v>0</v>
      </c>
      <c r="F49" s="30">
        <v>0</v>
      </c>
      <c r="G49" s="31">
        <f>SUM(TN_FINANCIAL)</f>
        <v>1309923.2111872206</v>
      </c>
      <c r="H49" s="30"/>
      <c r="I49" s="30"/>
      <c r="J49" s="30"/>
      <c r="K49" s="30"/>
      <c r="L49" s="29"/>
      <c r="M49" s="30"/>
      <c r="N49" s="30"/>
      <c r="O49" s="30"/>
      <c r="P49" s="30"/>
      <c r="Q49" s="30"/>
      <c r="R49" s="30"/>
      <c r="S49" s="30"/>
      <c r="T49" s="30"/>
      <c r="U49" s="30"/>
      <c r="V49" s="31"/>
    </row>
    <row r="50" spans="1:22">
      <c r="A50" s="1" t="s">
        <v>71</v>
      </c>
      <c r="B50" s="29">
        <v>0</v>
      </c>
      <c r="C50" s="30">
        <v>0</v>
      </c>
      <c r="D50" s="30">
        <v>0</v>
      </c>
      <c r="E50" s="30">
        <v>0</v>
      </c>
      <c r="F50" s="30">
        <v>0</v>
      </c>
      <c r="G50" s="31">
        <f>SUM(TX_FINANCIAL)</f>
        <v>0</v>
      </c>
      <c r="H50" s="30"/>
      <c r="I50" s="30"/>
      <c r="J50" s="30"/>
      <c r="K50" s="30"/>
      <c r="L50" s="29"/>
      <c r="M50" s="30"/>
      <c r="N50" s="30"/>
      <c r="O50" s="30"/>
      <c r="P50" s="30"/>
      <c r="Q50" s="30"/>
      <c r="R50" s="30"/>
      <c r="S50" s="30"/>
      <c r="T50" s="30"/>
      <c r="U50" s="30"/>
      <c r="V50" s="31"/>
    </row>
    <row r="51" spans="1:22">
      <c r="A51" s="1" t="s">
        <v>72</v>
      </c>
      <c r="B51" s="29">
        <v>0</v>
      </c>
      <c r="C51" s="30">
        <v>0</v>
      </c>
      <c r="D51" s="30">
        <v>-63</v>
      </c>
      <c r="E51" s="30">
        <v>0</v>
      </c>
      <c r="F51" s="30">
        <v>0</v>
      </c>
      <c r="G51" s="31">
        <f>SUM(UT_FINANCIAL)</f>
        <v>-63</v>
      </c>
      <c r="H51" s="30"/>
      <c r="I51" s="30"/>
      <c r="J51" s="30"/>
      <c r="K51" s="30"/>
      <c r="L51" s="29"/>
      <c r="M51" s="30"/>
      <c r="N51" s="30"/>
      <c r="O51" s="30"/>
      <c r="P51" s="30"/>
      <c r="Q51" s="30"/>
      <c r="R51" s="30"/>
      <c r="S51" s="30"/>
      <c r="T51" s="30"/>
      <c r="U51" s="30"/>
      <c r="V51" s="31"/>
    </row>
    <row r="52" spans="1:22">
      <c r="A52" s="1" t="s">
        <v>73</v>
      </c>
      <c r="B52" s="29">
        <v>0</v>
      </c>
      <c r="C52" s="30">
        <v>0</v>
      </c>
      <c r="D52" s="30">
        <v>0</v>
      </c>
      <c r="E52" s="30">
        <v>0</v>
      </c>
      <c r="F52" s="30">
        <v>0</v>
      </c>
      <c r="G52" s="31">
        <f>SUM(VT_FINANCIAL)</f>
        <v>0</v>
      </c>
      <c r="H52" s="30"/>
      <c r="I52" s="30"/>
      <c r="J52" s="30"/>
      <c r="K52" s="30"/>
      <c r="L52" s="29"/>
      <c r="M52" s="30"/>
      <c r="N52" s="30"/>
      <c r="O52" s="30"/>
      <c r="P52" s="30"/>
      <c r="Q52" s="30"/>
      <c r="R52" s="30"/>
      <c r="S52" s="30"/>
      <c r="T52" s="30"/>
      <c r="U52" s="30"/>
      <c r="V52" s="31"/>
    </row>
    <row r="53" spans="1:22">
      <c r="A53" s="1" t="s">
        <v>74</v>
      </c>
      <c r="B53" s="29">
        <v>0</v>
      </c>
      <c r="C53" s="30">
        <v>0</v>
      </c>
      <c r="D53" s="30">
        <v>0</v>
      </c>
      <c r="E53" s="30">
        <v>0</v>
      </c>
      <c r="F53" s="30">
        <v>0</v>
      </c>
      <c r="G53" s="31">
        <f>SUM(VA_FINANCIAL)</f>
        <v>0</v>
      </c>
      <c r="H53" s="30"/>
      <c r="I53" s="30"/>
      <c r="J53" s="30"/>
      <c r="K53" s="30"/>
      <c r="L53" s="29"/>
      <c r="M53" s="30"/>
      <c r="N53" s="30"/>
      <c r="O53" s="30"/>
      <c r="P53" s="30"/>
      <c r="Q53" s="30"/>
      <c r="R53" s="30"/>
      <c r="S53" s="30"/>
      <c r="T53" s="30"/>
      <c r="U53" s="30"/>
      <c r="V53" s="31"/>
    </row>
    <row r="54" spans="1:22">
      <c r="A54" s="1" t="s">
        <v>75</v>
      </c>
      <c r="B54" s="29">
        <v>0</v>
      </c>
      <c r="C54" s="30">
        <v>0</v>
      </c>
      <c r="D54" s="30">
        <v>0</v>
      </c>
      <c r="E54" s="30">
        <v>0</v>
      </c>
      <c r="F54" s="30">
        <v>0</v>
      </c>
      <c r="G54" s="31">
        <f>SUM(WA_FINANCIAL)</f>
        <v>0</v>
      </c>
      <c r="H54" s="30"/>
      <c r="I54" s="30"/>
      <c r="J54" s="30"/>
      <c r="K54" s="30"/>
      <c r="L54" s="29"/>
      <c r="M54" s="30"/>
      <c r="N54" s="30"/>
      <c r="O54" s="30"/>
      <c r="P54" s="30"/>
      <c r="Q54" s="30"/>
      <c r="R54" s="30"/>
      <c r="S54" s="30"/>
      <c r="T54" s="30"/>
      <c r="U54" s="30"/>
      <c r="V54" s="31"/>
    </row>
    <row r="55" spans="1:22">
      <c r="A55" s="1" t="s">
        <v>76</v>
      </c>
      <c r="B55" s="29">
        <v>-1172</v>
      </c>
      <c r="C55" s="30">
        <v>0</v>
      </c>
      <c r="D55" s="30">
        <v>47377.032239576176</v>
      </c>
      <c r="E55" s="30">
        <v>0</v>
      </c>
      <c r="F55" s="30">
        <v>0</v>
      </c>
      <c r="G55" s="31">
        <f>SUM(WV_FINANCIAL)</f>
        <v>46205.032239576176</v>
      </c>
      <c r="H55" s="30"/>
      <c r="I55" s="30"/>
      <c r="J55" s="30"/>
      <c r="K55" s="30"/>
      <c r="L55" s="29">
        <v>0</v>
      </c>
      <c r="M55" s="30">
        <v>0</v>
      </c>
      <c r="N55" s="30"/>
      <c r="O55" s="30">
        <v>0</v>
      </c>
      <c r="P55" s="30">
        <v>0</v>
      </c>
      <c r="Q55" s="30"/>
      <c r="R55" s="30">
        <v>150000</v>
      </c>
      <c r="S55" s="30">
        <v>0</v>
      </c>
      <c r="T55" s="30"/>
      <c r="U55" s="30">
        <v>0</v>
      </c>
      <c r="V55" s="31">
        <v>0</v>
      </c>
    </row>
    <row r="56" spans="1:22">
      <c r="A56" s="1" t="s">
        <v>77</v>
      </c>
      <c r="B56" s="29">
        <v>0</v>
      </c>
      <c r="C56" s="30">
        <v>0</v>
      </c>
      <c r="D56" s="30">
        <v>0</v>
      </c>
      <c r="E56" s="30">
        <v>0</v>
      </c>
      <c r="F56" s="30">
        <v>0</v>
      </c>
      <c r="G56" s="31">
        <f>SUM(WI_FINANCIAL)</f>
        <v>0</v>
      </c>
      <c r="H56" s="30"/>
      <c r="I56" s="30"/>
      <c r="J56" s="30"/>
      <c r="K56" s="30"/>
      <c r="L56" s="29"/>
      <c r="M56" s="30"/>
      <c r="N56" s="30"/>
      <c r="O56" s="30"/>
      <c r="P56" s="30"/>
      <c r="Q56" s="30"/>
      <c r="R56" s="30"/>
      <c r="S56" s="30"/>
      <c r="T56" s="30"/>
      <c r="U56" s="30"/>
      <c r="V56" s="31"/>
    </row>
    <row r="57" spans="1:22">
      <c r="A57" s="1" t="s">
        <v>78</v>
      </c>
      <c r="B57" s="29">
        <v>0</v>
      </c>
      <c r="C57" s="30">
        <v>0</v>
      </c>
      <c r="D57" s="30">
        <v>0</v>
      </c>
      <c r="E57" s="30">
        <v>0</v>
      </c>
      <c r="F57" s="30">
        <v>0</v>
      </c>
      <c r="G57" s="31">
        <f>SUM(WY_FINANCIAL)</f>
        <v>0</v>
      </c>
      <c r="H57" s="30"/>
      <c r="I57" s="30"/>
      <c r="J57" s="30"/>
      <c r="K57" s="30"/>
      <c r="L57" s="29"/>
      <c r="M57" s="30"/>
      <c r="N57" s="30"/>
      <c r="O57" s="30"/>
      <c r="P57" s="30"/>
      <c r="Q57" s="30"/>
      <c r="R57" s="30"/>
      <c r="S57" s="30"/>
      <c r="T57" s="30"/>
      <c r="U57" s="30"/>
      <c r="V57" s="31"/>
    </row>
    <row r="58" spans="1:22">
      <c r="A58" s="1" t="s">
        <v>79</v>
      </c>
      <c r="B58" s="29">
        <v>0</v>
      </c>
      <c r="C58" s="30">
        <v>0</v>
      </c>
      <c r="D58" s="30">
        <v>0</v>
      </c>
      <c r="E58" s="30">
        <v>0</v>
      </c>
      <c r="F58" s="30">
        <v>0</v>
      </c>
      <c r="G58" s="31">
        <f>SUM(OT_FINANCIAL)</f>
        <v>0</v>
      </c>
      <c r="H58" s="30"/>
      <c r="I58" s="30"/>
      <c r="J58" s="30"/>
      <c r="K58" s="30"/>
      <c r="L58" s="29"/>
      <c r="M58" s="30"/>
      <c r="N58" s="30"/>
      <c r="O58" s="30"/>
      <c r="P58" s="30"/>
      <c r="Q58" s="30"/>
      <c r="R58" s="30"/>
      <c r="S58" s="30"/>
      <c r="T58" s="30"/>
      <c r="U58" s="30"/>
      <c r="V58" s="31"/>
    </row>
    <row r="59" spans="1:22">
      <c r="B59" s="29"/>
      <c r="C59" s="30"/>
      <c r="D59" s="30"/>
      <c r="E59" s="30"/>
      <c r="F59" s="30"/>
      <c r="G59" s="31"/>
      <c r="H59" s="30"/>
      <c r="I59" s="30"/>
      <c r="J59" s="30"/>
      <c r="K59" s="30"/>
      <c r="L59" s="29"/>
      <c r="M59" s="30"/>
      <c r="N59" s="30"/>
      <c r="O59" s="30"/>
      <c r="P59" s="30"/>
      <c r="Q59" s="30"/>
      <c r="R59" s="30"/>
      <c r="S59" s="30"/>
      <c r="T59" s="30"/>
      <c r="U59" s="30"/>
      <c r="V59" s="31"/>
    </row>
    <row r="60" spans="1:22">
      <c r="A60" s="1" t="s">
        <v>8</v>
      </c>
      <c r="B60" s="29">
        <f>SUM(LIFE)</f>
        <v>580607.19773931266</v>
      </c>
      <c r="C60" s="30">
        <f>SUM(ALLOCATED)</f>
        <v>0</v>
      </c>
      <c r="D60" s="30">
        <f>SUM(HEALTH)</f>
        <v>36919574.772377163</v>
      </c>
      <c r="E60" s="30">
        <f>SUM(UNALLOCATED)</f>
        <v>0</v>
      </c>
      <c r="F60" s="30">
        <f>SUM(LTC)</f>
        <v>0</v>
      </c>
      <c r="G60" s="31">
        <f>SUM(ALL_BLOCKS)</f>
        <v>37500181.970116481</v>
      </c>
      <c r="H60" s="30"/>
      <c r="I60" s="30"/>
      <c r="J60" s="30"/>
      <c r="K60" s="30"/>
      <c r="L60" s="29">
        <f>SUM(LIFE_CALLED)</f>
        <v>307961</v>
      </c>
      <c r="M60" s="30">
        <f>SUM(LIFE_REFUNDED)</f>
        <v>0</v>
      </c>
      <c r="N60" s="30"/>
      <c r="O60" s="30">
        <f>SUM(ALLOC_CALLED)</f>
        <v>529</v>
      </c>
      <c r="P60" s="30">
        <f>SUM(ALLOC_REFUNDED)</f>
        <v>0</v>
      </c>
      <c r="Q60" s="30"/>
      <c r="R60" s="30">
        <f>SUM(HEALTH_CALLED)</f>
        <v>26043714</v>
      </c>
      <c r="S60" s="30">
        <f>SUM(HEALTH_REFUNDED)</f>
        <v>1100000</v>
      </c>
      <c r="T60" s="30"/>
      <c r="U60" s="30">
        <f>SUM(UNALLOC_CALLED)</f>
        <v>0</v>
      </c>
      <c r="V60" s="31">
        <f>SUM(UNALLOC_REFUNDED)</f>
        <v>0</v>
      </c>
    </row>
    <row r="61" spans="1:22" ht="5.0999999999999996" customHeight="1">
      <c r="B61" s="8"/>
      <c r="G61" s="11"/>
      <c r="L61" s="8"/>
      <c r="V61" s="11"/>
    </row>
    <row r="62" spans="1:22">
      <c r="B62" s="8"/>
      <c r="G62" s="11"/>
      <c r="L62" s="122" t="s">
        <v>80</v>
      </c>
      <c r="M62" s="123"/>
      <c r="N62" s="123"/>
      <c r="O62" s="123"/>
      <c r="P62" s="123"/>
      <c r="Q62" s="123"/>
      <c r="R62" s="123"/>
      <c r="S62" s="123"/>
      <c r="T62" s="123"/>
      <c r="U62" s="123"/>
      <c r="V62" s="124"/>
    </row>
    <row r="63" spans="1:22">
      <c r="B63" s="8"/>
      <c r="G63" s="11"/>
      <c r="L63" s="125"/>
      <c r="M63" s="123"/>
      <c r="N63" s="123"/>
      <c r="O63" s="123"/>
      <c r="P63" s="123"/>
      <c r="Q63" s="123"/>
      <c r="R63" s="123"/>
      <c r="S63" s="123"/>
      <c r="T63" s="123"/>
      <c r="U63" s="123"/>
      <c r="V63" s="124"/>
    </row>
    <row r="64" spans="1:22">
      <c r="B64" s="10"/>
      <c r="C64" s="7"/>
      <c r="D64" s="7"/>
      <c r="E64" s="7"/>
      <c r="F64" s="7"/>
      <c r="G64" s="13"/>
      <c r="L64" s="126"/>
      <c r="M64" s="127"/>
      <c r="N64" s="127"/>
      <c r="O64" s="127"/>
      <c r="P64" s="127"/>
      <c r="Q64" s="127"/>
      <c r="R64" s="127"/>
      <c r="S64" s="127"/>
      <c r="T64" s="127"/>
      <c r="U64" s="127"/>
      <c r="V64" s="128"/>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pageSetUpPr fitToPage="1"/>
  </sheetPr>
  <dimension ref="A1:V64"/>
  <sheetViews>
    <sheetView zoomScale="75" workbookViewId="0">
      <selection sqref="A1:XFD1048576"/>
    </sheetView>
  </sheetViews>
  <sheetFormatPr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129" t="s">
        <v>134</v>
      </c>
      <c r="B1" s="123"/>
      <c r="C1" s="123"/>
      <c r="D1" s="123"/>
      <c r="E1" s="123"/>
      <c r="F1" s="123"/>
      <c r="G1" s="123"/>
    </row>
    <row r="3" spans="1:22">
      <c r="B3" s="130" t="s">
        <v>1</v>
      </c>
      <c r="C3" s="131"/>
      <c r="D3" s="131"/>
      <c r="E3" s="131"/>
      <c r="F3" s="131"/>
      <c r="G3" s="132"/>
      <c r="L3" s="133" t="s">
        <v>2</v>
      </c>
      <c r="M3" s="134"/>
      <c r="N3" s="134"/>
      <c r="O3" s="134"/>
      <c r="P3" s="134"/>
      <c r="Q3" s="134"/>
      <c r="R3" s="134"/>
      <c r="S3" s="134"/>
      <c r="T3" s="134"/>
      <c r="U3" s="134"/>
      <c r="V3" s="135"/>
    </row>
    <row r="4" spans="1:22">
      <c r="B4" s="8"/>
      <c r="G4" s="11"/>
      <c r="L4" s="136" t="s">
        <v>3</v>
      </c>
      <c r="M4" s="137"/>
      <c r="N4" s="4"/>
      <c r="O4" s="138" t="s">
        <v>4</v>
      </c>
      <c r="P4" s="137"/>
      <c r="Q4" s="4"/>
      <c r="R4" s="138" t="s">
        <v>5</v>
      </c>
      <c r="S4" s="137"/>
      <c r="T4" s="4"/>
      <c r="U4" s="138" t="s">
        <v>6</v>
      </c>
      <c r="V4" s="139"/>
    </row>
    <row r="5" spans="1:22" ht="60" customHeight="1">
      <c r="B5" s="9" t="s">
        <v>3</v>
      </c>
      <c r="C5" s="5" t="s">
        <v>4</v>
      </c>
      <c r="D5" s="5" t="s">
        <v>5</v>
      </c>
      <c r="E5" s="5" t="s">
        <v>6</v>
      </c>
      <c r="F5" s="5" t="s">
        <v>7</v>
      </c>
      <c r="G5" s="12" t="s">
        <v>8</v>
      </c>
      <c r="L5" s="15" t="s">
        <v>9</v>
      </c>
      <c r="M5" s="14" t="s">
        <v>10</v>
      </c>
      <c r="N5" s="14"/>
      <c r="O5" s="14" t="s">
        <v>9</v>
      </c>
      <c r="P5" s="14" t="s">
        <v>10</v>
      </c>
      <c r="Q5" s="14"/>
      <c r="R5" s="14" t="s">
        <v>9</v>
      </c>
      <c r="S5" s="14" t="s">
        <v>10</v>
      </c>
      <c r="T5" s="14"/>
      <c r="U5" s="14" t="s">
        <v>9</v>
      </c>
      <c r="V5" s="16" t="s">
        <v>10</v>
      </c>
    </row>
    <row r="6" spans="1:22">
      <c r="A6" s="1" t="s">
        <v>11</v>
      </c>
      <c r="B6" s="29">
        <v>-801589.51177967968</v>
      </c>
      <c r="C6" s="30">
        <v>0</v>
      </c>
      <c r="D6" s="30">
        <v>0</v>
      </c>
      <c r="E6" s="30">
        <v>0</v>
      </c>
      <c r="F6" s="30">
        <v>0</v>
      </c>
      <c r="G6" s="31">
        <f>SUM(AL_FINANCIAL)</f>
        <v>-801589.51177967968</v>
      </c>
      <c r="H6" s="30"/>
      <c r="I6" s="30"/>
      <c r="J6" s="30"/>
      <c r="K6" s="30"/>
      <c r="L6" s="29"/>
      <c r="M6" s="30"/>
      <c r="N6" s="30"/>
      <c r="O6" s="30"/>
      <c r="P6" s="30"/>
      <c r="Q6" s="30"/>
      <c r="R6" s="30"/>
      <c r="S6" s="30"/>
      <c r="T6" s="30"/>
      <c r="U6" s="30"/>
      <c r="V6" s="31"/>
    </row>
    <row r="7" spans="1:22">
      <c r="A7" s="1" t="s">
        <v>12</v>
      </c>
      <c r="B7" s="29">
        <v>14700.662862496516</v>
      </c>
      <c r="C7" s="30">
        <v>0</v>
      </c>
      <c r="D7" s="30">
        <v>0</v>
      </c>
      <c r="E7" s="30">
        <v>0</v>
      </c>
      <c r="F7" s="30">
        <v>0</v>
      </c>
      <c r="G7" s="31">
        <f>SUM(AK_FINANCIAL)</f>
        <v>14700.662862496516</v>
      </c>
      <c r="H7" s="30"/>
      <c r="I7" s="32"/>
      <c r="J7" s="33"/>
      <c r="K7" s="30"/>
      <c r="L7" s="29"/>
      <c r="M7" s="30"/>
      <c r="N7" s="30"/>
      <c r="O7" s="30"/>
      <c r="P7" s="30"/>
      <c r="Q7" s="30"/>
      <c r="R7" s="30"/>
      <c r="S7" s="30"/>
      <c r="T7" s="30"/>
      <c r="U7" s="30"/>
      <c r="V7" s="31"/>
    </row>
    <row r="8" spans="1:22">
      <c r="A8" s="1" t="s">
        <v>13</v>
      </c>
      <c r="B8" s="29">
        <v>2358923.8362913104</v>
      </c>
      <c r="C8" s="30">
        <v>40784.827407746867</v>
      </c>
      <c r="D8" s="30">
        <v>0</v>
      </c>
      <c r="E8" s="30">
        <v>0</v>
      </c>
      <c r="F8" s="30">
        <v>0</v>
      </c>
      <c r="G8" s="31">
        <f>SUM(AZ_FINANCIAL)</f>
        <v>2399708.6636990574</v>
      </c>
      <c r="H8" s="30"/>
      <c r="I8" s="34" t="s">
        <v>14</v>
      </c>
      <c r="J8" s="35"/>
      <c r="K8" s="30"/>
      <c r="L8" s="29"/>
      <c r="M8" s="30"/>
      <c r="N8" s="30"/>
      <c r="O8" s="30"/>
      <c r="P8" s="30"/>
      <c r="Q8" s="30"/>
      <c r="R8" s="30"/>
      <c r="S8" s="30"/>
      <c r="T8" s="30"/>
      <c r="U8" s="30"/>
      <c r="V8" s="31"/>
    </row>
    <row r="9" spans="1:22">
      <c r="A9" s="1" t="s">
        <v>15</v>
      </c>
      <c r="B9" s="29">
        <v>2653116.2138142525</v>
      </c>
      <c r="C9" s="30">
        <v>87182.368168877059</v>
      </c>
      <c r="D9" s="30">
        <v>0</v>
      </c>
      <c r="E9" s="30">
        <v>0</v>
      </c>
      <c r="F9" s="30">
        <v>0</v>
      </c>
      <c r="G9" s="31">
        <f>SUM(AR_FINANCIAL)</f>
        <v>2740298.5819831295</v>
      </c>
      <c r="H9" s="30"/>
      <c r="I9" s="34"/>
      <c r="J9" s="35"/>
      <c r="K9" s="30"/>
      <c r="L9" s="29">
        <v>2500000</v>
      </c>
      <c r="M9" s="30">
        <v>0</v>
      </c>
      <c r="N9" s="30"/>
      <c r="O9" s="30">
        <v>0</v>
      </c>
      <c r="P9" s="30">
        <v>0</v>
      </c>
      <c r="Q9" s="30"/>
      <c r="R9" s="30">
        <v>0</v>
      </c>
      <c r="S9" s="30">
        <v>0</v>
      </c>
      <c r="T9" s="30"/>
      <c r="U9" s="30">
        <v>0</v>
      </c>
      <c r="V9" s="31">
        <v>0</v>
      </c>
    </row>
    <row r="10" spans="1:22">
      <c r="A10" s="1" t="s">
        <v>16</v>
      </c>
      <c r="B10" s="29">
        <v>7063124.0137646655</v>
      </c>
      <c r="C10" s="30">
        <v>44967.83747969351</v>
      </c>
      <c r="D10" s="30">
        <v>0</v>
      </c>
      <c r="E10" s="30">
        <v>0</v>
      </c>
      <c r="F10" s="30">
        <v>0</v>
      </c>
      <c r="G10" s="31">
        <f>SUM(CA_FINANCIAL)</f>
        <v>7108091.8512443593</v>
      </c>
      <c r="H10" s="30"/>
      <c r="I10" s="34" t="s">
        <v>17</v>
      </c>
      <c r="J10" s="35">
        <v>423100428.63000023</v>
      </c>
      <c r="K10" s="30"/>
      <c r="L10" s="29">
        <v>2500000</v>
      </c>
      <c r="M10" s="30">
        <v>0</v>
      </c>
      <c r="N10" s="30"/>
      <c r="O10" s="30">
        <v>0</v>
      </c>
      <c r="P10" s="30">
        <v>0</v>
      </c>
      <c r="Q10" s="30"/>
      <c r="R10" s="30">
        <v>0</v>
      </c>
      <c r="S10" s="30">
        <v>0</v>
      </c>
      <c r="T10" s="30"/>
      <c r="U10" s="30">
        <v>0</v>
      </c>
      <c r="V10" s="31">
        <v>0</v>
      </c>
    </row>
    <row r="11" spans="1:22">
      <c r="A11" s="1" t="s">
        <v>18</v>
      </c>
      <c r="B11" s="29">
        <v>301491.44947217184</v>
      </c>
      <c r="C11" s="30">
        <v>0</v>
      </c>
      <c r="D11" s="30">
        <v>0</v>
      </c>
      <c r="E11" s="30">
        <v>0</v>
      </c>
      <c r="F11" s="30">
        <v>0</v>
      </c>
      <c r="G11" s="31">
        <f>SUM(CO_FINANCIAL)</f>
        <v>301491.44947217184</v>
      </c>
      <c r="H11" s="30"/>
      <c r="I11" s="34"/>
      <c r="J11" s="35"/>
      <c r="K11" s="30"/>
      <c r="L11" s="29">
        <v>410000</v>
      </c>
      <c r="M11" s="30">
        <v>0</v>
      </c>
      <c r="N11" s="30"/>
      <c r="O11" s="30">
        <v>0</v>
      </c>
      <c r="P11" s="30">
        <v>0</v>
      </c>
      <c r="Q11" s="30"/>
      <c r="R11" s="30">
        <v>0</v>
      </c>
      <c r="S11" s="30">
        <v>0</v>
      </c>
      <c r="T11" s="30"/>
      <c r="U11" s="30">
        <v>0</v>
      </c>
      <c r="V11" s="31">
        <v>0</v>
      </c>
    </row>
    <row r="12" spans="1:22">
      <c r="A12" s="1" t="s">
        <v>19</v>
      </c>
      <c r="B12" s="29">
        <v>76156.960251693206</v>
      </c>
      <c r="C12" s="30">
        <v>4144.6577939994195</v>
      </c>
      <c r="D12" s="30">
        <v>0</v>
      </c>
      <c r="E12" s="30">
        <v>0</v>
      </c>
      <c r="F12" s="30">
        <v>0</v>
      </c>
      <c r="G12" s="31">
        <f>SUM(CT_FINANCIAL)</f>
        <v>80301.618045692623</v>
      </c>
      <c r="H12" s="30"/>
      <c r="I12" s="34" t="s">
        <v>20</v>
      </c>
      <c r="J12" s="35"/>
      <c r="K12" s="30"/>
      <c r="L12" s="29">
        <v>99230</v>
      </c>
      <c r="M12" s="30">
        <v>0</v>
      </c>
      <c r="N12" s="30"/>
      <c r="O12" s="30">
        <v>0</v>
      </c>
      <c r="P12" s="30">
        <v>0</v>
      </c>
      <c r="Q12" s="30"/>
      <c r="R12" s="30">
        <v>0</v>
      </c>
      <c r="S12" s="30">
        <v>0</v>
      </c>
      <c r="T12" s="30"/>
      <c r="U12" s="30">
        <v>0</v>
      </c>
      <c r="V12" s="31">
        <v>0</v>
      </c>
    </row>
    <row r="13" spans="1:22">
      <c r="A13" s="1" t="s">
        <v>21</v>
      </c>
      <c r="B13" s="29">
        <v>41345.81746641887</v>
      </c>
      <c r="C13" s="30">
        <v>0</v>
      </c>
      <c r="D13" s="30">
        <v>0</v>
      </c>
      <c r="E13" s="30">
        <v>0</v>
      </c>
      <c r="F13" s="30">
        <v>0</v>
      </c>
      <c r="G13" s="31">
        <f>SUM(DE_FINANCIAL)</f>
        <v>41345.81746641887</v>
      </c>
      <c r="H13" s="30"/>
      <c r="I13" s="34" t="s">
        <v>22</v>
      </c>
      <c r="J13" s="35">
        <v>212695815.40399998</v>
      </c>
      <c r="K13" s="30"/>
      <c r="L13" s="29"/>
      <c r="M13" s="30"/>
      <c r="N13" s="30"/>
      <c r="O13" s="30"/>
      <c r="P13" s="30"/>
      <c r="Q13" s="30"/>
      <c r="R13" s="30"/>
      <c r="S13" s="30"/>
      <c r="T13" s="30"/>
      <c r="U13" s="30"/>
      <c r="V13" s="31"/>
    </row>
    <row r="14" spans="1:22">
      <c r="A14" s="1" t="s">
        <v>23</v>
      </c>
      <c r="B14" s="29">
        <v>5663.0661162414617</v>
      </c>
      <c r="C14" s="30">
        <v>0</v>
      </c>
      <c r="D14" s="30">
        <v>0</v>
      </c>
      <c r="E14" s="30">
        <v>0</v>
      </c>
      <c r="F14" s="30">
        <v>0</v>
      </c>
      <c r="G14" s="31">
        <f>SUM(DC_FINANCIAL)</f>
        <v>5663.0661162414617</v>
      </c>
      <c r="H14" s="30"/>
      <c r="I14" s="34" t="s">
        <v>24</v>
      </c>
      <c r="J14" s="35">
        <v>29796268.240318611</v>
      </c>
      <c r="K14" s="30"/>
      <c r="L14" s="29"/>
      <c r="M14" s="30"/>
      <c r="N14" s="30"/>
      <c r="O14" s="30"/>
      <c r="P14" s="30"/>
      <c r="Q14" s="30"/>
      <c r="R14" s="30"/>
      <c r="S14" s="30"/>
      <c r="T14" s="30"/>
      <c r="U14" s="30"/>
      <c r="V14" s="31"/>
    </row>
    <row r="15" spans="1:22">
      <c r="A15" s="1" t="s">
        <v>25</v>
      </c>
      <c r="B15" s="29">
        <v>50026.390277441846</v>
      </c>
      <c r="C15" s="30">
        <v>0</v>
      </c>
      <c r="D15" s="30">
        <v>0</v>
      </c>
      <c r="E15" s="30">
        <v>0</v>
      </c>
      <c r="F15" s="30">
        <v>0</v>
      </c>
      <c r="G15" s="31">
        <f>SUM(FL_FINANCIAL)</f>
        <v>50026.390277441846</v>
      </c>
      <c r="H15" s="30"/>
      <c r="I15" s="34" t="s">
        <v>26</v>
      </c>
      <c r="J15" s="35">
        <v>46713210.000000007</v>
      </c>
      <c r="K15" s="30"/>
      <c r="L15" s="29"/>
      <c r="M15" s="30"/>
      <c r="N15" s="30"/>
      <c r="O15" s="30"/>
      <c r="P15" s="30"/>
      <c r="Q15" s="30"/>
      <c r="R15" s="30"/>
      <c r="S15" s="30"/>
      <c r="T15" s="30"/>
      <c r="U15" s="30"/>
      <c r="V15" s="31"/>
    </row>
    <row r="16" spans="1:22">
      <c r="A16" s="1" t="s">
        <v>27</v>
      </c>
      <c r="B16" s="29">
        <v>696594.7402765865</v>
      </c>
      <c r="C16" s="30">
        <v>135.65861881925957</v>
      </c>
      <c r="D16" s="30">
        <v>0</v>
      </c>
      <c r="E16" s="30">
        <v>0</v>
      </c>
      <c r="F16" s="30">
        <v>0</v>
      </c>
      <c r="G16" s="31">
        <f>SUM(GA_FINANCIAL)</f>
        <v>696730.3988954057</v>
      </c>
      <c r="H16" s="30"/>
      <c r="I16" s="34" t="s">
        <v>28</v>
      </c>
      <c r="J16" s="35">
        <v>8953621.5794373024</v>
      </c>
      <c r="K16" s="30"/>
      <c r="L16" s="29"/>
      <c r="M16" s="30"/>
      <c r="N16" s="30"/>
      <c r="O16" s="30"/>
      <c r="P16" s="30"/>
      <c r="Q16" s="30"/>
      <c r="R16" s="30"/>
      <c r="S16" s="30"/>
      <c r="T16" s="30"/>
      <c r="U16" s="30"/>
      <c r="V16" s="31"/>
    </row>
    <row r="17" spans="1:22">
      <c r="A17" s="1" t="s">
        <v>29</v>
      </c>
      <c r="B17" s="29">
        <v>11814.458267856418</v>
      </c>
      <c r="C17" s="30">
        <v>0</v>
      </c>
      <c r="D17" s="30">
        <v>0</v>
      </c>
      <c r="E17" s="30">
        <v>0</v>
      </c>
      <c r="F17" s="30">
        <v>0</v>
      </c>
      <c r="G17" s="31">
        <f>SUM(HI_FINANCIAL)</f>
        <v>11814.458267856418</v>
      </c>
      <c r="H17" s="30"/>
      <c r="I17" s="34"/>
      <c r="J17" s="35"/>
      <c r="K17" s="30"/>
      <c r="L17" s="29"/>
      <c r="M17" s="30"/>
      <c r="N17" s="30"/>
      <c r="O17" s="30"/>
      <c r="P17" s="30"/>
      <c r="Q17" s="30"/>
      <c r="R17" s="30"/>
      <c r="S17" s="30"/>
      <c r="T17" s="30"/>
      <c r="U17" s="30"/>
      <c r="V17" s="31"/>
    </row>
    <row r="18" spans="1:22">
      <c r="A18" s="1" t="s">
        <v>30</v>
      </c>
      <c r="B18" s="29">
        <v>115431.02690901709</v>
      </c>
      <c r="C18" s="30">
        <v>0</v>
      </c>
      <c r="D18" s="30">
        <v>0</v>
      </c>
      <c r="E18" s="30">
        <v>0</v>
      </c>
      <c r="F18" s="30">
        <v>0</v>
      </c>
      <c r="G18" s="31">
        <f>SUM(ID_FINANCIAL)</f>
        <v>115431.02690901709</v>
      </c>
      <c r="H18" s="30"/>
      <c r="I18" s="34" t="s">
        <v>31</v>
      </c>
      <c r="J18" s="35"/>
      <c r="K18" s="30"/>
      <c r="L18" s="29"/>
      <c r="M18" s="30"/>
      <c r="N18" s="30"/>
      <c r="O18" s="30"/>
      <c r="P18" s="30"/>
      <c r="Q18" s="30"/>
      <c r="R18" s="30"/>
      <c r="S18" s="30"/>
      <c r="T18" s="30"/>
      <c r="U18" s="30"/>
      <c r="V18" s="31"/>
    </row>
    <row r="19" spans="1:22">
      <c r="A19" s="1" t="s">
        <v>32</v>
      </c>
      <c r="B19" s="29">
        <v>32549447.52494267</v>
      </c>
      <c r="C19" s="30">
        <v>-889.7175198537152</v>
      </c>
      <c r="D19" s="30">
        <v>0</v>
      </c>
      <c r="E19" s="30">
        <v>0</v>
      </c>
      <c r="F19" s="30">
        <v>0</v>
      </c>
      <c r="G19" s="31">
        <f>SUM(IL_FINANCIAL)</f>
        <v>32548557.807422817</v>
      </c>
      <c r="H19" s="30"/>
      <c r="I19" s="34" t="s">
        <v>33</v>
      </c>
      <c r="J19" s="35">
        <v>0</v>
      </c>
      <c r="K19" s="30"/>
      <c r="L19" s="29">
        <v>50000000</v>
      </c>
      <c r="M19" s="30">
        <v>0</v>
      </c>
      <c r="N19" s="30"/>
      <c r="O19" s="30">
        <v>600000</v>
      </c>
      <c r="P19" s="30">
        <v>0</v>
      </c>
      <c r="Q19" s="30"/>
      <c r="R19" s="30">
        <v>0</v>
      </c>
      <c r="S19" s="30">
        <v>0</v>
      </c>
      <c r="T19" s="30"/>
      <c r="U19" s="30">
        <v>0</v>
      </c>
      <c r="V19" s="31">
        <v>0</v>
      </c>
    </row>
    <row r="20" spans="1:22">
      <c r="A20" s="1" t="s">
        <v>34</v>
      </c>
      <c r="B20" s="29">
        <v>8488824.8809514605</v>
      </c>
      <c r="C20" s="30">
        <v>0</v>
      </c>
      <c r="D20" s="30">
        <v>0</v>
      </c>
      <c r="E20" s="30">
        <v>0</v>
      </c>
      <c r="F20" s="30">
        <v>0</v>
      </c>
      <c r="G20" s="31">
        <f>SUM(IN_FINANCIAL)</f>
        <v>8488824.8809514605</v>
      </c>
      <c r="H20" s="30"/>
      <c r="I20" s="34" t="s">
        <v>35</v>
      </c>
      <c r="J20" s="35">
        <v>302104085.69485641</v>
      </c>
      <c r="K20" s="30"/>
      <c r="L20" s="29">
        <v>7126300</v>
      </c>
      <c r="M20" s="30">
        <v>0</v>
      </c>
      <c r="N20" s="30"/>
      <c r="O20" s="30">
        <v>0</v>
      </c>
      <c r="P20" s="30">
        <v>0</v>
      </c>
      <c r="Q20" s="30"/>
      <c r="R20" s="30">
        <v>0</v>
      </c>
      <c r="S20" s="30">
        <v>0</v>
      </c>
      <c r="T20" s="30"/>
      <c r="U20" s="30">
        <v>0</v>
      </c>
      <c r="V20" s="31">
        <v>0</v>
      </c>
    </row>
    <row r="21" spans="1:22">
      <c r="A21" s="1" t="s">
        <v>36</v>
      </c>
      <c r="B21" s="29">
        <v>15518806.908252038</v>
      </c>
      <c r="C21" s="30">
        <v>4485.2926534614526</v>
      </c>
      <c r="D21" s="30">
        <v>0</v>
      </c>
      <c r="E21" s="30">
        <v>0</v>
      </c>
      <c r="F21" s="30">
        <v>0</v>
      </c>
      <c r="G21" s="31">
        <f>SUM(IA_FINANCIAL)</f>
        <v>15523292.2009055</v>
      </c>
      <c r="H21" s="30"/>
      <c r="I21" s="34" t="s">
        <v>37</v>
      </c>
      <c r="J21" s="35"/>
      <c r="K21" s="30"/>
      <c r="L21" s="29">
        <v>18100000</v>
      </c>
      <c r="M21" s="30">
        <v>0</v>
      </c>
      <c r="N21" s="30"/>
      <c r="O21" s="30">
        <v>0</v>
      </c>
      <c r="P21" s="30">
        <v>0</v>
      </c>
      <c r="Q21" s="30"/>
      <c r="R21" s="30">
        <v>0</v>
      </c>
      <c r="S21" s="30">
        <v>0</v>
      </c>
      <c r="T21" s="30"/>
      <c r="U21" s="30">
        <v>0</v>
      </c>
      <c r="V21" s="31">
        <v>0</v>
      </c>
    </row>
    <row r="22" spans="1:22">
      <c r="A22" s="1" t="s">
        <v>38</v>
      </c>
      <c r="B22" s="29">
        <v>13249730.380123543</v>
      </c>
      <c r="C22" s="30">
        <v>0</v>
      </c>
      <c r="D22" s="30">
        <v>0</v>
      </c>
      <c r="E22" s="30">
        <v>0</v>
      </c>
      <c r="F22" s="30">
        <v>0</v>
      </c>
      <c r="G22" s="31">
        <f>SUM(KS_FINANCIAL)</f>
        <v>13249730.380123543</v>
      </c>
      <c r="H22" s="30"/>
      <c r="I22" s="34" t="s">
        <v>39</v>
      </c>
      <c r="J22" s="35">
        <v>-3132835.1357204714</v>
      </c>
      <c r="K22" s="30"/>
      <c r="L22" s="29">
        <v>17200000</v>
      </c>
      <c r="M22" s="30">
        <v>0</v>
      </c>
      <c r="N22" s="30"/>
      <c r="O22" s="30">
        <v>0</v>
      </c>
      <c r="P22" s="30">
        <v>0</v>
      </c>
      <c r="Q22" s="30"/>
      <c r="R22" s="30">
        <v>0</v>
      </c>
      <c r="S22" s="30">
        <v>0</v>
      </c>
      <c r="T22" s="30"/>
      <c r="U22" s="30">
        <v>0</v>
      </c>
      <c r="V22" s="31">
        <v>0</v>
      </c>
    </row>
    <row r="23" spans="1:22">
      <c r="A23" s="1" t="s">
        <v>40</v>
      </c>
      <c r="B23" s="29">
        <v>6667342.5295697432</v>
      </c>
      <c r="C23" s="30">
        <v>0</v>
      </c>
      <c r="D23" s="30">
        <v>0</v>
      </c>
      <c r="E23" s="30">
        <v>0</v>
      </c>
      <c r="F23" s="30">
        <v>0</v>
      </c>
      <c r="G23" s="31">
        <f>SUM(KY_FINANCIAL)</f>
        <v>6667342.5295697432</v>
      </c>
      <c r="H23" s="30"/>
      <c r="I23" s="34" t="s">
        <v>41</v>
      </c>
      <c r="J23" s="35"/>
      <c r="K23" s="30"/>
      <c r="L23" s="29">
        <v>12097362</v>
      </c>
      <c r="M23" s="30">
        <v>0</v>
      </c>
      <c r="N23" s="30"/>
      <c r="O23" s="30">
        <v>0</v>
      </c>
      <c r="P23" s="30">
        <v>0</v>
      </c>
      <c r="Q23" s="30"/>
      <c r="R23" s="30">
        <v>0</v>
      </c>
      <c r="S23" s="30">
        <v>0</v>
      </c>
      <c r="T23" s="30"/>
      <c r="U23" s="30">
        <v>0</v>
      </c>
      <c r="V23" s="31">
        <v>0</v>
      </c>
    </row>
    <row r="24" spans="1:22">
      <c r="A24" s="1" t="s">
        <v>42</v>
      </c>
      <c r="B24" s="29">
        <v>1754836.7399504916</v>
      </c>
      <c r="C24" s="30">
        <v>0</v>
      </c>
      <c r="D24" s="30">
        <v>0</v>
      </c>
      <c r="E24" s="30">
        <v>0</v>
      </c>
      <c r="F24" s="30">
        <v>0</v>
      </c>
      <c r="G24" s="31">
        <f>SUM(LA_FINANCIAL)</f>
        <v>1754836.7399504916</v>
      </c>
      <c r="H24" s="30"/>
      <c r="I24" s="34" t="s">
        <v>43</v>
      </c>
      <c r="J24" s="35">
        <v>206173432.72000003</v>
      </c>
      <c r="K24" s="30"/>
      <c r="L24" s="29">
        <v>1120000</v>
      </c>
      <c r="M24" s="30">
        <v>0</v>
      </c>
      <c r="N24" s="30"/>
      <c r="O24" s="30">
        <v>0</v>
      </c>
      <c r="P24" s="30">
        <v>0</v>
      </c>
      <c r="Q24" s="30"/>
      <c r="R24" s="30">
        <v>0</v>
      </c>
      <c r="S24" s="30">
        <v>0</v>
      </c>
      <c r="T24" s="30"/>
      <c r="U24" s="30">
        <v>0</v>
      </c>
      <c r="V24" s="31">
        <v>0</v>
      </c>
    </row>
    <row r="25" spans="1:22">
      <c r="A25" s="1" t="s">
        <v>44</v>
      </c>
      <c r="B25" s="29">
        <v>11204.920478839638</v>
      </c>
      <c r="C25" s="30">
        <v>0</v>
      </c>
      <c r="D25" s="30">
        <v>0</v>
      </c>
      <c r="E25" s="30">
        <v>0</v>
      </c>
      <c r="F25" s="30">
        <v>0</v>
      </c>
      <c r="G25" s="31">
        <f>SUM(ME_FINANCIAL)</f>
        <v>11204.920478839638</v>
      </c>
      <c r="H25" s="30"/>
      <c r="I25" s="34"/>
      <c r="J25" s="35"/>
      <c r="K25" s="30"/>
      <c r="L25" s="29"/>
      <c r="M25" s="30"/>
      <c r="N25" s="30"/>
      <c r="O25" s="30"/>
      <c r="P25" s="30"/>
      <c r="Q25" s="30"/>
      <c r="R25" s="30"/>
      <c r="S25" s="30"/>
      <c r="T25" s="30"/>
      <c r="U25" s="30"/>
      <c r="V25" s="31"/>
    </row>
    <row r="26" spans="1:22">
      <c r="A26" s="1" t="s">
        <v>45</v>
      </c>
      <c r="B26" s="29">
        <v>132345.91890628784</v>
      </c>
      <c r="C26" s="30">
        <v>0</v>
      </c>
      <c r="D26" s="30">
        <v>0</v>
      </c>
      <c r="E26" s="30">
        <v>0</v>
      </c>
      <c r="F26" s="30">
        <v>0</v>
      </c>
      <c r="G26" s="31">
        <f>SUM(MD_FINANCIAL)</f>
        <v>132345.91890628784</v>
      </c>
      <c r="H26" s="30"/>
      <c r="I26" s="34" t="s">
        <v>46</v>
      </c>
      <c r="J26" s="35">
        <f>SUM(ADD_FINANCIAL)-SUM(LESS_FINANCIAL)</f>
        <v>216114660.57462013</v>
      </c>
      <c r="K26" s="30"/>
      <c r="L26" s="29"/>
      <c r="M26" s="30"/>
      <c r="N26" s="30"/>
      <c r="O26" s="30"/>
      <c r="P26" s="30"/>
      <c r="Q26" s="30"/>
      <c r="R26" s="30"/>
      <c r="S26" s="30"/>
      <c r="T26" s="30"/>
      <c r="U26" s="30"/>
      <c r="V26" s="31"/>
    </row>
    <row r="27" spans="1:22">
      <c r="A27" s="1" t="s">
        <v>47</v>
      </c>
      <c r="B27" s="29">
        <v>0</v>
      </c>
      <c r="C27" s="30">
        <v>0</v>
      </c>
      <c r="D27" s="30">
        <v>0</v>
      </c>
      <c r="E27" s="30">
        <v>0</v>
      </c>
      <c r="F27" s="30">
        <v>0</v>
      </c>
      <c r="G27" s="31">
        <f>SUM(MA_FINANCIAL)</f>
        <v>0</v>
      </c>
      <c r="H27" s="30"/>
      <c r="I27" s="34" t="s">
        <v>48</v>
      </c>
      <c r="J27" s="35">
        <f>SUM(ALL_BLOCKS)</f>
        <v>216114660.57462007</v>
      </c>
      <c r="K27" s="30"/>
      <c r="L27" s="29"/>
      <c r="M27" s="30"/>
      <c r="N27" s="30"/>
      <c r="O27" s="30"/>
      <c r="P27" s="30"/>
      <c r="Q27" s="30"/>
      <c r="R27" s="30"/>
      <c r="S27" s="30"/>
      <c r="T27" s="30"/>
      <c r="U27" s="30"/>
      <c r="V27" s="31"/>
    </row>
    <row r="28" spans="1:22">
      <c r="A28" s="1" t="s">
        <v>49</v>
      </c>
      <c r="B28" s="29">
        <v>300527.27089574724</v>
      </c>
      <c r="C28" s="30">
        <v>0</v>
      </c>
      <c r="D28" s="30">
        <v>0</v>
      </c>
      <c r="E28" s="30">
        <v>0</v>
      </c>
      <c r="F28" s="30">
        <v>0</v>
      </c>
      <c r="G28" s="31">
        <f>SUM(MI_FINANCIAL)</f>
        <v>300527.27089574724</v>
      </c>
      <c r="H28" s="30"/>
      <c r="I28" s="36"/>
      <c r="J28" s="37"/>
      <c r="K28" s="30"/>
      <c r="L28" s="29"/>
      <c r="M28" s="30"/>
      <c r="N28" s="30"/>
      <c r="O28" s="30"/>
      <c r="P28" s="30"/>
      <c r="Q28" s="30"/>
      <c r="R28" s="30"/>
      <c r="S28" s="30"/>
      <c r="T28" s="30"/>
      <c r="U28" s="30"/>
      <c r="V28" s="31"/>
    </row>
    <row r="29" spans="1:22">
      <c r="A29" s="1" t="s">
        <v>50</v>
      </c>
      <c r="B29" s="29">
        <v>234720.99018583747</v>
      </c>
      <c r="C29" s="30">
        <v>758.83702915651884</v>
      </c>
      <c r="D29" s="30">
        <v>0</v>
      </c>
      <c r="E29" s="30">
        <v>0</v>
      </c>
      <c r="F29" s="30">
        <v>0</v>
      </c>
      <c r="G29" s="31">
        <f>SUM(MN_FINANCIAL)</f>
        <v>235479.82721499397</v>
      </c>
      <c r="H29" s="30"/>
      <c r="I29" s="30"/>
      <c r="J29" s="30"/>
      <c r="K29" s="30"/>
      <c r="L29" s="29"/>
      <c r="M29" s="30"/>
      <c r="N29" s="30"/>
      <c r="O29" s="30"/>
      <c r="P29" s="30"/>
      <c r="Q29" s="30"/>
      <c r="R29" s="30"/>
      <c r="S29" s="30"/>
      <c r="T29" s="30"/>
      <c r="U29" s="30"/>
      <c r="V29" s="31"/>
    </row>
    <row r="30" spans="1:22">
      <c r="A30" s="1" t="s">
        <v>51</v>
      </c>
      <c r="B30" s="29">
        <v>-217413.25583562558</v>
      </c>
      <c r="C30" s="30">
        <v>0</v>
      </c>
      <c r="D30" s="30">
        <v>0</v>
      </c>
      <c r="E30" s="30">
        <v>0</v>
      </c>
      <c r="F30" s="30">
        <v>0</v>
      </c>
      <c r="G30" s="31">
        <f>SUM(MS_FINANCIAL)</f>
        <v>-217413.25583562558</v>
      </c>
      <c r="H30" s="30"/>
      <c r="I30" s="30"/>
      <c r="J30" s="30"/>
      <c r="K30" s="30"/>
      <c r="L30" s="29"/>
      <c r="M30" s="30"/>
      <c r="N30" s="30"/>
      <c r="O30" s="30"/>
      <c r="P30" s="30"/>
      <c r="Q30" s="30"/>
      <c r="R30" s="30"/>
      <c r="S30" s="30"/>
      <c r="T30" s="30"/>
      <c r="U30" s="30"/>
      <c r="V30" s="31"/>
    </row>
    <row r="31" spans="1:22">
      <c r="A31" s="1" t="s">
        <v>52</v>
      </c>
      <c r="B31" s="29">
        <v>91912657.16773583</v>
      </c>
      <c r="C31" s="30">
        <v>98206.587352398783</v>
      </c>
      <c r="D31" s="30">
        <v>0</v>
      </c>
      <c r="E31" s="30">
        <v>0</v>
      </c>
      <c r="F31" s="30">
        <v>0</v>
      </c>
      <c r="G31" s="31">
        <f>SUM(MO_FINANCIAL)</f>
        <v>92010863.755088225</v>
      </c>
      <c r="H31" s="30"/>
      <c r="I31" s="30"/>
      <c r="J31" s="30"/>
      <c r="K31" s="30"/>
      <c r="L31" s="29">
        <v>114491630</v>
      </c>
      <c r="M31" s="30">
        <v>0</v>
      </c>
      <c r="N31" s="30"/>
      <c r="O31" s="30">
        <v>0</v>
      </c>
      <c r="P31" s="30">
        <v>0</v>
      </c>
      <c r="Q31" s="30"/>
      <c r="R31" s="30">
        <v>0</v>
      </c>
      <c r="S31" s="30">
        <v>0</v>
      </c>
      <c r="T31" s="30"/>
      <c r="U31" s="30">
        <v>0</v>
      </c>
      <c r="V31" s="31">
        <v>0</v>
      </c>
    </row>
    <row r="32" spans="1:22">
      <c r="A32" s="1" t="s">
        <v>53</v>
      </c>
      <c r="B32" s="29">
        <v>127400.06323593194</v>
      </c>
      <c r="C32" s="30">
        <v>0</v>
      </c>
      <c r="D32" s="30">
        <v>0</v>
      </c>
      <c r="E32" s="30">
        <v>0</v>
      </c>
      <c r="F32" s="30">
        <v>0</v>
      </c>
      <c r="G32" s="31">
        <f>SUM(MT_FINANCIAL)</f>
        <v>127400.06323593194</v>
      </c>
      <c r="H32" s="30"/>
      <c r="I32" s="30"/>
      <c r="J32" s="30"/>
      <c r="K32" s="30"/>
      <c r="L32" s="29"/>
      <c r="M32" s="30"/>
      <c r="N32" s="30"/>
      <c r="O32" s="30"/>
      <c r="P32" s="30"/>
      <c r="Q32" s="30"/>
      <c r="R32" s="30"/>
      <c r="S32" s="30"/>
      <c r="T32" s="30"/>
      <c r="U32" s="30"/>
      <c r="V32" s="31"/>
    </row>
    <row r="33" spans="1:22">
      <c r="A33" s="1" t="s">
        <v>54</v>
      </c>
      <c r="B33" s="29">
        <v>2673741.9303176585</v>
      </c>
      <c r="C33" s="30">
        <v>0</v>
      </c>
      <c r="D33" s="30">
        <v>0</v>
      </c>
      <c r="E33" s="30">
        <v>0</v>
      </c>
      <c r="F33" s="30">
        <v>0</v>
      </c>
      <c r="G33" s="31">
        <f>SUM(NE_FINANCIAL)</f>
        <v>2673741.9303176585</v>
      </c>
      <c r="H33" s="30"/>
      <c r="I33" s="30"/>
      <c r="J33" s="30"/>
      <c r="K33" s="30"/>
      <c r="L33" s="29"/>
      <c r="M33" s="30"/>
      <c r="N33" s="30"/>
      <c r="O33" s="30"/>
      <c r="P33" s="30"/>
      <c r="Q33" s="30"/>
      <c r="R33" s="30"/>
      <c r="S33" s="30"/>
      <c r="T33" s="30"/>
      <c r="U33" s="30"/>
      <c r="V33" s="31"/>
    </row>
    <row r="34" spans="1:22">
      <c r="A34" s="1" t="s">
        <v>55</v>
      </c>
      <c r="B34" s="29">
        <v>88128.413478385686</v>
      </c>
      <c r="C34" s="30">
        <v>0</v>
      </c>
      <c r="D34" s="30">
        <v>0</v>
      </c>
      <c r="E34" s="30">
        <v>0</v>
      </c>
      <c r="F34" s="30">
        <v>0</v>
      </c>
      <c r="G34" s="31">
        <f>SUM(NV_FINANCIAL)</f>
        <v>88128.413478385686</v>
      </c>
      <c r="H34" s="30"/>
      <c r="I34" s="30"/>
      <c r="J34" s="30"/>
      <c r="K34" s="30"/>
      <c r="L34" s="29"/>
      <c r="M34" s="30"/>
      <c r="N34" s="30"/>
      <c r="O34" s="30"/>
      <c r="P34" s="30"/>
      <c r="Q34" s="30"/>
      <c r="R34" s="30"/>
      <c r="S34" s="30"/>
      <c r="T34" s="30"/>
      <c r="U34" s="30"/>
      <c r="V34" s="31"/>
    </row>
    <row r="35" spans="1:22">
      <c r="A35" s="1" t="s">
        <v>56</v>
      </c>
      <c r="B35" s="29">
        <v>0</v>
      </c>
      <c r="C35" s="30">
        <v>0</v>
      </c>
      <c r="D35" s="30">
        <v>0</v>
      </c>
      <c r="E35" s="30">
        <v>0</v>
      </c>
      <c r="F35" s="30">
        <v>0</v>
      </c>
      <c r="G35" s="31">
        <f>SUM(NH_FINANCIAL)</f>
        <v>0</v>
      </c>
      <c r="H35" s="30"/>
      <c r="I35" s="30"/>
      <c r="J35" s="30"/>
      <c r="K35" s="30"/>
      <c r="L35" s="29"/>
      <c r="M35" s="30"/>
      <c r="N35" s="30"/>
      <c r="O35" s="30"/>
      <c r="P35" s="30"/>
      <c r="Q35" s="30"/>
      <c r="R35" s="30"/>
      <c r="S35" s="30"/>
      <c r="T35" s="30"/>
      <c r="U35" s="30"/>
      <c r="V35" s="31"/>
    </row>
    <row r="36" spans="1:22">
      <c r="A36" s="1" t="s">
        <v>57</v>
      </c>
      <c r="B36" s="29">
        <v>0</v>
      </c>
      <c r="C36" s="30">
        <v>0</v>
      </c>
      <c r="D36" s="30">
        <v>0</v>
      </c>
      <c r="E36" s="30">
        <v>0</v>
      </c>
      <c r="F36" s="30">
        <v>0</v>
      </c>
      <c r="G36" s="31">
        <f>SUM(NJ_FINANCIAL)</f>
        <v>0</v>
      </c>
      <c r="H36" s="30"/>
      <c r="I36" s="30"/>
      <c r="J36" s="30"/>
      <c r="K36" s="30"/>
      <c r="L36" s="29"/>
      <c r="M36" s="30"/>
      <c r="N36" s="30"/>
      <c r="O36" s="30"/>
      <c r="P36" s="30"/>
      <c r="Q36" s="30"/>
      <c r="R36" s="30"/>
      <c r="S36" s="30"/>
      <c r="T36" s="30"/>
      <c r="U36" s="30"/>
      <c r="V36" s="31"/>
    </row>
    <row r="37" spans="1:22">
      <c r="A37" s="1" t="s">
        <v>58</v>
      </c>
      <c r="B37" s="29">
        <v>97112.88523148415</v>
      </c>
      <c r="C37" s="30">
        <v>0</v>
      </c>
      <c r="D37" s="30">
        <v>0</v>
      </c>
      <c r="E37" s="30">
        <v>0</v>
      </c>
      <c r="F37" s="30">
        <v>0</v>
      </c>
      <c r="G37" s="31">
        <f>SUM(NM_FINANCIAL)</f>
        <v>97112.88523148415</v>
      </c>
      <c r="H37" s="30"/>
      <c r="I37" s="30"/>
      <c r="J37" s="30"/>
      <c r="K37" s="30"/>
      <c r="L37" s="29"/>
      <c r="M37" s="30"/>
      <c r="N37" s="30"/>
      <c r="O37" s="30"/>
      <c r="P37" s="30"/>
      <c r="Q37" s="30"/>
      <c r="R37" s="30"/>
      <c r="S37" s="30"/>
      <c r="T37" s="30"/>
      <c r="U37" s="30"/>
      <c r="V37" s="31"/>
    </row>
    <row r="38" spans="1:22">
      <c r="A38" s="1" t="s">
        <v>59</v>
      </c>
      <c r="B38" s="29">
        <v>0</v>
      </c>
      <c r="C38" s="30">
        <v>0</v>
      </c>
      <c r="D38" s="30">
        <v>0</v>
      </c>
      <c r="E38" s="30">
        <v>0</v>
      </c>
      <c r="F38" s="30">
        <v>0</v>
      </c>
      <c r="G38" s="31">
        <f>SUM(NY_FINANCIAL)</f>
        <v>0</v>
      </c>
      <c r="H38" s="30"/>
      <c r="I38" s="30"/>
      <c r="J38" s="30"/>
      <c r="K38" s="30"/>
      <c r="L38" s="29"/>
      <c r="M38" s="30"/>
      <c r="N38" s="30"/>
      <c r="O38" s="30"/>
      <c r="P38" s="30"/>
      <c r="Q38" s="30"/>
      <c r="R38" s="30"/>
      <c r="S38" s="30"/>
      <c r="T38" s="30"/>
      <c r="U38" s="30"/>
      <c r="V38" s="31"/>
    </row>
    <row r="39" spans="1:22">
      <c r="A39" s="1" t="s">
        <v>60</v>
      </c>
      <c r="B39" s="29">
        <v>-463817.04763701896</v>
      </c>
      <c r="C39" s="30">
        <v>0</v>
      </c>
      <c r="D39" s="30">
        <v>0</v>
      </c>
      <c r="E39" s="30">
        <v>0</v>
      </c>
      <c r="F39" s="30">
        <v>0</v>
      </c>
      <c r="G39" s="31">
        <f>SUM(NC_FINANCIAL)</f>
        <v>-463817.04763701896</v>
      </c>
      <c r="H39" s="30"/>
      <c r="I39" s="30"/>
      <c r="J39" s="30"/>
      <c r="K39" s="30"/>
      <c r="L39" s="29"/>
      <c r="M39" s="30"/>
      <c r="N39" s="30"/>
      <c r="O39" s="30"/>
      <c r="P39" s="30"/>
      <c r="Q39" s="30"/>
      <c r="R39" s="30"/>
      <c r="S39" s="30"/>
      <c r="T39" s="30"/>
      <c r="U39" s="30"/>
      <c r="V39" s="31"/>
    </row>
    <row r="40" spans="1:22">
      <c r="A40" s="1" t="s">
        <v>61</v>
      </c>
      <c r="B40" s="29">
        <v>4287.6281627202097</v>
      </c>
      <c r="C40" s="30">
        <v>0</v>
      </c>
      <c r="D40" s="30">
        <v>0</v>
      </c>
      <c r="E40" s="30">
        <v>0</v>
      </c>
      <c r="F40" s="30">
        <v>0</v>
      </c>
      <c r="G40" s="31">
        <f>SUM(ND_FINANCIAL)</f>
        <v>4287.6281627202097</v>
      </c>
      <c r="H40" s="30"/>
      <c r="I40" s="30"/>
      <c r="J40" s="30"/>
      <c r="K40" s="30"/>
      <c r="L40" s="29"/>
      <c r="M40" s="30"/>
      <c r="N40" s="30"/>
      <c r="O40" s="30"/>
      <c r="P40" s="30"/>
      <c r="Q40" s="30"/>
      <c r="R40" s="30"/>
      <c r="S40" s="30"/>
      <c r="T40" s="30"/>
      <c r="U40" s="30"/>
      <c r="V40" s="31"/>
    </row>
    <row r="41" spans="1:22">
      <c r="A41" s="1" t="s">
        <v>62</v>
      </c>
      <c r="B41" s="29">
        <v>10862276.068074027</v>
      </c>
      <c r="C41" s="30">
        <v>0</v>
      </c>
      <c r="D41" s="30">
        <v>0</v>
      </c>
      <c r="E41" s="30">
        <v>0</v>
      </c>
      <c r="F41" s="30">
        <v>0</v>
      </c>
      <c r="G41" s="31">
        <f>SUM(OH_FINANCIAL)</f>
        <v>10862276.068074027</v>
      </c>
      <c r="H41" s="30"/>
      <c r="I41" s="30"/>
      <c r="J41" s="30"/>
      <c r="K41" s="30"/>
      <c r="L41" s="29">
        <v>7600000</v>
      </c>
      <c r="M41" s="30">
        <v>0</v>
      </c>
      <c r="N41" s="30"/>
      <c r="O41" s="30">
        <v>0</v>
      </c>
      <c r="P41" s="30">
        <v>0</v>
      </c>
      <c r="Q41" s="30"/>
      <c r="R41" s="30">
        <v>0</v>
      </c>
      <c r="S41" s="30">
        <v>0</v>
      </c>
      <c r="T41" s="30"/>
      <c r="U41" s="30">
        <v>0</v>
      </c>
      <c r="V41" s="31">
        <v>0</v>
      </c>
    </row>
    <row r="42" spans="1:22">
      <c r="A42" s="1" t="s">
        <v>63</v>
      </c>
      <c r="B42" s="29">
        <v>10599639.766583569</v>
      </c>
      <c r="C42" s="30">
        <v>0</v>
      </c>
      <c r="D42" s="30">
        <v>0</v>
      </c>
      <c r="E42" s="30">
        <v>0</v>
      </c>
      <c r="F42" s="30">
        <v>0</v>
      </c>
      <c r="G42" s="31">
        <f>SUM(OK_FINANCIAL)</f>
        <v>10599639.766583569</v>
      </c>
      <c r="H42" s="30"/>
      <c r="I42" s="30"/>
      <c r="J42" s="30"/>
      <c r="K42" s="30"/>
      <c r="L42" s="29">
        <v>15200000</v>
      </c>
      <c r="M42" s="30">
        <v>0</v>
      </c>
      <c r="N42" s="30"/>
      <c r="O42" s="30">
        <v>0</v>
      </c>
      <c r="P42" s="30">
        <v>0</v>
      </c>
      <c r="Q42" s="30"/>
      <c r="R42" s="30">
        <v>0</v>
      </c>
      <c r="S42" s="30">
        <v>0</v>
      </c>
      <c r="T42" s="30"/>
      <c r="U42" s="30">
        <v>0</v>
      </c>
      <c r="V42" s="31">
        <v>0</v>
      </c>
    </row>
    <row r="43" spans="1:22">
      <c r="A43" s="1" t="s">
        <v>64</v>
      </c>
      <c r="B43" s="29">
        <v>116639.63609313159</v>
      </c>
      <c r="C43" s="30">
        <v>0</v>
      </c>
      <c r="D43" s="30">
        <v>0</v>
      </c>
      <c r="E43" s="30">
        <v>0</v>
      </c>
      <c r="F43" s="30">
        <v>0</v>
      </c>
      <c r="G43" s="31">
        <f>SUM(OR_FINANCIAL)</f>
        <v>116639.63609313159</v>
      </c>
      <c r="H43" s="30"/>
      <c r="I43" s="30"/>
      <c r="J43" s="30"/>
      <c r="K43" s="30"/>
      <c r="L43" s="29"/>
      <c r="M43" s="30"/>
      <c r="N43" s="30"/>
      <c r="O43" s="30"/>
      <c r="P43" s="30"/>
      <c r="Q43" s="30"/>
      <c r="R43" s="30"/>
      <c r="S43" s="30"/>
      <c r="T43" s="30"/>
      <c r="U43" s="30"/>
      <c r="V43" s="31"/>
    </row>
    <row r="44" spans="1:22">
      <c r="A44" s="1" t="s">
        <v>65</v>
      </c>
      <c r="B44" s="29">
        <v>2634261.1955329827</v>
      </c>
      <c r="C44" s="30">
        <v>11789.82878205126</v>
      </c>
      <c r="D44" s="30">
        <v>0</v>
      </c>
      <c r="E44" s="30">
        <v>0</v>
      </c>
      <c r="F44" s="30">
        <v>0</v>
      </c>
      <c r="G44" s="31">
        <f>SUM(PA_FINANCIAL)</f>
        <v>2646051.024315034</v>
      </c>
      <c r="H44" s="30"/>
      <c r="I44" s="30"/>
      <c r="J44" s="30"/>
      <c r="K44" s="30"/>
      <c r="L44" s="29">
        <v>2080000</v>
      </c>
      <c r="M44" s="30">
        <v>0</v>
      </c>
      <c r="N44" s="30"/>
      <c r="O44" s="30">
        <v>0</v>
      </c>
      <c r="P44" s="30">
        <v>0</v>
      </c>
      <c r="Q44" s="30"/>
      <c r="R44" s="30">
        <v>0</v>
      </c>
      <c r="S44" s="30">
        <v>0</v>
      </c>
      <c r="T44" s="30"/>
      <c r="U44" s="30">
        <v>0</v>
      </c>
      <c r="V44" s="31">
        <v>0</v>
      </c>
    </row>
    <row r="45" spans="1:22">
      <c r="A45" s="1" t="s">
        <v>66</v>
      </c>
      <c r="B45" s="29">
        <v>0</v>
      </c>
      <c r="C45" s="30">
        <v>0</v>
      </c>
      <c r="D45" s="30">
        <v>0</v>
      </c>
      <c r="E45" s="30">
        <v>0</v>
      </c>
      <c r="F45" s="30">
        <v>0</v>
      </c>
      <c r="G45" s="31">
        <f>SUM(PR_FINANCIAL)</f>
        <v>0</v>
      </c>
      <c r="H45" s="30"/>
      <c r="I45" s="30"/>
      <c r="J45" s="30"/>
      <c r="K45" s="30"/>
      <c r="L45" s="29"/>
      <c r="M45" s="30"/>
      <c r="N45" s="30"/>
      <c r="O45" s="30"/>
      <c r="P45" s="30"/>
      <c r="Q45" s="30"/>
      <c r="R45" s="30"/>
      <c r="S45" s="30"/>
      <c r="T45" s="30"/>
      <c r="U45" s="30"/>
      <c r="V45" s="31"/>
    </row>
    <row r="46" spans="1:22">
      <c r="A46" s="1" t="s">
        <v>67</v>
      </c>
      <c r="B46" s="29">
        <v>7419.554541507161</v>
      </c>
      <c r="C46" s="30">
        <v>0</v>
      </c>
      <c r="D46" s="30">
        <v>0</v>
      </c>
      <c r="E46" s="30">
        <v>0</v>
      </c>
      <c r="F46" s="30">
        <v>0</v>
      </c>
      <c r="G46" s="31">
        <f>SUM(RI_FINANCIAL)</f>
        <v>7419.554541507161</v>
      </c>
      <c r="H46" s="30"/>
      <c r="I46" s="30"/>
      <c r="J46" s="30"/>
      <c r="K46" s="30"/>
      <c r="L46" s="29">
        <v>20000</v>
      </c>
      <c r="M46" s="30">
        <v>0</v>
      </c>
      <c r="N46" s="30"/>
      <c r="O46" s="30">
        <v>0</v>
      </c>
      <c r="P46" s="30">
        <v>0</v>
      </c>
      <c r="Q46" s="30"/>
      <c r="R46" s="30">
        <v>0</v>
      </c>
      <c r="S46" s="30">
        <v>0</v>
      </c>
      <c r="T46" s="30"/>
      <c r="U46" s="30">
        <v>0</v>
      </c>
      <c r="V46" s="31">
        <v>0</v>
      </c>
    </row>
    <row r="47" spans="1:22">
      <c r="A47" s="1" t="s">
        <v>68</v>
      </c>
      <c r="B47" s="29">
        <v>-258863.30549064089</v>
      </c>
      <c r="C47" s="30">
        <v>0</v>
      </c>
      <c r="D47" s="30">
        <v>0</v>
      </c>
      <c r="E47" s="30">
        <v>0</v>
      </c>
      <c r="F47" s="30">
        <v>0</v>
      </c>
      <c r="G47" s="31">
        <f>SUM(SC_FINANCIAL)</f>
        <v>-258863.30549064089</v>
      </c>
      <c r="H47" s="30"/>
      <c r="I47" s="30"/>
      <c r="J47" s="30"/>
      <c r="K47" s="30"/>
      <c r="L47" s="29"/>
      <c r="M47" s="30"/>
      <c r="N47" s="30"/>
      <c r="O47" s="30"/>
      <c r="P47" s="30"/>
      <c r="Q47" s="30"/>
      <c r="R47" s="30"/>
      <c r="S47" s="30"/>
      <c r="T47" s="30"/>
      <c r="U47" s="30"/>
      <c r="V47" s="31"/>
    </row>
    <row r="48" spans="1:22">
      <c r="A48" s="1" t="s">
        <v>69</v>
      </c>
      <c r="B48" s="29">
        <v>123308.9217378039</v>
      </c>
      <c r="C48" s="30">
        <v>0</v>
      </c>
      <c r="D48" s="30">
        <v>0</v>
      </c>
      <c r="E48" s="30">
        <v>0</v>
      </c>
      <c r="F48" s="30">
        <v>0</v>
      </c>
      <c r="G48" s="31">
        <f>SUM(SD_FINANCIAL)</f>
        <v>123308.9217378039</v>
      </c>
      <c r="H48" s="30"/>
      <c r="I48" s="30"/>
      <c r="J48" s="30"/>
      <c r="K48" s="30"/>
      <c r="L48" s="29"/>
      <c r="M48" s="30"/>
      <c r="N48" s="30"/>
      <c r="O48" s="30"/>
      <c r="P48" s="30"/>
      <c r="Q48" s="30"/>
      <c r="R48" s="30"/>
      <c r="S48" s="30"/>
      <c r="T48" s="30"/>
      <c r="U48" s="30"/>
      <c r="V48" s="31"/>
    </row>
    <row r="49" spans="1:22">
      <c r="A49" s="1" t="s">
        <v>70</v>
      </c>
      <c r="B49" s="29">
        <v>3910942.8374326895</v>
      </c>
      <c r="C49" s="30">
        <v>2189.1862935529207</v>
      </c>
      <c r="D49" s="30">
        <v>0</v>
      </c>
      <c r="E49" s="30">
        <v>0</v>
      </c>
      <c r="F49" s="30">
        <v>0</v>
      </c>
      <c r="G49" s="31">
        <f>SUM(TN_FINANCIAL)</f>
        <v>3913132.0237262426</v>
      </c>
      <c r="H49" s="30"/>
      <c r="I49" s="30"/>
      <c r="J49" s="30"/>
      <c r="K49" s="30"/>
      <c r="L49" s="29"/>
      <c r="M49" s="30"/>
      <c r="N49" s="30"/>
      <c r="O49" s="30"/>
      <c r="P49" s="30"/>
      <c r="Q49" s="30"/>
      <c r="R49" s="30"/>
      <c r="S49" s="30"/>
      <c r="T49" s="30"/>
      <c r="U49" s="30"/>
      <c r="V49" s="31"/>
    </row>
    <row r="50" spans="1:22">
      <c r="A50" s="1" t="s">
        <v>71</v>
      </c>
      <c r="B50" s="29">
        <v>1522509.7397803292</v>
      </c>
      <c r="C50" s="30">
        <v>4678.0120655975188</v>
      </c>
      <c r="D50" s="30">
        <v>0</v>
      </c>
      <c r="E50" s="30">
        <v>0</v>
      </c>
      <c r="F50" s="30">
        <v>0</v>
      </c>
      <c r="G50" s="31">
        <f>SUM(TX_FINANCIAL)</f>
        <v>1527187.7518459267</v>
      </c>
      <c r="H50" s="30"/>
      <c r="I50" s="30"/>
      <c r="J50" s="30"/>
      <c r="K50" s="30"/>
      <c r="L50" s="29">
        <v>19061000</v>
      </c>
      <c r="M50" s="30">
        <v>0</v>
      </c>
      <c r="N50" s="30"/>
      <c r="O50" s="30">
        <v>0</v>
      </c>
      <c r="P50" s="30">
        <v>0</v>
      </c>
      <c r="Q50" s="30"/>
      <c r="R50" s="30">
        <v>0</v>
      </c>
      <c r="S50" s="30">
        <v>0</v>
      </c>
      <c r="T50" s="30"/>
      <c r="U50" s="30">
        <v>0</v>
      </c>
      <c r="V50" s="31">
        <v>0</v>
      </c>
    </row>
    <row r="51" spans="1:22">
      <c r="A51" s="1" t="s">
        <v>72</v>
      </c>
      <c r="B51" s="29">
        <v>41976.073200793937</v>
      </c>
      <c r="C51" s="30">
        <v>0</v>
      </c>
      <c r="D51" s="30">
        <v>0</v>
      </c>
      <c r="E51" s="30">
        <v>0</v>
      </c>
      <c r="F51" s="30">
        <v>0</v>
      </c>
      <c r="G51" s="31">
        <f>SUM(UT_FINANCIAL)</f>
        <v>41976.073200793937</v>
      </c>
      <c r="H51" s="30"/>
      <c r="I51" s="30"/>
      <c r="J51" s="30"/>
      <c r="K51" s="30"/>
      <c r="L51" s="29"/>
      <c r="M51" s="30"/>
      <c r="N51" s="30"/>
      <c r="O51" s="30"/>
      <c r="P51" s="30"/>
      <c r="Q51" s="30"/>
      <c r="R51" s="30"/>
      <c r="S51" s="30"/>
      <c r="T51" s="30"/>
      <c r="U51" s="30"/>
      <c r="V51" s="31"/>
    </row>
    <row r="52" spans="1:22">
      <c r="A52" s="1" t="s">
        <v>73</v>
      </c>
      <c r="B52" s="29">
        <v>1985.9066219134002</v>
      </c>
      <c r="C52" s="30">
        <v>0</v>
      </c>
      <c r="D52" s="30">
        <v>0</v>
      </c>
      <c r="E52" s="30">
        <v>0</v>
      </c>
      <c r="F52" s="30">
        <v>0</v>
      </c>
      <c r="G52" s="31">
        <f>SUM(VT_FINANCIAL)</f>
        <v>1985.9066219134002</v>
      </c>
      <c r="H52" s="30"/>
      <c r="I52" s="30"/>
      <c r="J52" s="30"/>
      <c r="K52" s="30"/>
      <c r="L52" s="29"/>
      <c r="M52" s="30"/>
      <c r="N52" s="30"/>
      <c r="O52" s="30"/>
      <c r="P52" s="30"/>
      <c r="Q52" s="30"/>
      <c r="R52" s="30"/>
      <c r="S52" s="30"/>
      <c r="T52" s="30"/>
      <c r="U52" s="30"/>
      <c r="V52" s="31"/>
    </row>
    <row r="53" spans="1:22">
      <c r="A53" s="1" t="s">
        <v>74</v>
      </c>
      <c r="B53" s="29">
        <v>61775.587141917698</v>
      </c>
      <c r="C53" s="30">
        <v>396.90691810232147</v>
      </c>
      <c r="D53" s="30">
        <v>0</v>
      </c>
      <c r="E53" s="30">
        <v>0</v>
      </c>
      <c r="F53" s="30">
        <v>0</v>
      </c>
      <c r="G53" s="31">
        <f>SUM(VA_FINANCIAL)</f>
        <v>62172.494060020021</v>
      </c>
      <c r="H53" s="30"/>
      <c r="I53" s="30"/>
      <c r="J53" s="30"/>
      <c r="K53" s="30"/>
      <c r="L53" s="29"/>
      <c r="M53" s="30"/>
      <c r="N53" s="30"/>
      <c r="O53" s="30"/>
      <c r="P53" s="30"/>
      <c r="Q53" s="30"/>
      <c r="R53" s="30"/>
      <c r="S53" s="30"/>
      <c r="T53" s="30"/>
      <c r="U53" s="30"/>
      <c r="V53" s="31"/>
    </row>
    <row r="54" spans="1:22">
      <c r="A54" s="1" t="s">
        <v>75</v>
      </c>
      <c r="B54" s="29">
        <v>89272.389410969627</v>
      </c>
      <c r="C54" s="30">
        <v>0</v>
      </c>
      <c r="D54" s="30">
        <v>0</v>
      </c>
      <c r="E54" s="30">
        <v>0</v>
      </c>
      <c r="F54" s="30">
        <v>0</v>
      </c>
      <c r="G54" s="31">
        <f>SUM(WA_FINANCIAL)</f>
        <v>89272.389410969627</v>
      </c>
      <c r="H54" s="30"/>
      <c r="I54" s="30"/>
      <c r="J54" s="30"/>
      <c r="K54" s="30"/>
      <c r="L54" s="29"/>
      <c r="M54" s="30"/>
      <c r="N54" s="30"/>
      <c r="O54" s="30"/>
      <c r="P54" s="30"/>
      <c r="Q54" s="30"/>
      <c r="R54" s="30"/>
      <c r="S54" s="30"/>
      <c r="T54" s="30"/>
      <c r="U54" s="30"/>
      <c r="V54" s="31"/>
    </row>
    <row r="55" spans="1:22">
      <c r="A55" s="1" t="s">
        <v>76</v>
      </c>
      <c r="B55" s="29">
        <v>54499.81007817082</v>
      </c>
      <c r="C55" s="30">
        <v>0</v>
      </c>
      <c r="D55" s="30">
        <v>0</v>
      </c>
      <c r="E55" s="30">
        <v>0</v>
      </c>
      <c r="F55" s="30">
        <v>0</v>
      </c>
      <c r="G55" s="31">
        <f>SUM(WV_FINANCIAL)</f>
        <v>54499.81007817082</v>
      </c>
      <c r="H55" s="30"/>
      <c r="I55" s="30"/>
      <c r="J55" s="30"/>
      <c r="K55" s="30"/>
      <c r="L55" s="29">
        <v>150000</v>
      </c>
      <c r="M55" s="30">
        <v>0</v>
      </c>
      <c r="N55" s="30"/>
      <c r="O55" s="30">
        <v>0</v>
      </c>
      <c r="P55" s="30">
        <v>0</v>
      </c>
      <c r="Q55" s="30"/>
      <c r="R55" s="30">
        <v>0</v>
      </c>
      <c r="S55" s="30">
        <v>0</v>
      </c>
      <c r="T55" s="30"/>
      <c r="U55" s="30">
        <v>0</v>
      </c>
      <c r="V55" s="31">
        <v>0</v>
      </c>
    </row>
    <row r="56" spans="1:22">
      <c r="A56" s="1" t="s">
        <v>77</v>
      </c>
      <c r="B56" s="29">
        <v>309429.91959485074</v>
      </c>
      <c r="C56" s="30">
        <v>0</v>
      </c>
      <c r="D56" s="30">
        <v>0</v>
      </c>
      <c r="E56" s="30">
        <v>0</v>
      </c>
      <c r="F56" s="30">
        <v>0</v>
      </c>
      <c r="G56" s="31">
        <f>SUM(WI_FINANCIAL)</f>
        <v>309429.91959485074</v>
      </c>
      <c r="H56" s="30"/>
      <c r="I56" s="30"/>
      <c r="J56" s="30"/>
      <c r="K56" s="30"/>
      <c r="L56" s="29"/>
      <c r="M56" s="30"/>
      <c r="N56" s="30"/>
      <c r="O56" s="30"/>
      <c r="P56" s="30"/>
      <c r="Q56" s="30"/>
      <c r="R56" s="30"/>
      <c r="S56" s="30"/>
      <c r="T56" s="30"/>
      <c r="U56" s="30"/>
      <c r="V56" s="31"/>
    </row>
    <row r="57" spans="1:22">
      <c r="A57" s="1" t="s">
        <v>78</v>
      </c>
      <c r="B57" s="29">
        <v>22071.218305974064</v>
      </c>
      <c r="C57" s="30">
        <v>0</v>
      </c>
      <c r="D57" s="30">
        <v>0</v>
      </c>
      <c r="E57" s="30">
        <v>0</v>
      </c>
      <c r="F57" s="30">
        <v>0</v>
      </c>
      <c r="G57" s="31">
        <f>SUM(WY_FINANCIAL)</f>
        <v>22071.218305974064</v>
      </c>
      <c r="H57" s="30"/>
      <c r="I57" s="30"/>
      <c r="J57" s="30"/>
      <c r="K57" s="30"/>
      <c r="L57" s="29">
        <v>35000</v>
      </c>
      <c r="M57" s="30">
        <v>0</v>
      </c>
      <c r="N57" s="30"/>
      <c r="O57" s="30">
        <v>0</v>
      </c>
      <c r="P57" s="30">
        <v>0</v>
      </c>
      <c r="Q57" s="30"/>
      <c r="R57" s="30">
        <v>0</v>
      </c>
      <c r="S57" s="30">
        <v>0</v>
      </c>
      <c r="T57" s="30"/>
      <c r="U57" s="30">
        <v>0</v>
      </c>
      <c r="V57" s="31">
        <v>0</v>
      </c>
    </row>
    <row r="58" spans="1:22">
      <c r="A58" s="1" t="s">
        <v>79</v>
      </c>
      <c r="B58" s="29">
        <v>0</v>
      </c>
      <c r="C58" s="30">
        <v>0</v>
      </c>
      <c r="D58" s="30">
        <v>0</v>
      </c>
      <c r="E58" s="30">
        <v>0</v>
      </c>
      <c r="F58" s="30">
        <v>0</v>
      </c>
      <c r="G58" s="31">
        <f>SUM(OT_FINANCIAL)</f>
        <v>0</v>
      </c>
      <c r="H58" s="30"/>
      <c r="I58" s="30"/>
      <c r="J58" s="30"/>
      <c r="K58" s="30"/>
      <c r="L58" s="29"/>
      <c r="M58" s="30"/>
      <c r="N58" s="30"/>
      <c r="O58" s="30"/>
      <c r="P58" s="30"/>
      <c r="Q58" s="30"/>
      <c r="R58" s="30"/>
      <c r="S58" s="30"/>
      <c r="T58" s="30"/>
      <c r="U58" s="30"/>
      <c r="V58" s="31"/>
    </row>
    <row r="59" spans="1:22">
      <c r="B59" s="29"/>
      <c r="C59" s="30"/>
      <c r="D59" s="30"/>
      <c r="E59" s="30"/>
      <c r="F59" s="30"/>
      <c r="G59" s="31"/>
      <c r="H59" s="30"/>
      <c r="I59" s="30"/>
      <c r="J59" s="30"/>
      <c r="K59" s="30"/>
      <c r="L59" s="29"/>
      <c r="M59" s="30"/>
      <c r="N59" s="30"/>
      <c r="O59" s="30"/>
      <c r="P59" s="30"/>
      <c r="Q59" s="30"/>
      <c r="R59" s="30"/>
      <c r="S59" s="30"/>
      <c r="T59" s="30"/>
      <c r="U59" s="30"/>
      <c r="V59" s="31"/>
    </row>
    <row r="60" spans="1:22">
      <c r="A60" s="1" t="s">
        <v>8</v>
      </c>
      <c r="B60" s="29">
        <f>SUM(LIFE)</f>
        <v>215815830.29157647</v>
      </c>
      <c r="C60" s="30">
        <f>SUM(ALLOCATED)</f>
        <v>298830.28304360312</v>
      </c>
      <c r="D60" s="30">
        <f>SUM(HEALTH)</f>
        <v>0</v>
      </c>
      <c r="E60" s="30">
        <f>SUM(UNALLOCATED)</f>
        <v>0</v>
      </c>
      <c r="F60" s="30">
        <f>SUM(LTC)</f>
        <v>0</v>
      </c>
      <c r="G60" s="31">
        <f>SUM(ALL_BLOCKS)</f>
        <v>216114660.57462007</v>
      </c>
      <c r="H60" s="30"/>
      <c r="I60" s="30"/>
      <c r="J60" s="30"/>
      <c r="K60" s="30"/>
      <c r="L60" s="29">
        <f>SUM(LIFE_CALLED)</f>
        <v>269790522</v>
      </c>
      <c r="M60" s="30">
        <f>SUM(LIFE_REFUNDED)</f>
        <v>0</v>
      </c>
      <c r="N60" s="30"/>
      <c r="O60" s="30">
        <f>SUM(ALLOC_CALLED)</f>
        <v>600000</v>
      </c>
      <c r="P60" s="30">
        <f>SUM(ALLOC_REFUNDED)</f>
        <v>0</v>
      </c>
      <c r="Q60" s="30"/>
      <c r="R60" s="30">
        <f>SUM(HEALTH_CALLED)</f>
        <v>0</v>
      </c>
      <c r="S60" s="30">
        <f>SUM(HEALTH_REFUNDED)</f>
        <v>0</v>
      </c>
      <c r="T60" s="30"/>
      <c r="U60" s="30">
        <f>SUM(UNALLOC_CALLED)</f>
        <v>0</v>
      </c>
      <c r="V60" s="31">
        <f>SUM(UNALLOC_REFUNDED)</f>
        <v>0</v>
      </c>
    </row>
    <row r="61" spans="1:22" ht="5.0999999999999996" customHeight="1">
      <c r="B61" s="8"/>
      <c r="G61" s="11"/>
      <c r="L61" s="8"/>
      <c r="V61" s="11"/>
    </row>
    <row r="62" spans="1:22">
      <c r="B62" s="8"/>
      <c r="G62" s="11"/>
      <c r="L62" s="122" t="s">
        <v>80</v>
      </c>
      <c r="M62" s="123"/>
      <c r="N62" s="123"/>
      <c r="O62" s="123"/>
      <c r="P62" s="123"/>
      <c r="Q62" s="123"/>
      <c r="R62" s="123"/>
      <c r="S62" s="123"/>
      <c r="T62" s="123"/>
      <c r="U62" s="123"/>
      <c r="V62" s="124"/>
    </row>
    <row r="63" spans="1:22">
      <c r="B63" s="8"/>
      <c r="G63" s="11"/>
      <c r="L63" s="125"/>
      <c r="M63" s="123"/>
      <c r="N63" s="123"/>
      <c r="O63" s="123"/>
      <c r="P63" s="123"/>
      <c r="Q63" s="123"/>
      <c r="R63" s="123"/>
      <c r="S63" s="123"/>
      <c r="T63" s="123"/>
      <c r="U63" s="123"/>
      <c r="V63" s="124"/>
    </row>
    <row r="64" spans="1:22">
      <c r="B64" s="10"/>
      <c r="C64" s="7"/>
      <c r="D64" s="7"/>
      <c r="E64" s="7"/>
      <c r="F64" s="7"/>
      <c r="G64" s="13"/>
      <c r="L64" s="126"/>
      <c r="M64" s="127"/>
      <c r="N64" s="127"/>
      <c r="O64" s="127"/>
      <c r="P64" s="127"/>
      <c r="Q64" s="127"/>
      <c r="R64" s="127"/>
      <c r="S64" s="127"/>
      <c r="T64" s="127"/>
      <c r="U64" s="127"/>
      <c r="V64" s="128"/>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pageSetUpPr fitToPage="1"/>
  </sheetPr>
  <dimension ref="A1:V64"/>
  <sheetViews>
    <sheetView zoomScale="75" workbookViewId="0">
      <selection sqref="A1:XFD1048576"/>
    </sheetView>
  </sheetViews>
  <sheetFormatPr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129" t="s">
        <v>135</v>
      </c>
      <c r="B1" s="123"/>
      <c r="C1" s="123"/>
      <c r="D1" s="123"/>
      <c r="E1" s="123"/>
      <c r="F1" s="123"/>
      <c r="G1" s="123"/>
    </row>
    <row r="3" spans="1:22">
      <c r="B3" s="130" t="s">
        <v>1</v>
      </c>
      <c r="C3" s="131"/>
      <c r="D3" s="131"/>
      <c r="E3" s="131"/>
      <c r="F3" s="131"/>
      <c r="G3" s="132"/>
      <c r="L3" s="133" t="s">
        <v>2</v>
      </c>
      <c r="M3" s="134"/>
      <c r="N3" s="134"/>
      <c r="O3" s="134"/>
      <c r="P3" s="134"/>
      <c r="Q3" s="134"/>
      <c r="R3" s="134"/>
      <c r="S3" s="134"/>
      <c r="T3" s="134"/>
      <c r="U3" s="134"/>
      <c r="V3" s="135"/>
    </row>
    <row r="4" spans="1:22">
      <c r="B4" s="8"/>
      <c r="G4" s="11"/>
      <c r="L4" s="136" t="s">
        <v>3</v>
      </c>
      <c r="M4" s="137"/>
      <c r="N4" s="4"/>
      <c r="O4" s="138" t="s">
        <v>4</v>
      </c>
      <c r="P4" s="137"/>
      <c r="Q4" s="4"/>
      <c r="R4" s="138" t="s">
        <v>5</v>
      </c>
      <c r="S4" s="137"/>
      <c r="T4" s="4"/>
      <c r="U4" s="138" t="s">
        <v>6</v>
      </c>
      <c r="V4" s="139"/>
    </row>
    <row r="5" spans="1:22" ht="60" customHeight="1">
      <c r="B5" s="9" t="s">
        <v>3</v>
      </c>
      <c r="C5" s="5" t="s">
        <v>4</v>
      </c>
      <c r="D5" s="5" t="s">
        <v>5</v>
      </c>
      <c r="E5" s="5" t="s">
        <v>6</v>
      </c>
      <c r="F5" s="5" t="s">
        <v>7</v>
      </c>
      <c r="G5" s="12" t="s">
        <v>8</v>
      </c>
      <c r="L5" s="15" t="s">
        <v>9</v>
      </c>
      <c r="M5" s="14" t="s">
        <v>10</v>
      </c>
      <c r="N5" s="14"/>
      <c r="O5" s="14" t="s">
        <v>9</v>
      </c>
      <c r="P5" s="14" t="s">
        <v>10</v>
      </c>
      <c r="Q5" s="14"/>
      <c r="R5" s="14" t="s">
        <v>9</v>
      </c>
      <c r="S5" s="14" t="s">
        <v>10</v>
      </c>
      <c r="T5" s="14"/>
      <c r="U5" s="14" t="s">
        <v>9</v>
      </c>
      <c r="V5" s="16" t="s">
        <v>10</v>
      </c>
    </row>
    <row r="6" spans="1:22">
      <c r="A6" s="1" t="s">
        <v>11</v>
      </c>
      <c r="B6" s="29">
        <v>0</v>
      </c>
      <c r="C6" s="30">
        <v>441199.44073607604</v>
      </c>
      <c r="D6" s="30">
        <v>0</v>
      </c>
      <c r="E6" s="30">
        <v>0</v>
      </c>
      <c r="F6" s="30">
        <v>0</v>
      </c>
      <c r="G6" s="31">
        <f>SUM(AL_FINANCIAL)</f>
        <v>441199.44073607604</v>
      </c>
      <c r="H6" s="30"/>
      <c r="I6" s="30"/>
      <c r="J6" s="30"/>
      <c r="K6" s="30"/>
      <c r="L6" s="29"/>
      <c r="M6" s="30"/>
      <c r="N6" s="30"/>
      <c r="O6" s="30"/>
      <c r="P6" s="30"/>
      <c r="Q6" s="30"/>
      <c r="R6" s="30"/>
      <c r="S6" s="30"/>
      <c r="T6" s="30"/>
      <c r="U6" s="30"/>
      <c r="V6" s="31"/>
    </row>
    <row r="7" spans="1:22">
      <c r="A7" s="1" t="s">
        <v>12</v>
      </c>
      <c r="B7" s="29">
        <v>0</v>
      </c>
      <c r="C7" s="30">
        <v>13721.077526691588</v>
      </c>
      <c r="D7" s="30">
        <v>0</v>
      </c>
      <c r="E7" s="30">
        <v>0</v>
      </c>
      <c r="F7" s="30">
        <v>0</v>
      </c>
      <c r="G7" s="31">
        <f>SUM(AK_FINANCIAL)</f>
        <v>13721.077526691588</v>
      </c>
      <c r="H7" s="30"/>
      <c r="I7" s="32"/>
      <c r="J7" s="33"/>
      <c r="K7" s="30"/>
      <c r="L7" s="29"/>
      <c r="M7" s="30"/>
      <c r="N7" s="30"/>
      <c r="O7" s="30"/>
      <c r="P7" s="30"/>
      <c r="Q7" s="30"/>
      <c r="R7" s="30"/>
      <c r="S7" s="30"/>
      <c r="T7" s="30"/>
      <c r="U7" s="30"/>
      <c r="V7" s="31"/>
    </row>
    <row r="8" spans="1:22">
      <c r="A8" s="1" t="s">
        <v>13</v>
      </c>
      <c r="B8" s="29">
        <v>0</v>
      </c>
      <c r="C8" s="30">
        <v>1350463.539241825</v>
      </c>
      <c r="D8" s="30">
        <v>0</v>
      </c>
      <c r="E8" s="30">
        <v>0</v>
      </c>
      <c r="F8" s="30">
        <v>0</v>
      </c>
      <c r="G8" s="31">
        <f>SUM(AZ_FINANCIAL)</f>
        <v>1350463.539241825</v>
      </c>
      <c r="H8" s="30"/>
      <c r="I8" s="34" t="s">
        <v>14</v>
      </c>
      <c r="J8" s="35"/>
      <c r="K8" s="30"/>
      <c r="L8" s="29"/>
      <c r="M8" s="30"/>
      <c r="N8" s="30"/>
      <c r="O8" s="30"/>
      <c r="P8" s="30"/>
      <c r="Q8" s="30"/>
      <c r="R8" s="30"/>
      <c r="S8" s="30"/>
      <c r="T8" s="30"/>
      <c r="U8" s="30"/>
      <c r="V8" s="31"/>
    </row>
    <row r="9" spans="1:22">
      <c r="A9" s="1" t="s">
        <v>15</v>
      </c>
      <c r="B9" s="29">
        <v>0</v>
      </c>
      <c r="C9" s="30">
        <v>533606.67904211441</v>
      </c>
      <c r="D9" s="30">
        <v>0</v>
      </c>
      <c r="E9" s="30">
        <v>0</v>
      </c>
      <c r="F9" s="30">
        <v>0</v>
      </c>
      <c r="G9" s="31">
        <f>SUM(AR_FINANCIAL)</f>
        <v>533606.67904211441</v>
      </c>
      <c r="H9" s="30"/>
      <c r="I9" s="34"/>
      <c r="J9" s="35"/>
      <c r="K9" s="30"/>
      <c r="L9" s="29">
        <v>658068</v>
      </c>
      <c r="M9" s="30">
        <v>0</v>
      </c>
      <c r="N9" s="30"/>
      <c r="O9" s="30">
        <v>0</v>
      </c>
      <c r="P9" s="30">
        <v>0</v>
      </c>
      <c r="Q9" s="30"/>
      <c r="R9" s="30">
        <v>0</v>
      </c>
      <c r="S9" s="30">
        <v>0</v>
      </c>
      <c r="T9" s="30"/>
      <c r="U9" s="30">
        <v>0</v>
      </c>
      <c r="V9" s="31">
        <v>0</v>
      </c>
    </row>
    <row r="10" spans="1:22">
      <c r="A10" s="1" t="s">
        <v>16</v>
      </c>
      <c r="B10" s="29">
        <v>0</v>
      </c>
      <c r="C10" s="30">
        <v>11045504.054577764</v>
      </c>
      <c r="D10" s="30">
        <v>0</v>
      </c>
      <c r="E10" s="30">
        <v>0</v>
      </c>
      <c r="F10" s="30">
        <v>0</v>
      </c>
      <c r="G10" s="31">
        <f>SUM(CA_FINANCIAL)</f>
        <v>11045504.054577764</v>
      </c>
      <c r="H10" s="30"/>
      <c r="I10" s="34" t="s">
        <v>17</v>
      </c>
      <c r="J10" s="35">
        <v>1335156397.4969995</v>
      </c>
      <c r="K10" s="30"/>
      <c r="L10" s="29">
        <v>0</v>
      </c>
      <c r="M10" s="30">
        <v>0</v>
      </c>
      <c r="N10" s="30"/>
      <c r="O10" s="30">
        <v>15000000</v>
      </c>
      <c r="P10" s="30">
        <v>0</v>
      </c>
      <c r="Q10" s="30"/>
      <c r="R10" s="30">
        <v>0</v>
      </c>
      <c r="S10" s="30">
        <v>0</v>
      </c>
      <c r="T10" s="30"/>
      <c r="U10" s="30">
        <v>0</v>
      </c>
      <c r="V10" s="31">
        <v>0</v>
      </c>
    </row>
    <row r="11" spans="1:22">
      <c r="A11" s="1" t="s">
        <v>18</v>
      </c>
      <c r="B11" s="29">
        <v>0</v>
      </c>
      <c r="C11" s="30">
        <v>1820852.8127975594</v>
      </c>
      <c r="D11" s="30">
        <v>0</v>
      </c>
      <c r="E11" s="30">
        <v>0</v>
      </c>
      <c r="F11" s="30">
        <v>0</v>
      </c>
      <c r="G11" s="31">
        <f>SUM(CO_FINANCIAL)</f>
        <v>1820852.8127975594</v>
      </c>
      <c r="H11" s="30"/>
      <c r="I11" s="34"/>
      <c r="J11" s="35"/>
      <c r="K11" s="30"/>
      <c r="L11" s="29">
        <v>0</v>
      </c>
      <c r="M11" s="30">
        <v>0</v>
      </c>
      <c r="N11" s="30"/>
      <c r="O11" s="30">
        <v>2497230</v>
      </c>
      <c r="P11" s="30">
        <v>0</v>
      </c>
      <c r="Q11" s="30"/>
      <c r="R11" s="30">
        <v>0</v>
      </c>
      <c r="S11" s="30">
        <v>166536</v>
      </c>
      <c r="T11" s="30"/>
      <c r="U11" s="30">
        <v>0</v>
      </c>
      <c r="V11" s="31">
        <v>0</v>
      </c>
    </row>
    <row r="12" spans="1:22">
      <c r="A12" s="1" t="s">
        <v>19</v>
      </c>
      <c r="B12" s="29">
        <v>0</v>
      </c>
      <c r="C12" s="30">
        <v>0</v>
      </c>
      <c r="D12" s="30">
        <v>0</v>
      </c>
      <c r="E12" s="30">
        <v>0</v>
      </c>
      <c r="F12" s="30">
        <v>0</v>
      </c>
      <c r="G12" s="31">
        <f>SUM(CT_FINANCIAL)</f>
        <v>0</v>
      </c>
      <c r="H12" s="30"/>
      <c r="I12" s="34" t="s">
        <v>20</v>
      </c>
      <c r="J12" s="35"/>
      <c r="K12" s="30"/>
      <c r="L12" s="29"/>
      <c r="M12" s="30"/>
      <c r="N12" s="30"/>
      <c r="O12" s="30"/>
      <c r="P12" s="30"/>
      <c r="Q12" s="30"/>
      <c r="R12" s="30"/>
      <c r="S12" s="30"/>
      <c r="T12" s="30"/>
      <c r="U12" s="30"/>
      <c r="V12" s="31"/>
    </row>
    <row r="13" spans="1:22">
      <c r="A13" s="1" t="s">
        <v>21</v>
      </c>
      <c r="B13" s="29">
        <v>0</v>
      </c>
      <c r="C13" s="30">
        <v>137488.26811743391</v>
      </c>
      <c r="D13" s="30">
        <v>0</v>
      </c>
      <c r="E13" s="30">
        <v>0</v>
      </c>
      <c r="F13" s="30">
        <v>0</v>
      </c>
      <c r="G13" s="31">
        <f>SUM(DE_FINANCIAL)</f>
        <v>137488.26811743391</v>
      </c>
      <c r="H13" s="30"/>
      <c r="I13" s="34" t="s">
        <v>22</v>
      </c>
      <c r="J13" s="35">
        <v>215140272.63000038</v>
      </c>
      <c r="K13" s="30"/>
      <c r="L13" s="29"/>
      <c r="M13" s="30"/>
      <c r="N13" s="30"/>
      <c r="O13" s="30"/>
      <c r="P13" s="30"/>
      <c r="Q13" s="30"/>
      <c r="R13" s="30"/>
      <c r="S13" s="30"/>
      <c r="T13" s="30"/>
      <c r="U13" s="30"/>
      <c r="V13" s="31"/>
    </row>
    <row r="14" spans="1:22">
      <c r="A14" s="1" t="s">
        <v>23</v>
      </c>
      <c r="B14" s="29">
        <v>0</v>
      </c>
      <c r="C14" s="30">
        <v>44187.575786166664</v>
      </c>
      <c r="D14" s="30">
        <v>0</v>
      </c>
      <c r="E14" s="30">
        <v>0</v>
      </c>
      <c r="F14" s="30">
        <v>0</v>
      </c>
      <c r="G14" s="31">
        <f>SUM(DC_FINANCIAL)</f>
        <v>44187.575786166664</v>
      </c>
      <c r="H14" s="30"/>
      <c r="I14" s="34" t="s">
        <v>24</v>
      </c>
      <c r="J14" s="35">
        <v>2392297.8400000003</v>
      </c>
      <c r="K14" s="30"/>
      <c r="L14" s="29">
        <v>0</v>
      </c>
      <c r="M14" s="30">
        <v>0</v>
      </c>
      <c r="N14" s="30"/>
      <c r="O14" s="30">
        <v>98000</v>
      </c>
      <c r="P14" s="30">
        <v>38000</v>
      </c>
      <c r="Q14" s="30"/>
      <c r="R14" s="30">
        <v>0</v>
      </c>
      <c r="S14" s="30">
        <v>0</v>
      </c>
      <c r="T14" s="30"/>
      <c r="U14" s="30">
        <v>0</v>
      </c>
      <c r="V14" s="31">
        <v>0</v>
      </c>
    </row>
    <row r="15" spans="1:22">
      <c r="A15" s="1" t="s">
        <v>25</v>
      </c>
      <c r="B15" s="29">
        <v>0</v>
      </c>
      <c r="C15" s="30">
        <v>7347891.4385647476</v>
      </c>
      <c r="D15" s="30">
        <v>0</v>
      </c>
      <c r="E15" s="30">
        <v>0</v>
      </c>
      <c r="F15" s="30">
        <v>0</v>
      </c>
      <c r="G15" s="31">
        <f>SUM(FL_FINANCIAL)</f>
        <v>7347891.4385647476</v>
      </c>
      <c r="H15" s="30"/>
      <c r="I15" s="34" t="s">
        <v>26</v>
      </c>
      <c r="J15" s="35">
        <v>3229303.9600000014</v>
      </c>
      <c r="K15" s="30"/>
      <c r="L15" s="29"/>
      <c r="M15" s="30"/>
      <c r="N15" s="30"/>
      <c r="O15" s="30"/>
      <c r="P15" s="30"/>
      <c r="Q15" s="30"/>
      <c r="R15" s="30"/>
      <c r="S15" s="30"/>
      <c r="T15" s="30"/>
      <c r="U15" s="30"/>
      <c r="V15" s="31"/>
    </row>
    <row r="16" spans="1:22">
      <c r="A16" s="1" t="s">
        <v>27</v>
      </c>
      <c r="B16" s="29">
        <v>0</v>
      </c>
      <c r="C16" s="30">
        <v>1432096.882019534</v>
      </c>
      <c r="D16" s="30">
        <v>0</v>
      </c>
      <c r="E16" s="30">
        <v>0</v>
      </c>
      <c r="F16" s="30">
        <v>0</v>
      </c>
      <c r="G16" s="31">
        <f>SUM(GA_FINANCIAL)</f>
        <v>1432096.882019534</v>
      </c>
      <c r="H16" s="30"/>
      <c r="I16" s="34" t="s">
        <v>28</v>
      </c>
      <c r="J16" s="35">
        <v>0</v>
      </c>
      <c r="K16" s="30"/>
      <c r="L16" s="29"/>
      <c r="M16" s="30"/>
      <c r="N16" s="30"/>
      <c r="O16" s="30"/>
      <c r="P16" s="30"/>
      <c r="Q16" s="30"/>
      <c r="R16" s="30"/>
      <c r="S16" s="30"/>
      <c r="T16" s="30"/>
      <c r="U16" s="30"/>
      <c r="V16" s="31"/>
    </row>
    <row r="17" spans="1:22">
      <c r="A17" s="1" t="s">
        <v>29</v>
      </c>
      <c r="B17" s="29">
        <v>0</v>
      </c>
      <c r="C17" s="30">
        <v>78193.47801066727</v>
      </c>
      <c r="D17" s="30">
        <v>0</v>
      </c>
      <c r="E17" s="30">
        <v>0</v>
      </c>
      <c r="F17" s="30">
        <v>0</v>
      </c>
      <c r="G17" s="31">
        <f>SUM(HI_FINANCIAL)</f>
        <v>78193.47801066727</v>
      </c>
      <c r="H17" s="30"/>
      <c r="I17" s="34"/>
      <c r="J17" s="35"/>
      <c r="K17" s="30"/>
      <c r="L17" s="29"/>
      <c r="M17" s="30"/>
      <c r="N17" s="30"/>
      <c r="O17" s="30"/>
      <c r="P17" s="30"/>
      <c r="Q17" s="30"/>
      <c r="R17" s="30"/>
      <c r="S17" s="30"/>
      <c r="T17" s="30"/>
      <c r="U17" s="30"/>
      <c r="V17" s="31"/>
    </row>
    <row r="18" spans="1:22">
      <c r="A18" s="1" t="s">
        <v>30</v>
      </c>
      <c r="B18" s="29">
        <v>0</v>
      </c>
      <c r="C18" s="30">
        <v>124634.00081114178</v>
      </c>
      <c r="D18" s="30">
        <v>0</v>
      </c>
      <c r="E18" s="30">
        <v>0</v>
      </c>
      <c r="F18" s="30">
        <v>0</v>
      </c>
      <c r="G18" s="31">
        <f>SUM(ID_FINANCIAL)</f>
        <v>124634.00081114178</v>
      </c>
      <c r="H18" s="30"/>
      <c r="I18" s="34" t="s">
        <v>31</v>
      </c>
      <c r="J18" s="35"/>
      <c r="K18" s="30"/>
      <c r="L18" s="29"/>
      <c r="M18" s="30"/>
      <c r="N18" s="30"/>
      <c r="O18" s="30"/>
      <c r="P18" s="30"/>
      <c r="Q18" s="30"/>
      <c r="R18" s="30"/>
      <c r="S18" s="30"/>
      <c r="T18" s="30"/>
      <c r="U18" s="30"/>
      <c r="V18" s="31"/>
    </row>
    <row r="19" spans="1:22">
      <c r="A19" s="1" t="s">
        <v>32</v>
      </c>
      <c r="B19" s="29">
        <v>0</v>
      </c>
      <c r="C19" s="30">
        <v>2214483.4046390392</v>
      </c>
      <c r="D19" s="30">
        <v>0</v>
      </c>
      <c r="E19" s="30">
        <v>0</v>
      </c>
      <c r="F19" s="30">
        <v>0</v>
      </c>
      <c r="G19" s="31">
        <f>SUM(IL_FINANCIAL)</f>
        <v>2214483.4046390392</v>
      </c>
      <c r="H19" s="30"/>
      <c r="I19" s="34" t="s">
        <v>33</v>
      </c>
      <c r="J19" s="35">
        <v>1025571208.7099997</v>
      </c>
      <c r="K19" s="30"/>
      <c r="L19" s="29">
        <v>0</v>
      </c>
      <c r="M19" s="30">
        <v>0</v>
      </c>
      <c r="N19" s="30"/>
      <c r="O19" s="30">
        <v>3500000</v>
      </c>
      <c r="P19" s="30">
        <v>1385000</v>
      </c>
      <c r="Q19" s="30"/>
      <c r="R19" s="30">
        <v>0</v>
      </c>
      <c r="S19" s="30">
        <v>0</v>
      </c>
      <c r="T19" s="30"/>
      <c r="U19" s="30">
        <v>0</v>
      </c>
      <c r="V19" s="31">
        <v>0</v>
      </c>
    </row>
    <row r="20" spans="1:22">
      <c r="A20" s="1" t="s">
        <v>34</v>
      </c>
      <c r="B20" s="29">
        <v>0</v>
      </c>
      <c r="C20" s="30">
        <v>5434807.3297822597</v>
      </c>
      <c r="D20" s="30">
        <v>0</v>
      </c>
      <c r="E20" s="30">
        <v>0</v>
      </c>
      <c r="F20" s="30">
        <v>0</v>
      </c>
      <c r="G20" s="31">
        <f>SUM(IN_FINANCIAL)</f>
        <v>5434807.3297822597</v>
      </c>
      <c r="H20" s="30"/>
      <c r="I20" s="34" t="s">
        <v>35</v>
      </c>
      <c r="J20" s="35">
        <v>225230405.92700028</v>
      </c>
      <c r="K20" s="30"/>
      <c r="L20" s="29"/>
      <c r="M20" s="30"/>
      <c r="N20" s="30"/>
      <c r="O20" s="30"/>
      <c r="P20" s="30"/>
      <c r="Q20" s="30"/>
      <c r="R20" s="30"/>
      <c r="S20" s="30"/>
      <c r="T20" s="30"/>
      <c r="U20" s="30"/>
      <c r="V20" s="31"/>
    </row>
    <row r="21" spans="1:22">
      <c r="A21" s="1" t="s">
        <v>36</v>
      </c>
      <c r="B21" s="29">
        <v>0</v>
      </c>
      <c r="C21" s="30">
        <v>1093669.3579228101</v>
      </c>
      <c r="D21" s="30">
        <v>0</v>
      </c>
      <c r="E21" s="30">
        <v>0</v>
      </c>
      <c r="F21" s="30">
        <v>0</v>
      </c>
      <c r="G21" s="31">
        <f>SUM(IA_FINANCIAL)</f>
        <v>1093669.3579228101</v>
      </c>
      <c r="H21" s="30"/>
      <c r="I21" s="34" t="s">
        <v>37</v>
      </c>
      <c r="J21" s="35"/>
      <c r="K21" s="30"/>
      <c r="L21" s="29"/>
      <c r="M21" s="30"/>
      <c r="N21" s="30"/>
      <c r="O21" s="30"/>
      <c r="P21" s="30"/>
      <c r="Q21" s="30"/>
      <c r="R21" s="30"/>
      <c r="S21" s="30"/>
      <c r="T21" s="30"/>
      <c r="U21" s="30"/>
      <c r="V21" s="31"/>
    </row>
    <row r="22" spans="1:22">
      <c r="A22" s="1" t="s">
        <v>38</v>
      </c>
      <c r="B22" s="29">
        <v>0</v>
      </c>
      <c r="C22" s="30">
        <v>719936.07210268383</v>
      </c>
      <c r="D22" s="30">
        <v>0</v>
      </c>
      <c r="E22" s="30">
        <v>0</v>
      </c>
      <c r="F22" s="30">
        <v>0</v>
      </c>
      <c r="G22" s="31">
        <f>SUM(KS_FINANCIAL)</f>
        <v>719936.07210268383</v>
      </c>
      <c r="H22" s="30"/>
      <c r="I22" s="34" t="s">
        <v>39</v>
      </c>
      <c r="J22" s="35">
        <v>17486425.390000004</v>
      </c>
      <c r="K22" s="30"/>
      <c r="L22" s="29"/>
      <c r="M22" s="30"/>
      <c r="N22" s="30"/>
      <c r="O22" s="30"/>
      <c r="P22" s="30"/>
      <c r="Q22" s="30"/>
      <c r="R22" s="30"/>
      <c r="S22" s="30"/>
      <c r="T22" s="30"/>
      <c r="U22" s="30"/>
      <c r="V22" s="31"/>
    </row>
    <row r="23" spans="1:22">
      <c r="A23" s="1" t="s">
        <v>40</v>
      </c>
      <c r="B23" s="29">
        <v>0</v>
      </c>
      <c r="C23" s="30">
        <v>475981.95413519465</v>
      </c>
      <c r="D23" s="30">
        <v>0</v>
      </c>
      <c r="E23" s="30">
        <v>0</v>
      </c>
      <c r="F23" s="30">
        <v>0</v>
      </c>
      <c r="G23" s="31">
        <f>SUM(KY_FINANCIAL)</f>
        <v>475981.95413519465</v>
      </c>
      <c r="H23" s="30"/>
      <c r="I23" s="34" t="s">
        <v>41</v>
      </c>
      <c r="J23" s="35"/>
      <c r="K23" s="30"/>
      <c r="L23" s="29"/>
      <c r="M23" s="30"/>
      <c r="N23" s="30"/>
      <c r="O23" s="30"/>
      <c r="P23" s="30"/>
      <c r="Q23" s="30"/>
      <c r="R23" s="30"/>
      <c r="S23" s="30"/>
      <c r="T23" s="30"/>
      <c r="U23" s="30"/>
      <c r="V23" s="31"/>
    </row>
    <row r="24" spans="1:22">
      <c r="A24" s="1" t="s">
        <v>42</v>
      </c>
      <c r="B24" s="29">
        <v>0</v>
      </c>
      <c r="C24" s="30">
        <v>206105.03961592412</v>
      </c>
      <c r="D24" s="30">
        <v>0</v>
      </c>
      <c r="E24" s="30">
        <v>0</v>
      </c>
      <c r="F24" s="30">
        <v>0</v>
      </c>
      <c r="G24" s="31">
        <f>SUM(LA_FINANCIAL)</f>
        <v>206105.03961592412</v>
      </c>
      <c r="H24" s="30"/>
      <c r="I24" s="34" t="s">
        <v>43</v>
      </c>
      <c r="J24" s="35">
        <v>191306153.66000003</v>
      </c>
      <c r="K24" s="30"/>
      <c r="L24" s="29">
        <v>42570</v>
      </c>
      <c r="M24" s="30">
        <v>0</v>
      </c>
      <c r="N24" s="30"/>
      <c r="O24" s="30">
        <v>740430</v>
      </c>
      <c r="P24" s="30">
        <v>0</v>
      </c>
      <c r="Q24" s="30"/>
      <c r="R24" s="30">
        <v>0</v>
      </c>
      <c r="S24" s="30">
        <v>0</v>
      </c>
      <c r="T24" s="30"/>
      <c r="U24" s="30">
        <v>0</v>
      </c>
      <c r="V24" s="31">
        <v>0</v>
      </c>
    </row>
    <row r="25" spans="1:22">
      <c r="A25" s="1" t="s">
        <v>44</v>
      </c>
      <c r="B25" s="29">
        <v>0</v>
      </c>
      <c r="C25" s="30">
        <v>0</v>
      </c>
      <c r="D25" s="30">
        <v>0</v>
      </c>
      <c r="E25" s="30">
        <v>0</v>
      </c>
      <c r="F25" s="30">
        <v>0</v>
      </c>
      <c r="G25" s="31">
        <f>SUM(ME_FINANCIAL)</f>
        <v>0</v>
      </c>
      <c r="H25" s="30"/>
      <c r="I25" s="34"/>
      <c r="J25" s="35"/>
      <c r="K25" s="30"/>
      <c r="L25" s="29"/>
      <c r="M25" s="30"/>
      <c r="N25" s="30"/>
      <c r="O25" s="30"/>
      <c r="P25" s="30"/>
      <c r="Q25" s="30"/>
      <c r="R25" s="30"/>
      <c r="S25" s="30"/>
      <c r="T25" s="30"/>
      <c r="U25" s="30"/>
      <c r="V25" s="31"/>
    </row>
    <row r="26" spans="1:22">
      <c r="A26" s="1" t="s">
        <v>45</v>
      </c>
      <c r="B26" s="29">
        <v>0</v>
      </c>
      <c r="C26" s="30">
        <v>385274.56798442395</v>
      </c>
      <c r="D26" s="30">
        <v>0</v>
      </c>
      <c r="E26" s="30">
        <v>0</v>
      </c>
      <c r="F26" s="30">
        <v>0</v>
      </c>
      <c r="G26" s="31">
        <f>SUM(MD_FINANCIAL)</f>
        <v>385274.56798442395</v>
      </c>
      <c r="H26" s="30"/>
      <c r="I26" s="34" t="s">
        <v>46</v>
      </c>
      <c r="J26" s="35">
        <f>SUM(ADD_FINANCIAL)-SUM(LESS_FINANCIAL)</f>
        <v>96324078.239999533</v>
      </c>
      <c r="K26" s="30"/>
      <c r="L26" s="29"/>
      <c r="M26" s="30"/>
      <c r="N26" s="30"/>
      <c r="O26" s="30"/>
      <c r="P26" s="30"/>
      <c r="Q26" s="30"/>
      <c r="R26" s="30"/>
      <c r="S26" s="30"/>
      <c r="T26" s="30"/>
      <c r="U26" s="30"/>
      <c r="V26" s="31"/>
    </row>
    <row r="27" spans="1:22">
      <c r="A27" s="1" t="s">
        <v>47</v>
      </c>
      <c r="B27" s="29">
        <v>0</v>
      </c>
      <c r="C27" s="30">
        <v>0</v>
      </c>
      <c r="D27" s="30">
        <v>0</v>
      </c>
      <c r="E27" s="30">
        <v>0</v>
      </c>
      <c r="F27" s="30">
        <v>0</v>
      </c>
      <c r="G27" s="31">
        <f>SUM(MA_FINANCIAL)</f>
        <v>0</v>
      </c>
      <c r="H27" s="30"/>
      <c r="I27" s="34" t="s">
        <v>48</v>
      </c>
      <c r="J27" s="35">
        <f>SUM(ALL_BLOCKS)</f>
        <v>96324078.240000188</v>
      </c>
      <c r="K27" s="30"/>
      <c r="L27" s="29"/>
      <c r="M27" s="30"/>
      <c r="N27" s="30"/>
      <c r="O27" s="30"/>
      <c r="P27" s="30"/>
      <c r="Q27" s="30"/>
      <c r="R27" s="30"/>
      <c r="S27" s="30"/>
      <c r="T27" s="30"/>
      <c r="U27" s="30"/>
      <c r="V27" s="31"/>
    </row>
    <row r="28" spans="1:22">
      <c r="A28" s="1" t="s">
        <v>49</v>
      </c>
      <c r="B28" s="29">
        <v>0</v>
      </c>
      <c r="C28" s="30">
        <v>5585603.0650490904</v>
      </c>
      <c r="D28" s="30">
        <v>0</v>
      </c>
      <c r="E28" s="30">
        <v>0</v>
      </c>
      <c r="F28" s="30">
        <v>0</v>
      </c>
      <c r="G28" s="31">
        <f>SUM(MI_FINANCIAL)</f>
        <v>5585603.0650490904</v>
      </c>
      <c r="H28" s="30"/>
      <c r="I28" s="36"/>
      <c r="J28" s="37"/>
      <c r="K28" s="30"/>
      <c r="L28" s="29">
        <v>0</v>
      </c>
      <c r="M28" s="30">
        <v>0</v>
      </c>
      <c r="N28" s="30"/>
      <c r="O28" s="30">
        <v>6000000</v>
      </c>
      <c r="P28" s="30">
        <v>0</v>
      </c>
      <c r="Q28" s="30"/>
      <c r="R28" s="30">
        <v>0</v>
      </c>
      <c r="S28" s="30">
        <v>0</v>
      </c>
      <c r="T28" s="30"/>
      <c r="U28" s="30">
        <v>0</v>
      </c>
      <c r="V28" s="31">
        <v>0</v>
      </c>
    </row>
    <row r="29" spans="1:22">
      <c r="A29" s="1" t="s">
        <v>50</v>
      </c>
      <c r="B29" s="29">
        <v>0</v>
      </c>
      <c r="C29" s="30">
        <v>2615520.6349807736</v>
      </c>
      <c r="D29" s="30">
        <v>0</v>
      </c>
      <c r="E29" s="30">
        <v>0</v>
      </c>
      <c r="F29" s="30">
        <v>0</v>
      </c>
      <c r="G29" s="31">
        <f>SUM(MN_FINANCIAL)</f>
        <v>2615520.6349807736</v>
      </c>
      <c r="H29" s="30"/>
      <c r="I29" s="30"/>
      <c r="J29" s="30"/>
      <c r="K29" s="30"/>
      <c r="L29" s="29"/>
      <c r="M29" s="30"/>
      <c r="N29" s="30"/>
      <c r="O29" s="30"/>
      <c r="P29" s="30"/>
      <c r="Q29" s="30"/>
      <c r="R29" s="30"/>
      <c r="S29" s="30"/>
      <c r="T29" s="30"/>
      <c r="U29" s="30"/>
      <c r="V29" s="31"/>
    </row>
    <row r="30" spans="1:22">
      <c r="A30" s="1" t="s">
        <v>51</v>
      </c>
      <c r="B30" s="29">
        <v>0</v>
      </c>
      <c r="C30" s="30">
        <v>165803.13535214105</v>
      </c>
      <c r="D30" s="30">
        <v>0</v>
      </c>
      <c r="E30" s="30">
        <v>0</v>
      </c>
      <c r="F30" s="30">
        <v>0</v>
      </c>
      <c r="G30" s="31">
        <f>SUM(MS_FINANCIAL)</f>
        <v>165803.13535214105</v>
      </c>
      <c r="H30" s="30"/>
      <c r="I30" s="30"/>
      <c r="J30" s="30"/>
      <c r="K30" s="30"/>
      <c r="L30" s="29"/>
      <c r="M30" s="30"/>
      <c r="N30" s="30"/>
      <c r="O30" s="30"/>
      <c r="P30" s="30"/>
      <c r="Q30" s="30"/>
      <c r="R30" s="30"/>
      <c r="S30" s="30"/>
      <c r="T30" s="30"/>
      <c r="U30" s="30"/>
      <c r="V30" s="31"/>
    </row>
    <row r="31" spans="1:22">
      <c r="A31" s="1" t="s">
        <v>52</v>
      </c>
      <c r="B31" s="29">
        <v>0</v>
      </c>
      <c r="C31" s="30">
        <v>569489.89830246451</v>
      </c>
      <c r="D31" s="30">
        <v>0</v>
      </c>
      <c r="E31" s="30">
        <v>0</v>
      </c>
      <c r="F31" s="30">
        <v>0</v>
      </c>
      <c r="G31" s="31">
        <f>SUM(MO_FINANCIAL)</f>
        <v>569489.89830246451</v>
      </c>
      <c r="H31" s="30"/>
      <c r="I31" s="30"/>
      <c r="J31" s="30"/>
      <c r="K31" s="30"/>
      <c r="L31" s="29"/>
      <c r="M31" s="30"/>
      <c r="N31" s="30"/>
      <c r="O31" s="30"/>
      <c r="P31" s="30"/>
      <c r="Q31" s="30"/>
      <c r="R31" s="30"/>
      <c r="S31" s="30"/>
      <c r="T31" s="30"/>
      <c r="U31" s="30"/>
      <c r="V31" s="31"/>
    </row>
    <row r="32" spans="1:22">
      <c r="A32" s="1" t="s">
        <v>53</v>
      </c>
      <c r="B32" s="29">
        <v>0</v>
      </c>
      <c r="C32" s="30">
        <v>48024.435273782714</v>
      </c>
      <c r="D32" s="30">
        <v>0</v>
      </c>
      <c r="E32" s="30">
        <v>0</v>
      </c>
      <c r="F32" s="30">
        <v>0</v>
      </c>
      <c r="G32" s="31">
        <f>SUM(MT_FINANCIAL)</f>
        <v>48024.435273782714</v>
      </c>
      <c r="H32" s="30"/>
      <c r="I32" s="30"/>
      <c r="J32" s="30"/>
      <c r="K32" s="30"/>
      <c r="L32" s="29"/>
      <c r="M32" s="30"/>
      <c r="N32" s="30"/>
      <c r="O32" s="30"/>
      <c r="P32" s="30"/>
      <c r="Q32" s="30"/>
      <c r="R32" s="30"/>
      <c r="S32" s="30"/>
      <c r="T32" s="30"/>
      <c r="U32" s="30"/>
      <c r="V32" s="31"/>
    </row>
    <row r="33" spans="1:22">
      <c r="A33" s="1" t="s">
        <v>54</v>
      </c>
      <c r="B33" s="29">
        <v>0</v>
      </c>
      <c r="C33" s="30">
        <v>1044769.7743645185</v>
      </c>
      <c r="D33" s="30">
        <v>0</v>
      </c>
      <c r="E33" s="30">
        <v>0</v>
      </c>
      <c r="F33" s="30">
        <v>0</v>
      </c>
      <c r="G33" s="31">
        <f>SUM(NE_FINANCIAL)</f>
        <v>1044769.7743645185</v>
      </c>
      <c r="H33" s="30"/>
      <c r="I33" s="30"/>
      <c r="J33" s="30"/>
      <c r="K33" s="30"/>
      <c r="L33" s="29"/>
      <c r="M33" s="30"/>
      <c r="N33" s="30"/>
      <c r="O33" s="30"/>
      <c r="P33" s="30"/>
      <c r="Q33" s="30"/>
      <c r="R33" s="30"/>
      <c r="S33" s="30"/>
      <c r="T33" s="30"/>
      <c r="U33" s="30"/>
      <c r="V33" s="31"/>
    </row>
    <row r="34" spans="1:22">
      <c r="A34" s="1" t="s">
        <v>55</v>
      </c>
      <c r="B34" s="29">
        <v>0</v>
      </c>
      <c r="C34" s="30">
        <v>590597.49931584927</v>
      </c>
      <c r="D34" s="30">
        <v>0</v>
      </c>
      <c r="E34" s="30">
        <v>0</v>
      </c>
      <c r="F34" s="30">
        <v>0</v>
      </c>
      <c r="G34" s="31">
        <f>SUM(NV_FINANCIAL)</f>
        <v>590597.49931584927</v>
      </c>
      <c r="H34" s="30"/>
      <c r="I34" s="30"/>
      <c r="J34" s="30"/>
      <c r="K34" s="30"/>
      <c r="L34" s="29">
        <v>0</v>
      </c>
      <c r="M34" s="30">
        <v>0</v>
      </c>
      <c r="N34" s="30"/>
      <c r="O34" s="30">
        <v>815000</v>
      </c>
      <c r="P34" s="30">
        <v>0</v>
      </c>
      <c r="Q34" s="30"/>
      <c r="R34" s="30">
        <v>0</v>
      </c>
      <c r="S34" s="30">
        <v>0</v>
      </c>
      <c r="T34" s="30"/>
      <c r="U34" s="30">
        <v>0</v>
      </c>
      <c r="V34" s="31">
        <v>0</v>
      </c>
    </row>
    <row r="35" spans="1:22">
      <c r="A35" s="1" t="s">
        <v>56</v>
      </c>
      <c r="B35" s="29">
        <v>0</v>
      </c>
      <c r="C35" s="30">
        <v>0</v>
      </c>
      <c r="D35" s="30">
        <v>0</v>
      </c>
      <c r="E35" s="30">
        <v>0</v>
      </c>
      <c r="F35" s="30">
        <v>0</v>
      </c>
      <c r="G35" s="31">
        <f>SUM(NH_FINANCIAL)</f>
        <v>0</v>
      </c>
      <c r="H35" s="30"/>
      <c r="I35" s="30"/>
      <c r="J35" s="30"/>
      <c r="K35" s="30"/>
      <c r="L35" s="29"/>
      <c r="M35" s="30"/>
      <c r="N35" s="30"/>
      <c r="O35" s="30"/>
      <c r="P35" s="30"/>
      <c r="Q35" s="30"/>
      <c r="R35" s="30"/>
      <c r="S35" s="30"/>
      <c r="T35" s="30"/>
      <c r="U35" s="30"/>
      <c r="V35" s="31"/>
    </row>
    <row r="36" spans="1:22">
      <c r="A36" s="1" t="s">
        <v>57</v>
      </c>
      <c r="B36" s="29">
        <v>0</v>
      </c>
      <c r="C36" s="30">
        <v>0</v>
      </c>
      <c r="D36" s="30">
        <v>0</v>
      </c>
      <c r="E36" s="30">
        <v>0</v>
      </c>
      <c r="F36" s="30">
        <v>0</v>
      </c>
      <c r="G36" s="31">
        <f>SUM(NJ_FINANCIAL)</f>
        <v>0</v>
      </c>
      <c r="H36" s="30"/>
      <c r="I36" s="30"/>
      <c r="J36" s="30"/>
      <c r="K36" s="30"/>
      <c r="L36" s="29"/>
      <c r="M36" s="30"/>
      <c r="N36" s="30"/>
      <c r="O36" s="30"/>
      <c r="P36" s="30"/>
      <c r="Q36" s="30"/>
      <c r="R36" s="30"/>
      <c r="S36" s="30"/>
      <c r="T36" s="30"/>
      <c r="U36" s="30"/>
      <c r="V36" s="31"/>
    </row>
    <row r="37" spans="1:22">
      <c r="A37" s="1" t="s">
        <v>58</v>
      </c>
      <c r="B37" s="29">
        <v>0</v>
      </c>
      <c r="C37" s="30">
        <v>182600.75097246657</v>
      </c>
      <c r="D37" s="30">
        <v>0</v>
      </c>
      <c r="E37" s="30">
        <v>0</v>
      </c>
      <c r="F37" s="30">
        <v>0</v>
      </c>
      <c r="G37" s="31">
        <f>SUM(NM_FINANCIAL)</f>
        <v>182600.75097246657</v>
      </c>
      <c r="H37" s="30"/>
      <c r="I37" s="30"/>
      <c r="J37" s="30"/>
      <c r="K37" s="30"/>
      <c r="L37" s="29">
        <v>0</v>
      </c>
      <c r="M37" s="30">
        <v>0</v>
      </c>
      <c r="N37" s="30"/>
      <c r="O37" s="30">
        <v>139987</v>
      </c>
      <c r="P37" s="30">
        <v>0</v>
      </c>
      <c r="Q37" s="30"/>
      <c r="R37" s="30">
        <v>0</v>
      </c>
      <c r="S37" s="30">
        <v>0</v>
      </c>
      <c r="T37" s="30"/>
      <c r="U37" s="30">
        <v>0</v>
      </c>
      <c r="V37" s="31">
        <v>0</v>
      </c>
    </row>
    <row r="38" spans="1:22">
      <c r="A38" s="1" t="s">
        <v>59</v>
      </c>
      <c r="B38" s="29">
        <v>0</v>
      </c>
      <c r="C38" s="30">
        <v>0</v>
      </c>
      <c r="D38" s="30">
        <v>0</v>
      </c>
      <c r="E38" s="30">
        <v>0</v>
      </c>
      <c r="F38" s="30">
        <v>0</v>
      </c>
      <c r="G38" s="31">
        <f>SUM(NY_FINANCIAL)</f>
        <v>0</v>
      </c>
      <c r="H38" s="30"/>
      <c r="I38" s="30"/>
      <c r="J38" s="30"/>
      <c r="K38" s="30"/>
      <c r="L38" s="29"/>
      <c r="M38" s="30"/>
      <c r="N38" s="30"/>
      <c r="O38" s="30"/>
      <c r="P38" s="30"/>
      <c r="Q38" s="30"/>
      <c r="R38" s="30"/>
      <c r="S38" s="30"/>
      <c r="T38" s="30"/>
      <c r="U38" s="30"/>
      <c r="V38" s="31"/>
    </row>
    <row r="39" spans="1:22">
      <c r="A39" s="1" t="s">
        <v>60</v>
      </c>
      <c r="B39" s="29">
        <v>0</v>
      </c>
      <c r="C39" s="30">
        <v>5751689.9228839763</v>
      </c>
      <c r="D39" s="30">
        <v>0</v>
      </c>
      <c r="E39" s="30">
        <v>0</v>
      </c>
      <c r="F39" s="30">
        <v>0</v>
      </c>
      <c r="G39" s="31">
        <f>SUM(NC_FINANCIAL)</f>
        <v>5751689.9228839763</v>
      </c>
      <c r="H39" s="30"/>
      <c r="I39" s="30"/>
      <c r="J39" s="30"/>
      <c r="K39" s="30"/>
      <c r="L39" s="29">
        <v>0</v>
      </c>
      <c r="M39" s="30">
        <v>6000</v>
      </c>
      <c r="N39" s="30"/>
      <c r="O39" s="30">
        <v>7000000</v>
      </c>
      <c r="P39" s="30">
        <v>1494000</v>
      </c>
      <c r="Q39" s="30"/>
      <c r="R39" s="30">
        <v>0</v>
      </c>
      <c r="S39" s="30">
        <v>0</v>
      </c>
      <c r="T39" s="30"/>
      <c r="U39" s="30">
        <v>0</v>
      </c>
      <c r="V39" s="31">
        <v>0</v>
      </c>
    </row>
    <row r="40" spans="1:22">
      <c r="A40" s="1" t="s">
        <v>61</v>
      </c>
      <c r="B40" s="29">
        <v>0</v>
      </c>
      <c r="C40" s="30">
        <v>89699.359404648785</v>
      </c>
      <c r="D40" s="30">
        <v>0</v>
      </c>
      <c r="E40" s="30">
        <v>0</v>
      </c>
      <c r="F40" s="30">
        <v>0</v>
      </c>
      <c r="G40" s="31">
        <f>SUM(ND_FINANCIAL)</f>
        <v>89699.359404648785</v>
      </c>
      <c r="H40" s="30"/>
      <c r="I40" s="30"/>
      <c r="J40" s="30"/>
      <c r="K40" s="30"/>
      <c r="L40" s="29">
        <v>0</v>
      </c>
      <c r="M40" s="30">
        <v>0</v>
      </c>
      <c r="N40" s="30"/>
      <c r="O40" s="30">
        <v>125000</v>
      </c>
      <c r="P40" s="30">
        <v>0</v>
      </c>
      <c r="Q40" s="30"/>
      <c r="R40" s="30">
        <v>0</v>
      </c>
      <c r="S40" s="30">
        <v>0</v>
      </c>
      <c r="T40" s="30"/>
      <c r="U40" s="30">
        <v>0</v>
      </c>
      <c r="V40" s="31">
        <v>0</v>
      </c>
    </row>
    <row r="41" spans="1:22">
      <c r="A41" s="1" t="s">
        <v>62</v>
      </c>
      <c r="B41" s="29">
        <v>0</v>
      </c>
      <c r="C41" s="30">
        <v>5072124.0030464167</v>
      </c>
      <c r="D41" s="30">
        <v>0</v>
      </c>
      <c r="E41" s="30">
        <v>0</v>
      </c>
      <c r="F41" s="30">
        <v>0</v>
      </c>
      <c r="G41" s="31">
        <f>SUM(OH_FINANCIAL)</f>
        <v>5072124.0030464167</v>
      </c>
      <c r="H41" s="30"/>
      <c r="I41" s="30"/>
      <c r="J41" s="30"/>
      <c r="K41" s="30"/>
      <c r="L41" s="29">
        <v>0</v>
      </c>
      <c r="M41" s="30">
        <v>0</v>
      </c>
      <c r="N41" s="30"/>
      <c r="O41" s="30">
        <v>6900000</v>
      </c>
      <c r="P41" s="30">
        <v>0</v>
      </c>
      <c r="Q41" s="30"/>
      <c r="R41" s="30">
        <v>0</v>
      </c>
      <c r="S41" s="30">
        <v>0</v>
      </c>
      <c r="T41" s="30"/>
      <c r="U41" s="30">
        <v>0</v>
      </c>
      <c r="V41" s="31">
        <v>0</v>
      </c>
    </row>
    <row r="42" spans="1:22">
      <c r="A42" s="1" t="s">
        <v>63</v>
      </c>
      <c r="B42" s="29">
        <v>0</v>
      </c>
      <c r="C42" s="30">
        <v>5587378.8678274024</v>
      </c>
      <c r="D42" s="30">
        <v>0</v>
      </c>
      <c r="E42" s="30">
        <v>0</v>
      </c>
      <c r="F42" s="30">
        <v>0</v>
      </c>
      <c r="G42" s="31">
        <f>SUM(OK_FINANCIAL)</f>
        <v>5587378.8678274024</v>
      </c>
      <c r="H42" s="30"/>
      <c r="I42" s="30"/>
      <c r="J42" s="30"/>
      <c r="K42" s="30"/>
      <c r="L42" s="29">
        <v>0</v>
      </c>
      <c r="M42" s="30">
        <v>0</v>
      </c>
      <c r="N42" s="30"/>
      <c r="O42" s="30">
        <v>7350000</v>
      </c>
      <c r="P42" s="30">
        <v>0</v>
      </c>
      <c r="Q42" s="30"/>
      <c r="R42" s="30">
        <v>0</v>
      </c>
      <c r="S42" s="30">
        <v>1550000</v>
      </c>
      <c r="T42" s="30"/>
      <c r="U42" s="30">
        <v>0</v>
      </c>
      <c r="V42" s="31">
        <v>0</v>
      </c>
    </row>
    <row r="43" spans="1:22">
      <c r="A43" s="1" t="s">
        <v>64</v>
      </c>
      <c r="B43" s="29">
        <v>0</v>
      </c>
      <c r="C43" s="30">
        <v>181141.54561910301</v>
      </c>
      <c r="D43" s="30">
        <v>0</v>
      </c>
      <c r="E43" s="30">
        <v>0</v>
      </c>
      <c r="F43" s="30">
        <v>0</v>
      </c>
      <c r="G43" s="31">
        <f>SUM(OR_FINANCIAL)</f>
        <v>181141.54561910301</v>
      </c>
      <c r="H43" s="30"/>
      <c r="I43" s="30"/>
      <c r="J43" s="30"/>
      <c r="K43" s="30"/>
      <c r="L43" s="29"/>
      <c r="M43" s="30"/>
      <c r="N43" s="30"/>
      <c r="O43" s="30"/>
      <c r="P43" s="30"/>
      <c r="Q43" s="30"/>
      <c r="R43" s="30"/>
      <c r="S43" s="30"/>
      <c r="T43" s="30"/>
      <c r="U43" s="30"/>
      <c r="V43" s="31"/>
    </row>
    <row r="44" spans="1:22">
      <c r="A44" s="1" t="s">
        <v>65</v>
      </c>
      <c r="B44" s="29">
        <v>0</v>
      </c>
      <c r="C44" s="30">
        <v>3183440.532633353</v>
      </c>
      <c r="D44" s="30">
        <v>0</v>
      </c>
      <c r="E44" s="30">
        <v>0</v>
      </c>
      <c r="F44" s="30">
        <v>0</v>
      </c>
      <c r="G44" s="31">
        <f>SUM(PA_FINANCIAL)</f>
        <v>3183440.532633353</v>
      </c>
      <c r="H44" s="30"/>
      <c r="I44" s="30"/>
      <c r="J44" s="30"/>
      <c r="K44" s="30"/>
      <c r="L44" s="29"/>
      <c r="M44" s="30"/>
      <c r="N44" s="30"/>
      <c r="O44" s="30"/>
      <c r="P44" s="30"/>
      <c r="Q44" s="30"/>
      <c r="R44" s="30"/>
      <c r="S44" s="30"/>
      <c r="T44" s="30"/>
      <c r="U44" s="30"/>
      <c r="V44" s="31"/>
    </row>
    <row r="45" spans="1:22">
      <c r="A45" s="1" t="s">
        <v>66</v>
      </c>
      <c r="B45" s="29">
        <v>0</v>
      </c>
      <c r="C45" s="30">
        <v>0</v>
      </c>
      <c r="D45" s="30">
        <v>0</v>
      </c>
      <c r="E45" s="30">
        <v>0</v>
      </c>
      <c r="F45" s="30">
        <v>0</v>
      </c>
      <c r="G45" s="31">
        <f>SUM(PR_FINANCIAL)</f>
        <v>0</v>
      </c>
      <c r="H45" s="30"/>
      <c r="I45" s="30"/>
      <c r="J45" s="30"/>
      <c r="K45" s="30"/>
      <c r="L45" s="29"/>
      <c r="M45" s="30"/>
      <c r="N45" s="30"/>
      <c r="O45" s="30"/>
      <c r="P45" s="30"/>
      <c r="Q45" s="30"/>
      <c r="R45" s="30"/>
      <c r="S45" s="30"/>
      <c r="T45" s="30"/>
      <c r="U45" s="30"/>
      <c r="V45" s="31"/>
    </row>
    <row r="46" spans="1:22">
      <c r="A46" s="1" t="s">
        <v>67</v>
      </c>
      <c r="B46" s="29">
        <v>0</v>
      </c>
      <c r="C46" s="30">
        <v>0</v>
      </c>
      <c r="D46" s="30">
        <v>0</v>
      </c>
      <c r="E46" s="30">
        <v>0</v>
      </c>
      <c r="F46" s="30">
        <v>0</v>
      </c>
      <c r="G46" s="31">
        <f>SUM(RI_FINANCIAL)</f>
        <v>0</v>
      </c>
      <c r="H46" s="30"/>
      <c r="I46" s="30"/>
      <c r="J46" s="30"/>
      <c r="K46" s="30"/>
      <c r="L46" s="29"/>
      <c r="M46" s="30"/>
      <c r="N46" s="30"/>
      <c r="O46" s="30"/>
      <c r="P46" s="30"/>
      <c r="Q46" s="30"/>
      <c r="R46" s="30"/>
      <c r="S46" s="30"/>
      <c r="T46" s="30"/>
      <c r="U46" s="30"/>
      <c r="V46" s="31"/>
    </row>
    <row r="47" spans="1:22">
      <c r="A47" s="1" t="s">
        <v>68</v>
      </c>
      <c r="B47" s="29">
        <v>0</v>
      </c>
      <c r="C47" s="30">
        <v>373524.19764700416</v>
      </c>
      <c r="D47" s="30">
        <v>0</v>
      </c>
      <c r="E47" s="30">
        <v>0</v>
      </c>
      <c r="F47" s="30">
        <v>0</v>
      </c>
      <c r="G47" s="31">
        <f>SUM(SC_FINANCIAL)</f>
        <v>373524.19764700416</v>
      </c>
      <c r="H47" s="30"/>
      <c r="I47" s="30"/>
      <c r="J47" s="30"/>
      <c r="K47" s="30"/>
      <c r="L47" s="29"/>
      <c r="M47" s="30"/>
      <c r="N47" s="30"/>
      <c r="O47" s="30"/>
      <c r="P47" s="30"/>
      <c r="Q47" s="30"/>
      <c r="R47" s="30"/>
      <c r="S47" s="30"/>
      <c r="T47" s="30"/>
      <c r="U47" s="30"/>
      <c r="V47" s="31"/>
    </row>
    <row r="48" spans="1:22">
      <c r="A48" s="1" t="s">
        <v>69</v>
      </c>
      <c r="B48" s="29">
        <v>0</v>
      </c>
      <c r="C48" s="30">
        <v>0</v>
      </c>
      <c r="D48" s="30">
        <v>0</v>
      </c>
      <c r="E48" s="30">
        <v>0</v>
      </c>
      <c r="F48" s="30">
        <v>0</v>
      </c>
      <c r="G48" s="31">
        <f>SUM(SD_FINANCIAL)</f>
        <v>0</v>
      </c>
      <c r="H48" s="30"/>
      <c r="I48" s="30"/>
      <c r="J48" s="30"/>
      <c r="K48" s="30"/>
      <c r="L48" s="29"/>
      <c r="M48" s="30"/>
      <c r="N48" s="30"/>
      <c r="O48" s="30"/>
      <c r="P48" s="30"/>
      <c r="Q48" s="30"/>
      <c r="R48" s="30"/>
      <c r="S48" s="30"/>
      <c r="T48" s="30"/>
      <c r="U48" s="30"/>
      <c r="V48" s="31"/>
    </row>
    <row r="49" spans="1:22">
      <c r="A49" s="1" t="s">
        <v>70</v>
      </c>
      <c r="B49" s="29">
        <v>0</v>
      </c>
      <c r="C49" s="30">
        <v>186489.63630871044</v>
      </c>
      <c r="D49" s="30">
        <v>0</v>
      </c>
      <c r="E49" s="30">
        <v>0</v>
      </c>
      <c r="F49" s="30">
        <v>0</v>
      </c>
      <c r="G49" s="31">
        <f>SUM(TN_FINANCIAL)</f>
        <v>186489.63630871044</v>
      </c>
      <c r="H49" s="30"/>
      <c r="I49" s="30"/>
      <c r="J49" s="30"/>
      <c r="K49" s="30"/>
      <c r="L49" s="29"/>
      <c r="M49" s="30"/>
      <c r="N49" s="30"/>
      <c r="O49" s="30"/>
      <c r="P49" s="30"/>
      <c r="Q49" s="30"/>
      <c r="R49" s="30"/>
      <c r="S49" s="30"/>
      <c r="T49" s="30"/>
      <c r="U49" s="30"/>
      <c r="V49" s="31"/>
    </row>
    <row r="50" spans="1:22">
      <c r="A50" s="1" t="s">
        <v>71</v>
      </c>
      <c r="B50" s="29">
        <v>0</v>
      </c>
      <c r="C50" s="30">
        <v>14859188.828672901</v>
      </c>
      <c r="D50" s="30">
        <v>0</v>
      </c>
      <c r="E50" s="30">
        <v>0</v>
      </c>
      <c r="F50" s="30">
        <v>0</v>
      </c>
      <c r="G50" s="31">
        <f>SUM(TX_FINANCIAL)</f>
        <v>14859188.828672901</v>
      </c>
      <c r="H50" s="30"/>
      <c r="I50" s="30"/>
      <c r="J50" s="30"/>
      <c r="K50" s="30"/>
      <c r="L50" s="29">
        <v>0</v>
      </c>
      <c r="M50" s="30">
        <v>0</v>
      </c>
      <c r="N50" s="30"/>
      <c r="O50" s="30">
        <v>20000000</v>
      </c>
      <c r="P50" s="30">
        <v>7000000</v>
      </c>
      <c r="Q50" s="30"/>
      <c r="R50" s="30">
        <v>0</v>
      </c>
      <c r="S50" s="30">
        <v>0</v>
      </c>
      <c r="T50" s="30"/>
      <c r="U50" s="30">
        <v>0</v>
      </c>
      <c r="V50" s="31">
        <v>0</v>
      </c>
    </row>
    <row r="51" spans="1:22">
      <c r="A51" s="1" t="s">
        <v>72</v>
      </c>
      <c r="B51" s="29">
        <v>0</v>
      </c>
      <c r="C51" s="30">
        <v>255610.44491585807</v>
      </c>
      <c r="D51" s="30">
        <v>0</v>
      </c>
      <c r="E51" s="30">
        <v>0</v>
      </c>
      <c r="F51" s="30">
        <v>0</v>
      </c>
      <c r="G51" s="31">
        <f>SUM(UT_FINANCIAL)</f>
        <v>255610.44491585807</v>
      </c>
      <c r="H51" s="30"/>
      <c r="I51" s="30"/>
      <c r="J51" s="30"/>
      <c r="K51" s="30"/>
      <c r="L51" s="29">
        <v>0</v>
      </c>
      <c r="M51" s="30">
        <v>0</v>
      </c>
      <c r="N51" s="30"/>
      <c r="O51" s="30">
        <v>350000</v>
      </c>
      <c r="P51" s="30">
        <v>0</v>
      </c>
      <c r="Q51" s="30"/>
      <c r="R51" s="30">
        <v>0</v>
      </c>
      <c r="S51" s="30">
        <v>0</v>
      </c>
      <c r="T51" s="30"/>
      <c r="U51" s="30">
        <v>0</v>
      </c>
      <c r="V51" s="31">
        <v>0</v>
      </c>
    </row>
    <row r="52" spans="1:22">
      <c r="A52" s="1" t="s">
        <v>73</v>
      </c>
      <c r="B52" s="29">
        <v>0</v>
      </c>
      <c r="C52" s="30">
        <v>0</v>
      </c>
      <c r="D52" s="30">
        <v>0</v>
      </c>
      <c r="E52" s="30">
        <v>0</v>
      </c>
      <c r="F52" s="30">
        <v>0</v>
      </c>
      <c r="G52" s="31">
        <f>SUM(VT_FINANCIAL)</f>
        <v>0</v>
      </c>
      <c r="H52" s="30"/>
      <c r="I52" s="30"/>
      <c r="J52" s="30"/>
      <c r="K52" s="30"/>
      <c r="L52" s="29"/>
      <c r="M52" s="30"/>
      <c r="N52" s="30"/>
      <c r="O52" s="30"/>
      <c r="P52" s="30"/>
      <c r="Q52" s="30"/>
      <c r="R52" s="30"/>
      <c r="S52" s="30"/>
      <c r="T52" s="30"/>
      <c r="U52" s="30"/>
      <c r="V52" s="31"/>
    </row>
    <row r="53" spans="1:22">
      <c r="A53" s="1" t="s">
        <v>74</v>
      </c>
      <c r="B53" s="29">
        <v>0</v>
      </c>
      <c r="C53" s="30">
        <v>2022957.2093551904</v>
      </c>
      <c r="D53" s="30">
        <v>0</v>
      </c>
      <c r="E53" s="30">
        <v>0</v>
      </c>
      <c r="F53" s="30">
        <v>0</v>
      </c>
      <c r="G53" s="31">
        <f>SUM(VA_FINANCIAL)</f>
        <v>2022957.2093551904</v>
      </c>
      <c r="H53" s="30"/>
      <c r="I53" s="30"/>
      <c r="J53" s="30"/>
      <c r="K53" s="30"/>
      <c r="L53" s="29"/>
      <c r="M53" s="30"/>
      <c r="N53" s="30"/>
      <c r="O53" s="30"/>
      <c r="P53" s="30"/>
      <c r="Q53" s="30"/>
      <c r="R53" s="30"/>
      <c r="S53" s="30"/>
      <c r="T53" s="30"/>
      <c r="U53" s="30"/>
      <c r="V53" s="31"/>
    </row>
    <row r="54" spans="1:22">
      <c r="A54" s="1" t="s">
        <v>75</v>
      </c>
      <c r="B54" s="29">
        <v>0</v>
      </c>
      <c r="C54" s="30">
        <v>7189662.7930137757</v>
      </c>
      <c r="D54" s="30">
        <v>0</v>
      </c>
      <c r="E54" s="30">
        <v>0</v>
      </c>
      <c r="F54" s="30">
        <v>0</v>
      </c>
      <c r="G54" s="31">
        <f>SUM(WA_FINANCIAL)</f>
        <v>7189662.7930137757</v>
      </c>
      <c r="H54" s="30"/>
      <c r="I54" s="30"/>
      <c r="J54" s="30"/>
      <c r="K54" s="30"/>
      <c r="L54" s="29">
        <v>0</v>
      </c>
      <c r="M54" s="30">
        <v>0</v>
      </c>
      <c r="N54" s="30"/>
      <c r="O54" s="30">
        <v>10000000</v>
      </c>
      <c r="P54" s="30">
        <v>0</v>
      </c>
      <c r="Q54" s="30"/>
      <c r="R54" s="30">
        <v>0</v>
      </c>
      <c r="S54" s="30">
        <v>0</v>
      </c>
      <c r="T54" s="30"/>
      <c r="U54" s="30">
        <v>0</v>
      </c>
      <c r="V54" s="31">
        <v>0</v>
      </c>
    </row>
    <row r="55" spans="1:22">
      <c r="A55" s="1" t="s">
        <v>76</v>
      </c>
      <c r="B55" s="29">
        <v>0</v>
      </c>
      <c r="C55" s="30">
        <v>1256542.8921331728</v>
      </c>
      <c r="D55" s="30">
        <v>0</v>
      </c>
      <c r="E55" s="30">
        <v>0</v>
      </c>
      <c r="F55" s="30">
        <v>0</v>
      </c>
      <c r="G55" s="31">
        <f>SUM(WV_FINANCIAL)</f>
        <v>1256542.8921331728</v>
      </c>
      <c r="H55" s="30"/>
      <c r="I55" s="30"/>
      <c r="J55" s="30"/>
      <c r="K55" s="30"/>
      <c r="L55" s="29">
        <v>0</v>
      </c>
      <c r="M55" s="30">
        <v>0</v>
      </c>
      <c r="N55" s="30"/>
      <c r="O55" s="30">
        <v>1500000</v>
      </c>
      <c r="P55" s="30">
        <v>375000</v>
      </c>
      <c r="Q55" s="30"/>
      <c r="R55" s="30">
        <v>0</v>
      </c>
      <c r="S55" s="30">
        <v>0</v>
      </c>
      <c r="T55" s="30"/>
      <c r="U55" s="30">
        <v>0</v>
      </c>
      <c r="V55" s="31">
        <v>0</v>
      </c>
    </row>
    <row r="56" spans="1:22">
      <c r="A56" s="1" t="s">
        <v>77</v>
      </c>
      <c r="B56" s="29">
        <v>0</v>
      </c>
      <c r="C56" s="30">
        <v>4571198.623743277</v>
      </c>
      <c r="D56" s="30">
        <v>0</v>
      </c>
      <c r="E56" s="30">
        <v>0</v>
      </c>
      <c r="F56" s="30">
        <v>0</v>
      </c>
      <c r="G56" s="31">
        <f>SUM(WI_FINANCIAL)</f>
        <v>4571198.623743277</v>
      </c>
      <c r="H56" s="30"/>
      <c r="I56" s="30"/>
      <c r="J56" s="30"/>
      <c r="K56" s="30"/>
      <c r="L56" s="29">
        <v>0</v>
      </c>
      <c r="M56" s="30">
        <v>0</v>
      </c>
      <c r="N56" s="30"/>
      <c r="O56" s="30">
        <v>6000000</v>
      </c>
      <c r="P56" s="30">
        <v>0</v>
      </c>
      <c r="Q56" s="30"/>
      <c r="R56" s="30">
        <v>0</v>
      </c>
      <c r="S56" s="30">
        <v>0</v>
      </c>
      <c r="T56" s="30"/>
      <c r="U56" s="30">
        <v>0</v>
      </c>
      <c r="V56" s="31">
        <v>0</v>
      </c>
    </row>
    <row r="57" spans="1:22">
      <c r="A57" s="1" t="s">
        <v>78</v>
      </c>
      <c r="B57" s="29">
        <v>0</v>
      </c>
      <c r="C57" s="30">
        <v>40923.215770269198</v>
      </c>
      <c r="D57" s="30">
        <v>0</v>
      </c>
      <c r="E57" s="30">
        <v>0</v>
      </c>
      <c r="F57" s="30">
        <v>0</v>
      </c>
      <c r="G57" s="31">
        <f>SUM(WY_FINANCIAL)</f>
        <v>40923.215770269198</v>
      </c>
      <c r="H57" s="30"/>
      <c r="I57" s="30"/>
      <c r="J57" s="30"/>
      <c r="K57" s="30"/>
      <c r="L57" s="29"/>
      <c r="M57" s="30"/>
      <c r="N57" s="30"/>
      <c r="O57" s="30"/>
      <c r="P57" s="30"/>
      <c r="Q57" s="30"/>
      <c r="R57" s="30"/>
      <c r="S57" s="30"/>
      <c r="T57" s="30"/>
      <c r="U57" s="30"/>
      <c r="V57" s="31"/>
    </row>
    <row r="58" spans="1:22">
      <c r="A58" s="1" t="s">
        <v>79</v>
      </c>
      <c r="B58" s="29">
        <v>0</v>
      </c>
      <c r="C58" s="30">
        <v>0</v>
      </c>
      <c r="D58" s="30">
        <v>0</v>
      </c>
      <c r="E58" s="30">
        <v>0</v>
      </c>
      <c r="F58" s="30">
        <v>0</v>
      </c>
      <c r="G58" s="31">
        <f>SUM(OT_FINANCIAL)</f>
        <v>0</v>
      </c>
      <c r="H58" s="30"/>
      <c r="I58" s="30"/>
      <c r="J58" s="30"/>
      <c r="K58" s="30"/>
      <c r="L58" s="29"/>
      <c r="M58" s="30"/>
      <c r="N58" s="30"/>
      <c r="O58" s="30"/>
      <c r="P58" s="30"/>
      <c r="Q58" s="30"/>
      <c r="R58" s="30"/>
      <c r="S58" s="30"/>
      <c r="T58" s="30"/>
      <c r="U58" s="30"/>
      <c r="V58" s="31"/>
    </row>
    <row r="59" spans="1:22">
      <c r="B59" s="29"/>
      <c r="C59" s="30"/>
      <c r="D59" s="30"/>
      <c r="E59" s="30"/>
      <c r="F59" s="30"/>
      <c r="G59" s="31"/>
      <c r="H59" s="30"/>
      <c r="I59" s="30"/>
      <c r="J59" s="30"/>
      <c r="K59" s="30"/>
      <c r="L59" s="29"/>
      <c r="M59" s="30"/>
      <c r="N59" s="30"/>
      <c r="O59" s="30"/>
      <c r="P59" s="30"/>
      <c r="Q59" s="30"/>
      <c r="R59" s="30"/>
      <c r="S59" s="30"/>
      <c r="T59" s="30"/>
      <c r="U59" s="30"/>
      <c r="V59" s="31"/>
    </row>
    <row r="60" spans="1:22">
      <c r="A60" s="1" t="s">
        <v>8</v>
      </c>
      <c r="B60" s="29">
        <f>SUM(LIFE)</f>
        <v>0</v>
      </c>
      <c r="C60" s="30">
        <f>SUM(ALLOCATED)</f>
        <v>96324078.240000188</v>
      </c>
      <c r="D60" s="30">
        <f>SUM(HEALTH)</f>
        <v>0</v>
      </c>
      <c r="E60" s="30">
        <f>SUM(UNALLOCATED)</f>
        <v>0</v>
      </c>
      <c r="F60" s="30">
        <f>SUM(LTC)</f>
        <v>0</v>
      </c>
      <c r="G60" s="31">
        <f>SUM(ALL_BLOCKS)</f>
        <v>96324078.240000188</v>
      </c>
      <c r="H60" s="30"/>
      <c r="I60" s="30"/>
      <c r="J60" s="30"/>
      <c r="K60" s="30"/>
      <c r="L60" s="29">
        <f>SUM(LIFE_CALLED)</f>
        <v>700638</v>
      </c>
      <c r="M60" s="30">
        <f>SUM(LIFE_REFUNDED)</f>
        <v>6000</v>
      </c>
      <c r="N60" s="30"/>
      <c r="O60" s="30">
        <f>SUM(ALLOC_CALLED)</f>
        <v>88015647</v>
      </c>
      <c r="P60" s="30">
        <f>SUM(ALLOC_REFUNDED)</f>
        <v>10292000</v>
      </c>
      <c r="Q60" s="30"/>
      <c r="R60" s="30">
        <f>SUM(HEALTH_CALLED)</f>
        <v>0</v>
      </c>
      <c r="S60" s="30">
        <f>SUM(HEALTH_REFUNDED)</f>
        <v>1716536</v>
      </c>
      <c r="T60" s="30"/>
      <c r="U60" s="30">
        <f>SUM(UNALLOC_CALLED)</f>
        <v>0</v>
      </c>
      <c r="V60" s="31">
        <f>SUM(UNALLOC_REFUNDED)</f>
        <v>0</v>
      </c>
    </row>
    <row r="61" spans="1:22" ht="5.0999999999999996" customHeight="1">
      <c r="B61" s="8"/>
      <c r="G61" s="11"/>
      <c r="L61" s="8"/>
      <c r="V61" s="11"/>
    </row>
    <row r="62" spans="1:22">
      <c r="B62" s="8"/>
      <c r="G62" s="11"/>
      <c r="L62" s="122" t="s">
        <v>80</v>
      </c>
      <c r="M62" s="123"/>
      <c r="N62" s="123"/>
      <c r="O62" s="123"/>
      <c r="P62" s="123"/>
      <c r="Q62" s="123"/>
      <c r="R62" s="123"/>
      <c r="S62" s="123"/>
      <c r="T62" s="123"/>
      <c r="U62" s="123"/>
      <c r="V62" s="124"/>
    </row>
    <row r="63" spans="1:22">
      <c r="B63" s="8"/>
      <c r="G63" s="11"/>
      <c r="L63" s="125"/>
      <c r="M63" s="123"/>
      <c r="N63" s="123"/>
      <c r="O63" s="123"/>
      <c r="P63" s="123"/>
      <c r="Q63" s="123"/>
      <c r="R63" s="123"/>
      <c r="S63" s="123"/>
      <c r="T63" s="123"/>
      <c r="U63" s="123"/>
      <c r="V63" s="124"/>
    </row>
    <row r="64" spans="1:22">
      <c r="B64" s="10"/>
      <c r="C64" s="7"/>
      <c r="D64" s="7"/>
      <c r="E64" s="7"/>
      <c r="F64" s="7"/>
      <c r="G64" s="13"/>
      <c r="L64" s="126"/>
      <c r="M64" s="127"/>
      <c r="N64" s="127"/>
      <c r="O64" s="127"/>
      <c r="P64" s="127"/>
      <c r="Q64" s="127"/>
      <c r="R64" s="127"/>
      <c r="S64" s="127"/>
      <c r="T64" s="127"/>
      <c r="U64" s="127"/>
      <c r="V64" s="128"/>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pageSetUpPr fitToPage="1"/>
  </sheetPr>
  <dimension ref="A1:V64"/>
  <sheetViews>
    <sheetView zoomScale="75" workbookViewId="0">
      <selection sqref="A1:XFD1048576"/>
    </sheetView>
  </sheetViews>
  <sheetFormatPr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129" t="s">
        <v>136</v>
      </c>
      <c r="B1" s="123"/>
      <c r="C1" s="123"/>
      <c r="D1" s="123"/>
      <c r="E1" s="123"/>
      <c r="F1" s="123"/>
      <c r="G1" s="123"/>
    </row>
    <row r="3" spans="1:22">
      <c r="B3" s="130" t="s">
        <v>1</v>
      </c>
      <c r="C3" s="131"/>
      <c r="D3" s="131"/>
      <c r="E3" s="131"/>
      <c r="F3" s="131"/>
      <c r="G3" s="132"/>
      <c r="L3" s="133" t="s">
        <v>2</v>
      </c>
      <c r="M3" s="134"/>
      <c r="N3" s="134"/>
      <c r="O3" s="134"/>
      <c r="P3" s="134"/>
      <c r="Q3" s="134"/>
      <c r="R3" s="134"/>
      <c r="S3" s="134"/>
      <c r="T3" s="134"/>
      <c r="U3" s="134"/>
      <c r="V3" s="135"/>
    </row>
    <row r="4" spans="1:22">
      <c r="B4" s="8"/>
      <c r="G4" s="11"/>
      <c r="L4" s="136" t="s">
        <v>3</v>
      </c>
      <c r="M4" s="137"/>
      <c r="N4" s="4"/>
      <c r="O4" s="138" t="s">
        <v>4</v>
      </c>
      <c r="P4" s="137"/>
      <c r="Q4" s="4"/>
      <c r="R4" s="138" t="s">
        <v>5</v>
      </c>
      <c r="S4" s="137"/>
      <c r="T4" s="4"/>
      <c r="U4" s="138" t="s">
        <v>6</v>
      </c>
      <c r="V4" s="139"/>
    </row>
    <row r="5" spans="1:22" ht="60" customHeight="1">
      <c r="B5" s="9" t="s">
        <v>3</v>
      </c>
      <c r="C5" s="5" t="s">
        <v>4</v>
      </c>
      <c r="D5" s="5" t="s">
        <v>5</v>
      </c>
      <c r="E5" s="5" t="s">
        <v>6</v>
      </c>
      <c r="F5" s="5" t="s">
        <v>7</v>
      </c>
      <c r="G5" s="12" t="s">
        <v>8</v>
      </c>
      <c r="L5" s="15" t="s">
        <v>9</v>
      </c>
      <c r="M5" s="14" t="s">
        <v>10</v>
      </c>
      <c r="N5" s="14"/>
      <c r="O5" s="14" t="s">
        <v>9</v>
      </c>
      <c r="P5" s="14" t="s">
        <v>10</v>
      </c>
      <c r="Q5" s="14"/>
      <c r="R5" s="14" t="s">
        <v>9</v>
      </c>
      <c r="S5" s="14" t="s">
        <v>10</v>
      </c>
      <c r="T5" s="14"/>
      <c r="U5" s="14" t="s">
        <v>9</v>
      </c>
      <c r="V5" s="16" t="s">
        <v>10</v>
      </c>
    </row>
    <row r="6" spans="1:22">
      <c r="A6" s="1" t="s">
        <v>11</v>
      </c>
      <c r="B6" s="29">
        <v>0</v>
      </c>
      <c r="C6" s="30">
        <v>0</v>
      </c>
      <c r="D6" s="30">
        <v>1974.1871121868639</v>
      </c>
      <c r="E6" s="30">
        <v>0</v>
      </c>
      <c r="F6" s="30">
        <v>0</v>
      </c>
      <c r="G6" s="31">
        <f>SUM(AL_FINANCIAL)</f>
        <v>1974.1871121868639</v>
      </c>
      <c r="H6" s="30"/>
      <c r="I6" s="30"/>
      <c r="J6" s="30"/>
      <c r="K6" s="30"/>
      <c r="L6" s="29"/>
      <c r="M6" s="30"/>
      <c r="N6" s="30"/>
      <c r="O6" s="30"/>
      <c r="P6" s="30"/>
      <c r="Q6" s="30"/>
      <c r="R6" s="30"/>
      <c r="S6" s="30"/>
      <c r="T6" s="30"/>
      <c r="U6" s="30"/>
      <c r="V6" s="31"/>
    </row>
    <row r="7" spans="1:22">
      <c r="A7" s="1" t="s">
        <v>12</v>
      </c>
      <c r="B7" s="29">
        <v>0</v>
      </c>
      <c r="C7" s="30">
        <v>0</v>
      </c>
      <c r="D7" s="30">
        <v>0</v>
      </c>
      <c r="E7" s="30">
        <v>0</v>
      </c>
      <c r="F7" s="30">
        <v>0</v>
      </c>
      <c r="G7" s="31">
        <f>SUM(AK_FINANCIAL)</f>
        <v>0</v>
      </c>
      <c r="H7" s="30"/>
      <c r="I7" s="32"/>
      <c r="J7" s="33"/>
      <c r="K7" s="30"/>
      <c r="L7" s="29"/>
      <c r="M7" s="30"/>
      <c r="N7" s="30"/>
      <c r="O7" s="30"/>
      <c r="P7" s="30"/>
      <c r="Q7" s="30"/>
      <c r="R7" s="30"/>
      <c r="S7" s="30"/>
      <c r="T7" s="30"/>
      <c r="U7" s="30"/>
      <c r="V7" s="31"/>
    </row>
    <row r="8" spans="1:22">
      <c r="A8" s="1" t="s">
        <v>13</v>
      </c>
      <c r="B8" s="29">
        <v>0</v>
      </c>
      <c r="C8" s="30">
        <v>0</v>
      </c>
      <c r="D8" s="30">
        <v>502678.16013761819</v>
      </c>
      <c r="E8" s="30">
        <v>0</v>
      </c>
      <c r="F8" s="30">
        <v>0</v>
      </c>
      <c r="G8" s="31">
        <f>SUM(AZ_FINANCIAL)</f>
        <v>502678.16013761819</v>
      </c>
      <c r="H8" s="30"/>
      <c r="I8" s="34" t="s">
        <v>14</v>
      </c>
      <c r="J8" s="35"/>
      <c r="K8" s="30"/>
      <c r="L8" s="29"/>
      <c r="M8" s="30"/>
      <c r="N8" s="30"/>
      <c r="O8" s="30"/>
      <c r="P8" s="30"/>
      <c r="Q8" s="30"/>
      <c r="R8" s="30"/>
      <c r="S8" s="30"/>
      <c r="T8" s="30"/>
      <c r="U8" s="30"/>
      <c r="V8" s="31"/>
    </row>
    <row r="9" spans="1:22">
      <c r="A9" s="1" t="s">
        <v>15</v>
      </c>
      <c r="B9" s="29">
        <v>0</v>
      </c>
      <c r="C9" s="30">
        <v>0</v>
      </c>
      <c r="D9" s="30">
        <v>274464.90939404321</v>
      </c>
      <c r="E9" s="30">
        <v>0</v>
      </c>
      <c r="F9" s="30">
        <v>0</v>
      </c>
      <c r="G9" s="31">
        <f>SUM(AR_FINANCIAL)</f>
        <v>274464.90939404321</v>
      </c>
      <c r="H9" s="30"/>
      <c r="I9" s="34"/>
      <c r="J9" s="35"/>
      <c r="K9" s="30"/>
      <c r="L9" s="29"/>
      <c r="M9" s="30"/>
      <c r="N9" s="30"/>
      <c r="O9" s="30"/>
      <c r="P9" s="30"/>
      <c r="Q9" s="30"/>
      <c r="R9" s="30"/>
      <c r="S9" s="30"/>
      <c r="T9" s="30"/>
      <c r="U9" s="30"/>
      <c r="V9" s="31"/>
    </row>
    <row r="10" spans="1:22">
      <c r="A10" s="1" t="s">
        <v>16</v>
      </c>
      <c r="B10" s="29">
        <v>0</v>
      </c>
      <c r="C10" s="30">
        <v>0</v>
      </c>
      <c r="D10" s="30">
        <v>1457291.37653994</v>
      </c>
      <c r="E10" s="30">
        <v>0</v>
      </c>
      <c r="F10" s="30">
        <v>0</v>
      </c>
      <c r="G10" s="31">
        <f>SUM(CA_FINANCIAL)</f>
        <v>1457291.37653994</v>
      </c>
      <c r="H10" s="30"/>
      <c r="I10" s="34" t="s">
        <v>17</v>
      </c>
      <c r="J10" s="35">
        <v>14469502.151535774</v>
      </c>
      <c r="K10" s="30"/>
      <c r="L10" s="29">
        <v>0</v>
      </c>
      <c r="M10" s="30">
        <v>0</v>
      </c>
      <c r="N10" s="30"/>
      <c r="O10" s="30">
        <v>0</v>
      </c>
      <c r="P10" s="30">
        <v>0</v>
      </c>
      <c r="Q10" s="30"/>
      <c r="R10" s="30">
        <v>1762281</v>
      </c>
      <c r="S10" s="30">
        <v>0</v>
      </c>
      <c r="T10" s="30"/>
      <c r="U10" s="30">
        <v>0</v>
      </c>
      <c r="V10" s="31">
        <v>0</v>
      </c>
    </row>
    <row r="11" spans="1:22">
      <c r="A11" s="1" t="s">
        <v>18</v>
      </c>
      <c r="B11" s="29">
        <v>0</v>
      </c>
      <c r="C11" s="30">
        <v>0</v>
      </c>
      <c r="D11" s="30">
        <v>92321.351375486323</v>
      </c>
      <c r="E11" s="30">
        <v>0</v>
      </c>
      <c r="F11" s="30">
        <v>0</v>
      </c>
      <c r="G11" s="31">
        <f>SUM(CO_FINANCIAL)</f>
        <v>92321.351375486323</v>
      </c>
      <c r="H11" s="30"/>
      <c r="I11" s="34"/>
      <c r="J11" s="35"/>
      <c r="K11" s="30"/>
      <c r="L11" s="29">
        <v>0</v>
      </c>
      <c r="M11" s="30">
        <v>0</v>
      </c>
      <c r="N11" s="30"/>
      <c r="O11" s="30">
        <v>0</v>
      </c>
      <c r="P11" s="30">
        <v>0</v>
      </c>
      <c r="Q11" s="30"/>
      <c r="R11" s="30">
        <v>130000</v>
      </c>
      <c r="S11" s="30">
        <v>0</v>
      </c>
      <c r="T11" s="30"/>
      <c r="U11" s="30">
        <v>0</v>
      </c>
      <c r="V11" s="31">
        <v>0</v>
      </c>
    </row>
    <row r="12" spans="1:22">
      <c r="A12" s="1" t="s">
        <v>19</v>
      </c>
      <c r="B12" s="29">
        <v>0</v>
      </c>
      <c r="C12" s="30">
        <v>0</v>
      </c>
      <c r="D12" s="30">
        <v>204501.94147218423</v>
      </c>
      <c r="E12" s="30">
        <v>0</v>
      </c>
      <c r="F12" s="30">
        <v>0</v>
      </c>
      <c r="G12" s="31">
        <f>SUM(CT_FINANCIAL)</f>
        <v>204501.94147218423</v>
      </c>
      <c r="H12" s="30"/>
      <c r="I12" s="34" t="s">
        <v>20</v>
      </c>
      <c r="J12" s="35"/>
      <c r="K12" s="30"/>
      <c r="L12" s="29">
        <v>0</v>
      </c>
      <c r="M12" s="30">
        <v>0</v>
      </c>
      <c r="N12" s="30"/>
      <c r="O12" s="30">
        <v>0</v>
      </c>
      <c r="P12" s="30">
        <v>0</v>
      </c>
      <c r="Q12" s="30"/>
      <c r="R12" s="30">
        <v>296801</v>
      </c>
      <c r="S12" s="30">
        <v>0</v>
      </c>
      <c r="T12" s="30"/>
      <c r="U12" s="30">
        <v>0</v>
      </c>
      <c r="V12" s="31">
        <v>0</v>
      </c>
    </row>
    <row r="13" spans="1:22">
      <c r="A13" s="1" t="s">
        <v>21</v>
      </c>
      <c r="B13" s="29">
        <v>0</v>
      </c>
      <c r="C13" s="30">
        <v>0</v>
      </c>
      <c r="D13" s="30">
        <v>56829.370141780368</v>
      </c>
      <c r="E13" s="30">
        <v>0</v>
      </c>
      <c r="F13" s="30">
        <v>0</v>
      </c>
      <c r="G13" s="31">
        <f>SUM(DE_FINANCIAL)</f>
        <v>56829.370141780368</v>
      </c>
      <c r="H13" s="30"/>
      <c r="I13" s="34" t="s">
        <v>22</v>
      </c>
      <c r="J13" s="35">
        <v>12500</v>
      </c>
      <c r="K13" s="30"/>
      <c r="L13" s="29"/>
      <c r="M13" s="30"/>
      <c r="N13" s="30"/>
      <c r="O13" s="30"/>
      <c r="P13" s="30"/>
      <c r="Q13" s="30"/>
      <c r="R13" s="30"/>
      <c r="S13" s="30"/>
      <c r="T13" s="30"/>
      <c r="U13" s="30"/>
      <c r="V13" s="31"/>
    </row>
    <row r="14" spans="1:22">
      <c r="A14" s="1" t="s">
        <v>23</v>
      </c>
      <c r="B14" s="29">
        <v>0</v>
      </c>
      <c r="C14" s="30">
        <v>0</v>
      </c>
      <c r="D14" s="30">
        <v>0</v>
      </c>
      <c r="E14" s="30">
        <v>0</v>
      </c>
      <c r="F14" s="30">
        <v>0</v>
      </c>
      <c r="G14" s="31">
        <f>SUM(DC_FINANCIAL)</f>
        <v>0</v>
      </c>
      <c r="H14" s="30"/>
      <c r="I14" s="34" t="s">
        <v>24</v>
      </c>
      <c r="J14" s="35">
        <v>509231.34999999986</v>
      </c>
      <c r="K14" s="30"/>
      <c r="L14" s="29"/>
      <c r="M14" s="30"/>
      <c r="N14" s="30"/>
      <c r="O14" s="30"/>
      <c r="P14" s="30"/>
      <c r="Q14" s="30"/>
      <c r="R14" s="30"/>
      <c r="S14" s="30"/>
      <c r="T14" s="30"/>
      <c r="U14" s="30"/>
      <c r="V14" s="31"/>
    </row>
    <row r="15" spans="1:22">
      <c r="A15" s="1" t="s">
        <v>25</v>
      </c>
      <c r="B15" s="29">
        <v>0</v>
      </c>
      <c r="C15" s="30">
        <v>0</v>
      </c>
      <c r="D15" s="30">
        <v>963998.48311506573</v>
      </c>
      <c r="E15" s="30">
        <v>0</v>
      </c>
      <c r="F15" s="30">
        <v>0</v>
      </c>
      <c r="G15" s="31">
        <f>SUM(FL_FINANCIAL)</f>
        <v>963998.48311506573</v>
      </c>
      <c r="H15" s="30"/>
      <c r="I15" s="34" t="s">
        <v>26</v>
      </c>
      <c r="J15" s="35">
        <v>513738.26137430349</v>
      </c>
      <c r="K15" s="30"/>
      <c r="L15" s="29">
        <v>0</v>
      </c>
      <c r="M15" s="30">
        <v>0</v>
      </c>
      <c r="N15" s="30"/>
      <c r="O15" s="30">
        <v>0</v>
      </c>
      <c r="P15" s="30">
        <v>0</v>
      </c>
      <c r="Q15" s="30"/>
      <c r="R15" s="30">
        <v>1100000</v>
      </c>
      <c r="S15" s="30">
        <v>0</v>
      </c>
      <c r="T15" s="30"/>
      <c r="U15" s="30">
        <v>0</v>
      </c>
      <c r="V15" s="31">
        <v>0</v>
      </c>
    </row>
    <row r="16" spans="1:22">
      <c r="A16" s="1" t="s">
        <v>27</v>
      </c>
      <c r="B16" s="29">
        <v>0</v>
      </c>
      <c r="C16" s="30">
        <v>0</v>
      </c>
      <c r="D16" s="30">
        <v>117296.72000640794</v>
      </c>
      <c r="E16" s="30">
        <v>0</v>
      </c>
      <c r="F16" s="30">
        <v>0</v>
      </c>
      <c r="G16" s="31">
        <f>SUM(GA_FINANCIAL)</f>
        <v>117296.72000640794</v>
      </c>
      <c r="H16" s="30"/>
      <c r="I16" s="34" t="s">
        <v>28</v>
      </c>
      <c r="J16" s="35">
        <v>0</v>
      </c>
      <c r="K16" s="30"/>
      <c r="L16" s="29"/>
      <c r="M16" s="30"/>
      <c r="N16" s="30"/>
      <c r="O16" s="30"/>
      <c r="P16" s="30"/>
      <c r="Q16" s="30"/>
      <c r="R16" s="30"/>
      <c r="S16" s="30"/>
      <c r="T16" s="30"/>
      <c r="U16" s="30"/>
      <c r="V16" s="31"/>
    </row>
    <row r="17" spans="1:22">
      <c r="A17" s="1" t="s">
        <v>29</v>
      </c>
      <c r="B17" s="29">
        <v>0</v>
      </c>
      <c r="C17" s="30">
        <v>0</v>
      </c>
      <c r="D17" s="30">
        <v>274465.59939404321</v>
      </c>
      <c r="E17" s="30">
        <v>0</v>
      </c>
      <c r="F17" s="30">
        <v>0</v>
      </c>
      <c r="G17" s="31">
        <f>SUM(HI_FINANCIAL)</f>
        <v>274465.59939404321</v>
      </c>
      <c r="H17" s="30"/>
      <c r="I17" s="34"/>
      <c r="J17" s="35"/>
      <c r="K17" s="30"/>
      <c r="L17" s="29"/>
      <c r="M17" s="30"/>
      <c r="N17" s="30"/>
      <c r="O17" s="30"/>
      <c r="P17" s="30"/>
      <c r="Q17" s="30"/>
      <c r="R17" s="30"/>
      <c r="S17" s="30"/>
      <c r="T17" s="30"/>
      <c r="U17" s="30"/>
      <c r="V17" s="31"/>
    </row>
    <row r="18" spans="1:22">
      <c r="A18" s="1" t="s">
        <v>30</v>
      </c>
      <c r="B18" s="29">
        <v>0</v>
      </c>
      <c r="C18" s="30">
        <v>0</v>
      </c>
      <c r="D18" s="30">
        <v>0</v>
      </c>
      <c r="E18" s="30">
        <v>0</v>
      </c>
      <c r="F18" s="30">
        <v>0</v>
      </c>
      <c r="G18" s="31">
        <f>SUM(ID_FINANCIAL)</f>
        <v>0</v>
      </c>
      <c r="H18" s="30"/>
      <c r="I18" s="34" t="s">
        <v>31</v>
      </c>
      <c r="J18" s="35"/>
      <c r="K18" s="30"/>
      <c r="L18" s="29"/>
      <c r="M18" s="30"/>
      <c r="N18" s="30"/>
      <c r="O18" s="30"/>
      <c r="P18" s="30"/>
      <c r="Q18" s="30"/>
      <c r="R18" s="30"/>
      <c r="S18" s="30"/>
      <c r="T18" s="30"/>
      <c r="U18" s="30"/>
      <c r="V18" s="31"/>
    </row>
    <row r="19" spans="1:22">
      <c r="A19" s="1" t="s">
        <v>32</v>
      </c>
      <c r="B19" s="29">
        <v>0</v>
      </c>
      <c r="C19" s="30">
        <v>0</v>
      </c>
      <c r="D19" s="30">
        <v>570734.26454439852</v>
      </c>
      <c r="E19" s="30">
        <v>0</v>
      </c>
      <c r="F19" s="30">
        <v>0</v>
      </c>
      <c r="G19" s="31">
        <f>SUM(IL_FINANCIAL)</f>
        <v>570734.26454439852</v>
      </c>
      <c r="H19" s="30"/>
      <c r="I19" s="34" t="s">
        <v>33</v>
      </c>
      <c r="J19" s="35">
        <v>0</v>
      </c>
      <c r="K19" s="30"/>
      <c r="L19" s="29">
        <v>0</v>
      </c>
      <c r="M19" s="30">
        <v>0</v>
      </c>
      <c r="N19" s="30"/>
      <c r="O19" s="30">
        <v>0</v>
      </c>
      <c r="P19" s="30">
        <v>0</v>
      </c>
      <c r="Q19" s="30"/>
      <c r="R19" s="30">
        <v>800000</v>
      </c>
      <c r="S19" s="30">
        <v>0</v>
      </c>
      <c r="T19" s="30"/>
      <c r="U19" s="30">
        <v>0</v>
      </c>
      <c r="V19" s="31">
        <v>0</v>
      </c>
    </row>
    <row r="20" spans="1:22">
      <c r="A20" s="1" t="s">
        <v>34</v>
      </c>
      <c r="B20" s="29">
        <v>0</v>
      </c>
      <c r="C20" s="30">
        <v>0</v>
      </c>
      <c r="D20" s="30">
        <v>78015.302795314841</v>
      </c>
      <c r="E20" s="30">
        <v>0</v>
      </c>
      <c r="F20" s="30">
        <v>0</v>
      </c>
      <c r="G20" s="31">
        <f>SUM(IN_FINANCIAL)</f>
        <v>78015.302795314841</v>
      </c>
      <c r="H20" s="30"/>
      <c r="I20" s="34" t="s">
        <v>35</v>
      </c>
      <c r="J20" s="35">
        <v>-65342.44294836402</v>
      </c>
      <c r="K20" s="30"/>
      <c r="L20" s="29"/>
      <c r="M20" s="30"/>
      <c r="N20" s="30"/>
      <c r="O20" s="30"/>
      <c r="P20" s="30"/>
      <c r="Q20" s="30"/>
      <c r="R20" s="30"/>
      <c r="S20" s="30"/>
      <c r="T20" s="30"/>
      <c r="U20" s="30"/>
      <c r="V20" s="31"/>
    </row>
    <row r="21" spans="1:22">
      <c r="A21" s="1" t="s">
        <v>36</v>
      </c>
      <c r="B21" s="29">
        <v>0</v>
      </c>
      <c r="C21" s="30">
        <v>0</v>
      </c>
      <c r="D21" s="30">
        <v>73893.564773528167</v>
      </c>
      <c r="E21" s="30">
        <v>0</v>
      </c>
      <c r="F21" s="30">
        <v>0</v>
      </c>
      <c r="G21" s="31">
        <f>SUM(IA_FINANCIAL)</f>
        <v>73893.564773528167</v>
      </c>
      <c r="H21" s="30"/>
      <c r="I21" s="34" t="s">
        <v>37</v>
      </c>
      <c r="J21" s="35"/>
      <c r="K21" s="30"/>
      <c r="L21" s="29"/>
      <c r="M21" s="30"/>
      <c r="N21" s="30"/>
      <c r="O21" s="30"/>
      <c r="P21" s="30"/>
      <c r="Q21" s="30"/>
      <c r="R21" s="30"/>
      <c r="S21" s="30"/>
      <c r="T21" s="30"/>
      <c r="U21" s="30"/>
      <c r="V21" s="31"/>
    </row>
    <row r="22" spans="1:22">
      <c r="A22" s="1" t="s">
        <v>38</v>
      </c>
      <c r="B22" s="29">
        <v>0</v>
      </c>
      <c r="C22" s="30">
        <v>0</v>
      </c>
      <c r="D22" s="30">
        <v>0</v>
      </c>
      <c r="E22" s="30">
        <v>0</v>
      </c>
      <c r="F22" s="30">
        <v>0</v>
      </c>
      <c r="G22" s="31">
        <f>SUM(KS_FINANCIAL)</f>
        <v>0</v>
      </c>
      <c r="H22" s="30"/>
      <c r="I22" s="34" t="s">
        <v>39</v>
      </c>
      <c r="J22" s="35">
        <v>-914193.94212117034</v>
      </c>
      <c r="K22" s="30"/>
      <c r="L22" s="29"/>
      <c r="M22" s="30"/>
      <c r="N22" s="30"/>
      <c r="O22" s="30"/>
      <c r="P22" s="30"/>
      <c r="Q22" s="30"/>
      <c r="R22" s="30"/>
      <c r="S22" s="30"/>
      <c r="T22" s="30"/>
      <c r="U22" s="30"/>
      <c r="V22" s="31"/>
    </row>
    <row r="23" spans="1:22">
      <c r="A23" s="1" t="s">
        <v>40</v>
      </c>
      <c r="B23" s="29">
        <v>0</v>
      </c>
      <c r="C23" s="30">
        <v>0</v>
      </c>
      <c r="D23" s="30">
        <v>107049.76472263463</v>
      </c>
      <c r="E23" s="30">
        <v>0</v>
      </c>
      <c r="F23" s="30">
        <v>0</v>
      </c>
      <c r="G23" s="31">
        <f>SUM(KY_FINANCIAL)</f>
        <v>107049.76472263463</v>
      </c>
      <c r="H23" s="30"/>
      <c r="I23" s="34" t="s">
        <v>41</v>
      </c>
      <c r="J23" s="35"/>
      <c r="K23" s="30"/>
      <c r="L23" s="29"/>
      <c r="M23" s="30"/>
      <c r="N23" s="30"/>
      <c r="O23" s="30"/>
      <c r="P23" s="30"/>
      <c r="Q23" s="30"/>
      <c r="R23" s="30"/>
      <c r="S23" s="30"/>
      <c r="T23" s="30"/>
      <c r="U23" s="30"/>
      <c r="V23" s="31"/>
    </row>
    <row r="24" spans="1:22">
      <c r="A24" s="1" t="s">
        <v>42</v>
      </c>
      <c r="B24" s="29">
        <v>0</v>
      </c>
      <c r="C24" s="30">
        <v>0</v>
      </c>
      <c r="D24" s="30">
        <v>75371.516667122007</v>
      </c>
      <c r="E24" s="30">
        <v>0</v>
      </c>
      <c r="F24" s="30">
        <v>0</v>
      </c>
      <c r="G24" s="31">
        <f>SUM(LA_FINANCIAL)</f>
        <v>75371.516667122007</v>
      </c>
      <c r="H24" s="30"/>
      <c r="I24" s="34" t="s">
        <v>43</v>
      </c>
      <c r="J24" s="35">
        <v>2970819.3260990791</v>
      </c>
      <c r="K24" s="30"/>
      <c r="L24" s="29"/>
      <c r="M24" s="30"/>
      <c r="N24" s="30"/>
      <c r="O24" s="30"/>
      <c r="P24" s="30"/>
      <c r="Q24" s="30"/>
      <c r="R24" s="30"/>
      <c r="S24" s="30"/>
      <c r="T24" s="30"/>
      <c r="U24" s="30"/>
      <c r="V24" s="31"/>
    </row>
    <row r="25" spans="1:22">
      <c r="A25" s="1" t="s">
        <v>44</v>
      </c>
      <c r="B25" s="29">
        <v>0</v>
      </c>
      <c r="C25" s="30">
        <v>0</v>
      </c>
      <c r="D25" s="30">
        <v>76.075533810841648</v>
      </c>
      <c r="E25" s="30">
        <v>0</v>
      </c>
      <c r="F25" s="30">
        <v>0</v>
      </c>
      <c r="G25" s="31">
        <f>SUM(ME_FINANCIAL)</f>
        <v>76.075533810841648</v>
      </c>
      <c r="H25" s="30"/>
      <c r="I25" s="34"/>
      <c r="J25" s="35"/>
      <c r="K25" s="30"/>
      <c r="L25" s="29"/>
      <c r="M25" s="30"/>
      <c r="N25" s="30"/>
      <c r="O25" s="30"/>
      <c r="P25" s="30"/>
      <c r="Q25" s="30"/>
      <c r="R25" s="30"/>
      <c r="S25" s="30"/>
      <c r="T25" s="30"/>
      <c r="U25" s="30"/>
      <c r="V25" s="31"/>
    </row>
    <row r="26" spans="1:22">
      <c r="A26" s="1" t="s">
        <v>45</v>
      </c>
      <c r="B26" s="29">
        <v>0</v>
      </c>
      <c r="C26" s="30">
        <v>0</v>
      </c>
      <c r="D26" s="30">
        <v>716179.74560382403</v>
      </c>
      <c r="E26" s="30">
        <v>0</v>
      </c>
      <c r="F26" s="30">
        <v>0</v>
      </c>
      <c r="G26" s="31">
        <f>SUM(MD_FINANCIAL)</f>
        <v>716179.74560382403</v>
      </c>
      <c r="H26" s="30"/>
      <c r="I26" s="34" t="s">
        <v>46</v>
      </c>
      <c r="J26" s="35">
        <f>SUM(ADD_FINANCIAL)-SUM(LESS_FINANCIAL)</f>
        <v>13513688.821880532</v>
      </c>
      <c r="K26" s="30"/>
      <c r="L26" s="29">
        <v>0</v>
      </c>
      <c r="M26" s="30">
        <v>0</v>
      </c>
      <c r="N26" s="30"/>
      <c r="O26" s="30">
        <v>0</v>
      </c>
      <c r="P26" s="30">
        <v>0</v>
      </c>
      <c r="Q26" s="30"/>
      <c r="R26" s="30">
        <v>1000000</v>
      </c>
      <c r="S26" s="30">
        <v>0</v>
      </c>
      <c r="T26" s="30"/>
      <c r="U26" s="30">
        <v>0</v>
      </c>
      <c r="V26" s="31">
        <v>0</v>
      </c>
    </row>
    <row r="27" spans="1:22">
      <c r="A27" s="1" t="s">
        <v>47</v>
      </c>
      <c r="B27" s="29">
        <v>0</v>
      </c>
      <c r="C27" s="30">
        <v>0</v>
      </c>
      <c r="D27" s="30">
        <v>151114.53628709496</v>
      </c>
      <c r="E27" s="30">
        <v>0</v>
      </c>
      <c r="F27" s="30">
        <v>0</v>
      </c>
      <c r="G27" s="31">
        <f>SUM(MA_FINANCIAL)</f>
        <v>151114.53628709496</v>
      </c>
      <c r="H27" s="30"/>
      <c r="I27" s="34" t="s">
        <v>48</v>
      </c>
      <c r="J27" s="35">
        <f>SUM(ALL_BLOCKS)</f>
        <v>13513688.821880531</v>
      </c>
      <c r="K27" s="30"/>
      <c r="L27" s="29"/>
      <c r="M27" s="30"/>
      <c r="N27" s="30"/>
      <c r="O27" s="30"/>
      <c r="P27" s="30"/>
      <c r="Q27" s="30"/>
      <c r="R27" s="30"/>
      <c r="S27" s="30"/>
      <c r="T27" s="30"/>
      <c r="U27" s="30"/>
      <c r="V27" s="31"/>
    </row>
    <row r="28" spans="1:22">
      <c r="A28" s="1" t="s">
        <v>49</v>
      </c>
      <c r="B28" s="29">
        <v>0</v>
      </c>
      <c r="C28" s="30">
        <v>0</v>
      </c>
      <c r="D28" s="30">
        <v>1000181.9325412702</v>
      </c>
      <c r="E28" s="30">
        <v>0</v>
      </c>
      <c r="F28" s="30">
        <v>0</v>
      </c>
      <c r="G28" s="31">
        <f>SUM(MI_FINANCIAL)</f>
        <v>1000181.9325412702</v>
      </c>
      <c r="H28" s="30"/>
      <c r="I28" s="36"/>
      <c r="J28" s="37"/>
      <c r="K28" s="30"/>
      <c r="L28" s="29"/>
      <c r="M28" s="30"/>
      <c r="N28" s="30"/>
      <c r="O28" s="30"/>
      <c r="P28" s="30"/>
      <c r="Q28" s="30"/>
      <c r="R28" s="30"/>
      <c r="S28" s="30"/>
      <c r="T28" s="30"/>
      <c r="U28" s="30"/>
      <c r="V28" s="31"/>
    </row>
    <row r="29" spans="1:22">
      <c r="A29" s="1" t="s">
        <v>50</v>
      </c>
      <c r="B29" s="29">
        <v>0</v>
      </c>
      <c r="C29" s="30">
        <v>0</v>
      </c>
      <c r="D29" s="30">
        <v>224399.84664049346</v>
      </c>
      <c r="E29" s="30">
        <v>0</v>
      </c>
      <c r="F29" s="30">
        <v>0</v>
      </c>
      <c r="G29" s="31">
        <f>SUM(MN_FINANCIAL)</f>
        <v>224399.84664049346</v>
      </c>
      <c r="H29" s="30"/>
      <c r="I29" s="30"/>
      <c r="J29" s="30"/>
      <c r="K29" s="30"/>
      <c r="L29" s="29"/>
      <c r="M29" s="30"/>
      <c r="N29" s="30"/>
      <c r="O29" s="30"/>
      <c r="P29" s="30"/>
      <c r="Q29" s="30"/>
      <c r="R29" s="30"/>
      <c r="S29" s="30"/>
      <c r="T29" s="30"/>
      <c r="U29" s="30"/>
      <c r="V29" s="31"/>
    </row>
    <row r="30" spans="1:22">
      <c r="A30" s="1" t="s">
        <v>51</v>
      </c>
      <c r="B30" s="29">
        <v>0</v>
      </c>
      <c r="C30" s="30">
        <v>0</v>
      </c>
      <c r="D30" s="30">
        <v>27290.099716497785</v>
      </c>
      <c r="E30" s="30">
        <v>0</v>
      </c>
      <c r="F30" s="30">
        <v>0</v>
      </c>
      <c r="G30" s="31">
        <f>SUM(MS_FINANCIAL)</f>
        <v>27290.099716497785</v>
      </c>
      <c r="H30" s="30"/>
      <c r="I30" s="30"/>
      <c r="J30" s="30"/>
      <c r="K30" s="30"/>
      <c r="L30" s="29"/>
      <c r="M30" s="30"/>
      <c r="N30" s="30"/>
      <c r="O30" s="30"/>
      <c r="P30" s="30"/>
      <c r="Q30" s="30"/>
      <c r="R30" s="30"/>
      <c r="S30" s="30"/>
      <c r="T30" s="30"/>
      <c r="U30" s="30"/>
      <c r="V30" s="31"/>
    </row>
    <row r="31" spans="1:22">
      <c r="A31" s="1" t="s">
        <v>52</v>
      </c>
      <c r="B31" s="29">
        <v>0</v>
      </c>
      <c r="C31" s="30">
        <v>0</v>
      </c>
      <c r="D31" s="30">
        <v>123359.02773188947</v>
      </c>
      <c r="E31" s="30">
        <v>0</v>
      </c>
      <c r="F31" s="30">
        <v>0</v>
      </c>
      <c r="G31" s="31">
        <f>SUM(MO_FINANCIAL)</f>
        <v>123359.02773188947</v>
      </c>
      <c r="H31" s="30"/>
      <c r="I31" s="30"/>
      <c r="J31" s="30"/>
      <c r="K31" s="30"/>
      <c r="L31" s="29"/>
      <c r="M31" s="30"/>
      <c r="N31" s="30"/>
      <c r="O31" s="30"/>
      <c r="P31" s="30"/>
      <c r="Q31" s="30"/>
      <c r="R31" s="30"/>
      <c r="S31" s="30"/>
      <c r="T31" s="30"/>
      <c r="U31" s="30"/>
      <c r="V31" s="31"/>
    </row>
    <row r="32" spans="1:22">
      <c r="A32" s="1" t="s">
        <v>53</v>
      </c>
      <c r="B32" s="29">
        <v>0</v>
      </c>
      <c r="C32" s="30">
        <v>0</v>
      </c>
      <c r="D32" s="30">
        <v>0</v>
      </c>
      <c r="E32" s="30">
        <v>0</v>
      </c>
      <c r="F32" s="30">
        <v>0</v>
      </c>
      <c r="G32" s="31">
        <f>SUM(MT_FINANCIAL)</f>
        <v>0</v>
      </c>
      <c r="H32" s="30"/>
      <c r="I32" s="30"/>
      <c r="J32" s="30"/>
      <c r="K32" s="30"/>
      <c r="L32" s="29"/>
      <c r="M32" s="30"/>
      <c r="N32" s="30"/>
      <c r="O32" s="30"/>
      <c r="P32" s="30"/>
      <c r="Q32" s="30"/>
      <c r="R32" s="30"/>
      <c r="S32" s="30"/>
      <c r="T32" s="30"/>
      <c r="U32" s="30"/>
      <c r="V32" s="31"/>
    </row>
    <row r="33" spans="1:22">
      <c r="A33" s="1" t="s">
        <v>54</v>
      </c>
      <c r="B33" s="29">
        <v>0</v>
      </c>
      <c r="C33" s="30">
        <v>0</v>
      </c>
      <c r="D33" s="30">
        <v>0</v>
      </c>
      <c r="E33" s="30">
        <v>0</v>
      </c>
      <c r="F33" s="30">
        <v>0</v>
      </c>
      <c r="G33" s="31">
        <f>SUM(NE_FINANCIAL)</f>
        <v>0</v>
      </c>
      <c r="H33" s="30"/>
      <c r="I33" s="30"/>
      <c r="J33" s="30"/>
      <c r="K33" s="30"/>
      <c r="L33" s="29"/>
      <c r="M33" s="30"/>
      <c r="N33" s="30"/>
      <c r="O33" s="30"/>
      <c r="P33" s="30"/>
      <c r="Q33" s="30"/>
      <c r="R33" s="30"/>
      <c r="S33" s="30"/>
      <c r="T33" s="30"/>
      <c r="U33" s="30"/>
      <c r="V33" s="31"/>
    </row>
    <row r="34" spans="1:22">
      <c r="A34" s="1" t="s">
        <v>55</v>
      </c>
      <c r="B34" s="29">
        <v>0</v>
      </c>
      <c r="C34" s="30">
        <v>0</v>
      </c>
      <c r="D34" s="30">
        <v>196794.26488363635</v>
      </c>
      <c r="E34" s="30">
        <v>0</v>
      </c>
      <c r="F34" s="30">
        <v>0</v>
      </c>
      <c r="G34" s="31">
        <f>SUM(NV_FINANCIAL)</f>
        <v>196794.26488363635</v>
      </c>
      <c r="H34" s="30"/>
      <c r="I34" s="30"/>
      <c r="J34" s="30"/>
      <c r="K34" s="30"/>
      <c r="L34" s="29"/>
      <c r="M34" s="30"/>
      <c r="N34" s="30"/>
      <c r="O34" s="30"/>
      <c r="P34" s="30"/>
      <c r="Q34" s="30"/>
      <c r="R34" s="30"/>
      <c r="S34" s="30"/>
      <c r="T34" s="30"/>
      <c r="U34" s="30"/>
      <c r="V34" s="31"/>
    </row>
    <row r="35" spans="1:22">
      <c r="A35" s="1" t="s">
        <v>56</v>
      </c>
      <c r="B35" s="29">
        <v>0</v>
      </c>
      <c r="C35" s="30">
        <v>0</v>
      </c>
      <c r="D35" s="30">
        <v>159276.15156896456</v>
      </c>
      <c r="E35" s="30">
        <v>0</v>
      </c>
      <c r="F35" s="30">
        <v>0</v>
      </c>
      <c r="G35" s="31">
        <f>SUM(NH_FINANCIAL)</f>
        <v>159276.15156896456</v>
      </c>
      <c r="H35" s="30"/>
      <c r="I35" s="30"/>
      <c r="J35" s="30"/>
      <c r="K35" s="30"/>
      <c r="L35" s="29">
        <v>0</v>
      </c>
      <c r="M35" s="30">
        <v>0</v>
      </c>
      <c r="N35" s="30"/>
      <c r="O35" s="30">
        <v>0</v>
      </c>
      <c r="P35" s="30">
        <v>0</v>
      </c>
      <c r="Q35" s="30"/>
      <c r="R35" s="30">
        <v>167065</v>
      </c>
      <c r="S35" s="30">
        <v>0</v>
      </c>
      <c r="T35" s="30"/>
      <c r="U35" s="30">
        <v>0</v>
      </c>
      <c r="V35" s="31">
        <v>0</v>
      </c>
    </row>
    <row r="36" spans="1:22">
      <c r="A36" s="1" t="s">
        <v>57</v>
      </c>
      <c r="B36" s="29">
        <v>0</v>
      </c>
      <c r="C36" s="30">
        <v>0</v>
      </c>
      <c r="D36" s="30">
        <v>513661.48671633628</v>
      </c>
      <c r="E36" s="30">
        <v>0</v>
      </c>
      <c r="F36" s="30">
        <v>0</v>
      </c>
      <c r="G36" s="31">
        <f>SUM(NJ_FINANCIAL)</f>
        <v>513661.48671633628</v>
      </c>
      <c r="H36" s="30"/>
      <c r="I36" s="30"/>
      <c r="J36" s="30"/>
      <c r="K36" s="30"/>
      <c r="L36" s="29"/>
      <c r="M36" s="30"/>
      <c r="N36" s="30"/>
      <c r="O36" s="30"/>
      <c r="P36" s="30"/>
      <c r="Q36" s="30"/>
      <c r="R36" s="30"/>
      <c r="S36" s="30"/>
      <c r="T36" s="30"/>
      <c r="U36" s="30"/>
      <c r="V36" s="31"/>
    </row>
    <row r="37" spans="1:22">
      <c r="A37" s="1" t="s">
        <v>58</v>
      </c>
      <c r="B37" s="29">
        <v>0</v>
      </c>
      <c r="C37" s="30">
        <v>0</v>
      </c>
      <c r="D37" s="30">
        <v>232100.23321028016</v>
      </c>
      <c r="E37" s="30">
        <v>0</v>
      </c>
      <c r="F37" s="30">
        <v>0</v>
      </c>
      <c r="G37" s="31">
        <f>SUM(NM_FINANCIAL)</f>
        <v>232100.23321028016</v>
      </c>
      <c r="H37" s="30"/>
      <c r="I37" s="30"/>
      <c r="J37" s="30"/>
      <c r="K37" s="30"/>
      <c r="L37" s="29">
        <v>0</v>
      </c>
      <c r="M37" s="30">
        <v>0</v>
      </c>
      <c r="N37" s="30"/>
      <c r="O37" s="30">
        <v>0</v>
      </c>
      <c r="P37" s="30">
        <v>0</v>
      </c>
      <c r="Q37" s="30"/>
      <c r="R37" s="30">
        <v>321212</v>
      </c>
      <c r="S37" s="30">
        <v>9982</v>
      </c>
      <c r="T37" s="30"/>
      <c r="U37" s="30">
        <v>0</v>
      </c>
      <c r="V37" s="31">
        <v>0</v>
      </c>
    </row>
    <row r="38" spans="1:22">
      <c r="A38" s="1" t="s">
        <v>59</v>
      </c>
      <c r="B38" s="29">
        <v>0</v>
      </c>
      <c r="C38" s="30">
        <v>0</v>
      </c>
      <c r="D38" s="30">
        <v>0</v>
      </c>
      <c r="E38" s="30">
        <v>0</v>
      </c>
      <c r="F38" s="30">
        <v>0</v>
      </c>
      <c r="G38" s="31">
        <f>SUM(NY_FINANCIAL)</f>
        <v>0</v>
      </c>
      <c r="H38" s="30"/>
      <c r="I38" s="30"/>
      <c r="J38" s="30"/>
      <c r="K38" s="30"/>
      <c r="L38" s="29"/>
      <c r="M38" s="30"/>
      <c r="N38" s="30"/>
      <c r="O38" s="30"/>
      <c r="P38" s="30"/>
      <c r="Q38" s="30"/>
      <c r="R38" s="30"/>
      <c r="S38" s="30"/>
      <c r="T38" s="30"/>
      <c r="U38" s="30"/>
      <c r="V38" s="31"/>
    </row>
    <row r="39" spans="1:22">
      <c r="A39" s="1" t="s">
        <v>60</v>
      </c>
      <c r="B39" s="29">
        <v>0</v>
      </c>
      <c r="C39" s="30">
        <v>0</v>
      </c>
      <c r="D39" s="30">
        <v>815924.51173746656</v>
      </c>
      <c r="E39" s="30">
        <v>0</v>
      </c>
      <c r="F39" s="30">
        <v>0</v>
      </c>
      <c r="G39" s="31">
        <f>SUM(NC_FINANCIAL)</f>
        <v>815924.51173746656</v>
      </c>
      <c r="H39" s="30"/>
      <c r="I39" s="30"/>
      <c r="J39" s="30"/>
      <c r="K39" s="30"/>
      <c r="L39" s="29">
        <v>0</v>
      </c>
      <c r="M39" s="30">
        <v>0</v>
      </c>
      <c r="N39" s="30"/>
      <c r="O39" s="30">
        <v>0</v>
      </c>
      <c r="P39" s="30">
        <v>0</v>
      </c>
      <c r="Q39" s="30"/>
      <c r="R39" s="30">
        <v>1000000</v>
      </c>
      <c r="S39" s="30">
        <v>0</v>
      </c>
      <c r="T39" s="30"/>
      <c r="U39" s="30">
        <v>0</v>
      </c>
      <c r="V39" s="31">
        <v>0</v>
      </c>
    </row>
    <row r="40" spans="1:22">
      <c r="A40" s="1" t="s">
        <v>61</v>
      </c>
      <c r="B40" s="29">
        <v>0</v>
      </c>
      <c r="C40" s="30">
        <v>0</v>
      </c>
      <c r="D40" s="30">
        <v>0</v>
      </c>
      <c r="E40" s="30">
        <v>0</v>
      </c>
      <c r="F40" s="30">
        <v>0</v>
      </c>
      <c r="G40" s="31">
        <f>SUM(ND_FINANCIAL)</f>
        <v>0</v>
      </c>
      <c r="H40" s="30"/>
      <c r="I40" s="30"/>
      <c r="J40" s="30"/>
      <c r="K40" s="30"/>
      <c r="L40" s="29"/>
      <c r="M40" s="30"/>
      <c r="N40" s="30"/>
      <c r="O40" s="30"/>
      <c r="P40" s="30"/>
      <c r="Q40" s="30"/>
      <c r="R40" s="30"/>
      <c r="S40" s="30"/>
      <c r="T40" s="30"/>
      <c r="U40" s="30"/>
      <c r="V40" s="31"/>
    </row>
    <row r="41" spans="1:22">
      <c r="A41" s="1" t="s">
        <v>62</v>
      </c>
      <c r="B41" s="29">
        <v>0</v>
      </c>
      <c r="C41" s="30">
        <v>0</v>
      </c>
      <c r="D41" s="30">
        <v>1365665.5711806675</v>
      </c>
      <c r="E41" s="30">
        <v>0</v>
      </c>
      <c r="F41" s="30">
        <v>0</v>
      </c>
      <c r="G41" s="31">
        <f>SUM(OH_FINANCIAL)</f>
        <v>1365665.5711806675</v>
      </c>
      <c r="H41" s="30"/>
      <c r="I41" s="30"/>
      <c r="J41" s="30"/>
      <c r="K41" s="30"/>
      <c r="L41" s="29">
        <v>0</v>
      </c>
      <c r="M41" s="30">
        <v>0</v>
      </c>
      <c r="N41" s="30"/>
      <c r="O41" s="30">
        <v>0</v>
      </c>
      <c r="P41" s="30">
        <v>0</v>
      </c>
      <c r="Q41" s="30"/>
      <c r="R41" s="30">
        <v>1700000</v>
      </c>
      <c r="S41" s="30">
        <v>0</v>
      </c>
      <c r="T41" s="30"/>
      <c r="U41" s="30">
        <v>0</v>
      </c>
      <c r="V41" s="31">
        <v>0</v>
      </c>
    </row>
    <row r="42" spans="1:22">
      <c r="A42" s="1" t="s">
        <v>63</v>
      </c>
      <c r="B42" s="29">
        <v>0</v>
      </c>
      <c r="C42" s="30">
        <v>0</v>
      </c>
      <c r="D42" s="30">
        <v>0</v>
      </c>
      <c r="E42" s="30">
        <v>0</v>
      </c>
      <c r="F42" s="30">
        <v>0</v>
      </c>
      <c r="G42" s="31">
        <f>SUM(OK_FINANCIAL)</f>
        <v>0</v>
      </c>
      <c r="H42" s="30"/>
      <c r="I42" s="30"/>
      <c r="J42" s="30"/>
      <c r="K42" s="30"/>
      <c r="L42" s="29"/>
      <c r="M42" s="30"/>
      <c r="N42" s="30"/>
      <c r="O42" s="30"/>
      <c r="P42" s="30"/>
      <c r="Q42" s="30"/>
      <c r="R42" s="30"/>
      <c r="S42" s="30"/>
      <c r="T42" s="30"/>
      <c r="U42" s="30"/>
      <c r="V42" s="31"/>
    </row>
    <row r="43" spans="1:22">
      <c r="A43" s="1" t="s">
        <v>64</v>
      </c>
      <c r="B43" s="29">
        <v>0</v>
      </c>
      <c r="C43" s="30">
        <v>0</v>
      </c>
      <c r="D43" s="30">
        <v>48342.995480381323</v>
      </c>
      <c r="E43" s="30">
        <v>0</v>
      </c>
      <c r="F43" s="30">
        <v>0</v>
      </c>
      <c r="G43" s="31">
        <f>SUM(OR_FINANCIAL)</f>
        <v>48342.995480381323</v>
      </c>
      <c r="H43" s="30"/>
      <c r="I43" s="30"/>
      <c r="J43" s="30"/>
      <c r="K43" s="30"/>
      <c r="L43" s="29">
        <v>0</v>
      </c>
      <c r="M43" s="30">
        <v>0</v>
      </c>
      <c r="N43" s="30"/>
      <c r="O43" s="30">
        <v>0</v>
      </c>
      <c r="P43" s="30">
        <v>0</v>
      </c>
      <c r="Q43" s="30"/>
      <c r="R43" s="30">
        <v>65000</v>
      </c>
      <c r="S43" s="30">
        <v>0</v>
      </c>
      <c r="T43" s="30"/>
      <c r="U43" s="30">
        <v>0</v>
      </c>
      <c r="V43" s="31">
        <v>0</v>
      </c>
    </row>
    <row r="44" spans="1:22">
      <c r="A44" s="1" t="s">
        <v>65</v>
      </c>
      <c r="B44" s="29">
        <v>0</v>
      </c>
      <c r="C44" s="30">
        <v>0</v>
      </c>
      <c r="D44" s="30">
        <v>852954.80171338865</v>
      </c>
      <c r="E44" s="30">
        <v>0</v>
      </c>
      <c r="F44" s="30">
        <v>0</v>
      </c>
      <c r="G44" s="31">
        <f>SUM(PA_FINANCIAL)</f>
        <v>852954.80171338865</v>
      </c>
      <c r="H44" s="30"/>
      <c r="I44" s="30"/>
      <c r="J44" s="30"/>
      <c r="K44" s="30"/>
      <c r="L44" s="29">
        <v>0</v>
      </c>
      <c r="M44" s="30">
        <v>0</v>
      </c>
      <c r="N44" s="30"/>
      <c r="O44" s="30">
        <v>0</v>
      </c>
      <c r="P44" s="30">
        <v>0</v>
      </c>
      <c r="Q44" s="30"/>
      <c r="R44" s="30">
        <v>546000</v>
      </c>
      <c r="S44" s="30">
        <v>0</v>
      </c>
      <c r="T44" s="30"/>
      <c r="U44" s="30">
        <v>0</v>
      </c>
      <c r="V44" s="31">
        <v>0</v>
      </c>
    </row>
    <row r="45" spans="1:22">
      <c r="A45" s="1" t="s">
        <v>66</v>
      </c>
      <c r="B45" s="29">
        <v>0</v>
      </c>
      <c r="C45" s="30">
        <v>0</v>
      </c>
      <c r="D45" s="30">
        <v>0</v>
      </c>
      <c r="E45" s="30">
        <v>0</v>
      </c>
      <c r="F45" s="30">
        <v>0</v>
      </c>
      <c r="G45" s="31">
        <f>SUM(PR_FINANCIAL)</f>
        <v>0</v>
      </c>
      <c r="H45" s="30"/>
      <c r="I45" s="30"/>
      <c r="J45" s="30"/>
      <c r="K45" s="30"/>
      <c r="L45" s="29"/>
      <c r="M45" s="30"/>
      <c r="N45" s="30"/>
      <c r="O45" s="30"/>
      <c r="P45" s="30"/>
      <c r="Q45" s="30"/>
      <c r="R45" s="30"/>
      <c r="S45" s="30"/>
      <c r="T45" s="30"/>
      <c r="U45" s="30"/>
      <c r="V45" s="31"/>
    </row>
    <row r="46" spans="1:22">
      <c r="A46" s="1" t="s">
        <v>67</v>
      </c>
      <c r="B46" s="29">
        <v>0</v>
      </c>
      <c r="C46" s="30">
        <v>0</v>
      </c>
      <c r="D46" s="30">
        <v>59070.394457545772</v>
      </c>
      <c r="E46" s="30">
        <v>0</v>
      </c>
      <c r="F46" s="30">
        <v>0</v>
      </c>
      <c r="G46" s="31">
        <f>SUM(RI_FINANCIAL)</f>
        <v>59070.394457545772</v>
      </c>
      <c r="H46" s="30"/>
      <c r="I46" s="30"/>
      <c r="J46" s="30"/>
      <c r="K46" s="30"/>
      <c r="L46" s="29"/>
      <c r="M46" s="30"/>
      <c r="N46" s="30"/>
      <c r="O46" s="30"/>
      <c r="P46" s="30"/>
      <c r="Q46" s="30"/>
      <c r="R46" s="30"/>
      <c r="S46" s="30"/>
      <c r="T46" s="30"/>
      <c r="U46" s="30"/>
      <c r="V46" s="31"/>
    </row>
    <row r="47" spans="1:22">
      <c r="A47" s="1" t="s">
        <v>68</v>
      </c>
      <c r="B47" s="29">
        <v>0</v>
      </c>
      <c r="C47" s="30">
        <v>0</v>
      </c>
      <c r="D47" s="30">
        <v>419217.72072114929</v>
      </c>
      <c r="E47" s="30">
        <v>0</v>
      </c>
      <c r="F47" s="30">
        <v>0</v>
      </c>
      <c r="G47" s="31">
        <f>SUM(SC_FINANCIAL)</f>
        <v>419217.72072114929</v>
      </c>
      <c r="H47" s="30"/>
      <c r="I47" s="30"/>
      <c r="J47" s="30"/>
      <c r="K47" s="30"/>
      <c r="L47" s="29"/>
      <c r="M47" s="30"/>
      <c r="N47" s="30"/>
      <c r="O47" s="30"/>
      <c r="P47" s="30"/>
      <c r="Q47" s="30"/>
      <c r="R47" s="30"/>
      <c r="S47" s="30"/>
      <c r="T47" s="30"/>
      <c r="U47" s="30"/>
      <c r="V47" s="31"/>
    </row>
    <row r="48" spans="1:22">
      <c r="A48" s="1" t="s">
        <v>69</v>
      </c>
      <c r="B48" s="29">
        <v>0</v>
      </c>
      <c r="C48" s="30">
        <v>0</v>
      </c>
      <c r="D48" s="30">
        <v>0</v>
      </c>
      <c r="E48" s="30">
        <v>0</v>
      </c>
      <c r="F48" s="30">
        <v>0</v>
      </c>
      <c r="G48" s="31">
        <f>SUM(SD_FINANCIAL)</f>
        <v>0</v>
      </c>
      <c r="H48" s="30"/>
      <c r="I48" s="30"/>
      <c r="J48" s="30"/>
      <c r="K48" s="30"/>
      <c r="L48" s="29"/>
      <c r="M48" s="30"/>
      <c r="N48" s="30"/>
      <c r="O48" s="30"/>
      <c r="P48" s="30"/>
      <c r="Q48" s="30"/>
      <c r="R48" s="30"/>
      <c r="S48" s="30"/>
      <c r="T48" s="30"/>
      <c r="U48" s="30"/>
      <c r="V48" s="31"/>
    </row>
    <row r="49" spans="1:22">
      <c r="A49" s="1" t="s">
        <v>70</v>
      </c>
      <c r="B49" s="29">
        <v>0</v>
      </c>
      <c r="C49" s="30">
        <v>0</v>
      </c>
      <c r="D49" s="30">
        <v>119627.49467230095</v>
      </c>
      <c r="E49" s="30">
        <v>0</v>
      </c>
      <c r="F49" s="30">
        <v>0</v>
      </c>
      <c r="G49" s="31">
        <f>SUM(TN_FINANCIAL)</f>
        <v>119627.49467230095</v>
      </c>
      <c r="H49" s="30"/>
      <c r="I49" s="30"/>
      <c r="J49" s="30"/>
      <c r="K49" s="30"/>
      <c r="L49" s="29"/>
      <c r="M49" s="30"/>
      <c r="N49" s="30"/>
      <c r="O49" s="30"/>
      <c r="P49" s="30"/>
      <c r="Q49" s="30"/>
      <c r="R49" s="30"/>
      <c r="S49" s="30"/>
      <c r="T49" s="30"/>
      <c r="U49" s="30"/>
      <c r="V49" s="31"/>
    </row>
    <row r="50" spans="1:22">
      <c r="A50" s="1" t="s">
        <v>71</v>
      </c>
      <c r="B50" s="29">
        <v>0</v>
      </c>
      <c r="C50" s="30">
        <v>0</v>
      </c>
      <c r="D50" s="30">
        <v>748243.44845890161</v>
      </c>
      <c r="E50" s="30">
        <v>0</v>
      </c>
      <c r="F50" s="30">
        <v>0</v>
      </c>
      <c r="G50" s="31">
        <f>SUM(TX_FINANCIAL)</f>
        <v>748243.44845890161</v>
      </c>
      <c r="H50" s="30"/>
      <c r="I50" s="30"/>
      <c r="J50" s="30"/>
      <c r="K50" s="30"/>
      <c r="L50" s="29">
        <v>0</v>
      </c>
      <c r="M50" s="30">
        <v>0</v>
      </c>
      <c r="N50" s="30"/>
      <c r="O50" s="30">
        <v>0</v>
      </c>
      <c r="P50" s="30">
        <v>0</v>
      </c>
      <c r="Q50" s="30"/>
      <c r="R50" s="30">
        <v>900000</v>
      </c>
      <c r="S50" s="30">
        <v>0</v>
      </c>
      <c r="T50" s="30"/>
      <c r="U50" s="30">
        <v>0</v>
      </c>
      <c r="V50" s="31">
        <v>0</v>
      </c>
    </row>
    <row r="51" spans="1:22">
      <c r="A51" s="1" t="s">
        <v>72</v>
      </c>
      <c r="B51" s="29">
        <v>0</v>
      </c>
      <c r="C51" s="30">
        <v>0</v>
      </c>
      <c r="D51" s="30">
        <v>60842.039647979691</v>
      </c>
      <c r="E51" s="30">
        <v>0</v>
      </c>
      <c r="F51" s="30">
        <v>0</v>
      </c>
      <c r="G51" s="31">
        <f>SUM(UT_FINANCIAL)</f>
        <v>60842.039647979691</v>
      </c>
      <c r="H51" s="30"/>
      <c r="I51" s="30"/>
      <c r="J51" s="30"/>
      <c r="K51" s="30"/>
      <c r="L51" s="29">
        <v>0</v>
      </c>
      <c r="M51" s="30">
        <v>0</v>
      </c>
      <c r="N51" s="30"/>
      <c r="O51" s="30">
        <v>0</v>
      </c>
      <c r="P51" s="30">
        <v>0</v>
      </c>
      <c r="Q51" s="30"/>
      <c r="R51" s="30">
        <v>77668</v>
      </c>
      <c r="S51" s="30">
        <v>0</v>
      </c>
      <c r="T51" s="30"/>
      <c r="U51" s="30">
        <v>0</v>
      </c>
      <c r="V51" s="31">
        <v>0</v>
      </c>
    </row>
    <row r="52" spans="1:22">
      <c r="A52" s="1" t="s">
        <v>73</v>
      </c>
      <c r="B52" s="29">
        <v>0</v>
      </c>
      <c r="C52" s="30">
        <v>0</v>
      </c>
      <c r="D52" s="30">
        <v>0</v>
      </c>
      <c r="E52" s="30">
        <v>0</v>
      </c>
      <c r="F52" s="30">
        <v>0</v>
      </c>
      <c r="G52" s="31">
        <f>SUM(VT_FINANCIAL)</f>
        <v>0</v>
      </c>
      <c r="H52" s="30"/>
      <c r="I52" s="30"/>
      <c r="J52" s="30"/>
      <c r="K52" s="30"/>
      <c r="L52" s="29"/>
      <c r="M52" s="30"/>
      <c r="N52" s="30"/>
      <c r="O52" s="30"/>
      <c r="P52" s="30"/>
      <c r="Q52" s="30"/>
      <c r="R52" s="30"/>
      <c r="S52" s="30"/>
      <c r="T52" s="30"/>
      <c r="U52" s="30"/>
      <c r="V52" s="31"/>
    </row>
    <row r="53" spans="1:22">
      <c r="A53" s="1" t="s">
        <v>74</v>
      </c>
      <c r="B53" s="29">
        <v>0</v>
      </c>
      <c r="C53" s="30">
        <v>0</v>
      </c>
      <c r="D53" s="30">
        <v>184354.70104632323</v>
      </c>
      <c r="E53" s="30">
        <v>0</v>
      </c>
      <c r="F53" s="30">
        <v>0</v>
      </c>
      <c r="G53" s="31">
        <f>SUM(VA_FINANCIAL)</f>
        <v>184354.70104632323</v>
      </c>
      <c r="H53" s="30"/>
      <c r="I53" s="30"/>
      <c r="J53" s="30"/>
      <c r="K53" s="30"/>
      <c r="L53" s="29"/>
      <c r="M53" s="30"/>
      <c r="N53" s="30"/>
      <c r="O53" s="30"/>
      <c r="P53" s="30"/>
      <c r="Q53" s="30"/>
      <c r="R53" s="30"/>
      <c r="S53" s="30"/>
      <c r="T53" s="30"/>
      <c r="U53" s="30"/>
      <c r="V53" s="31"/>
    </row>
    <row r="54" spans="1:22">
      <c r="A54" s="1" t="s">
        <v>75</v>
      </c>
      <c r="B54" s="29">
        <v>0</v>
      </c>
      <c r="C54" s="30">
        <v>0</v>
      </c>
      <c r="D54" s="30">
        <v>469341.20348379802</v>
      </c>
      <c r="E54" s="30">
        <v>0</v>
      </c>
      <c r="F54" s="30">
        <v>0</v>
      </c>
      <c r="G54" s="31">
        <f>SUM(WA_FINANCIAL)</f>
        <v>469341.20348379802</v>
      </c>
      <c r="H54" s="30"/>
      <c r="I54" s="30"/>
      <c r="J54" s="30"/>
      <c r="K54" s="30"/>
      <c r="L54" s="29"/>
      <c r="M54" s="30"/>
      <c r="N54" s="30"/>
      <c r="O54" s="30"/>
      <c r="P54" s="30"/>
      <c r="Q54" s="30"/>
      <c r="R54" s="30"/>
      <c r="S54" s="30"/>
      <c r="T54" s="30"/>
      <c r="U54" s="30"/>
      <c r="V54" s="31"/>
    </row>
    <row r="55" spans="1:22">
      <c r="A55" s="1" t="s">
        <v>76</v>
      </c>
      <c r="B55" s="29">
        <v>0</v>
      </c>
      <c r="C55" s="30">
        <v>0</v>
      </c>
      <c r="D55" s="30">
        <v>61345.474417099831</v>
      </c>
      <c r="E55" s="30">
        <v>0</v>
      </c>
      <c r="F55" s="30">
        <v>0</v>
      </c>
      <c r="G55" s="31">
        <f>SUM(WV_FINANCIAL)</f>
        <v>61345.474417099831</v>
      </c>
      <c r="H55" s="30"/>
      <c r="I55" s="30"/>
      <c r="J55" s="30"/>
      <c r="K55" s="30"/>
      <c r="L55" s="29"/>
      <c r="M55" s="30"/>
      <c r="N55" s="30"/>
      <c r="O55" s="30"/>
      <c r="P55" s="30"/>
      <c r="Q55" s="30"/>
      <c r="R55" s="30"/>
      <c r="S55" s="30"/>
      <c r="T55" s="30"/>
      <c r="U55" s="30"/>
      <c r="V55" s="31"/>
    </row>
    <row r="56" spans="1:22">
      <c r="A56" s="1" t="s">
        <v>77</v>
      </c>
      <c r="B56" s="29">
        <v>0</v>
      </c>
      <c r="C56" s="30">
        <v>0</v>
      </c>
      <c r="D56" s="30">
        <v>0</v>
      </c>
      <c r="E56" s="30">
        <v>0</v>
      </c>
      <c r="F56" s="30">
        <v>0</v>
      </c>
      <c r="G56" s="31">
        <f>SUM(WI_FINANCIAL)</f>
        <v>0</v>
      </c>
      <c r="H56" s="30"/>
      <c r="I56" s="30"/>
      <c r="J56" s="30"/>
      <c r="K56" s="30"/>
      <c r="L56" s="29"/>
      <c r="M56" s="30"/>
      <c r="N56" s="30"/>
      <c r="O56" s="30"/>
      <c r="P56" s="30"/>
      <c r="Q56" s="30"/>
      <c r="R56" s="30"/>
      <c r="S56" s="30"/>
      <c r="T56" s="30"/>
      <c r="U56" s="30"/>
      <c r="V56" s="31"/>
    </row>
    <row r="57" spans="1:22">
      <c r="A57" s="1" t="s">
        <v>78</v>
      </c>
      <c r="B57" s="29">
        <v>0</v>
      </c>
      <c r="C57" s="30">
        <v>0</v>
      </c>
      <c r="D57" s="30">
        <v>113438.55223767656</v>
      </c>
      <c r="E57" s="30">
        <v>0</v>
      </c>
      <c r="F57" s="30">
        <v>0</v>
      </c>
      <c r="G57" s="31">
        <f>SUM(WY_FINANCIAL)</f>
        <v>113438.55223767656</v>
      </c>
      <c r="H57" s="30"/>
      <c r="I57" s="30"/>
      <c r="J57" s="30"/>
      <c r="K57" s="30"/>
      <c r="L57" s="29">
        <v>0</v>
      </c>
      <c r="M57" s="30">
        <v>0</v>
      </c>
      <c r="N57" s="30"/>
      <c r="O57" s="30">
        <v>0</v>
      </c>
      <c r="P57" s="30">
        <v>0</v>
      </c>
      <c r="Q57" s="30"/>
      <c r="R57" s="30">
        <v>165000</v>
      </c>
      <c r="S57" s="30">
        <v>0</v>
      </c>
      <c r="T57" s="30"/>
      <c r="U57" s="30">
        <v>0</v>
      </c>
      <c r="V57" s="31">
        <v>0</v>
      </c>
    </row>
    <row r="58" spans="1:22">
      <c r="A58" s="1" t="s">
        <v>79</v>
      </c>
      <c r="B58" s="29">
        <v>0</v>
      </c>
      <c r="C58" s="30">
        <v>0</v>
      </c>
      <c r="D58" s="30">
        <v>0</v>
      </c>
      <c r="E58" s="30">
        <v>0</v>
      </c>
      <c r="F58" s="30">
        <v>0</v>
      </c>
      <c r="G58" s="31">
        <f>SUM(OT_FINANCIAL)</f>
        <v>0</v>
      </c>
      <c r="H58" s="30"/>
      <c r="I58" s="30"/>
      <c r="J58" s="30"/>
      <c r="K58" s="30"/>
      <c r="L58" s="29"/>
      <c r="M58" s="30"/>
      <c r="N58" s="30"/>
      <c r="O58" s="30"/>
      <c r="P58" s="30"/>
      <c r="Q58" s="30"/>
      <c r="R58" s="30"/>
      <c r="S58" s="30"/>
      <c r="T58" s="30"/>
      <c r="U58" s="30"/>
      <c r="V58" s="31"/>
    </row>
    <row r="59" spans="1:22">
      <c r="B59" s="29"/>
      <c r="C59" s="30"/>
      <c r="D59" s="30"/>
      <c r="E59" s="30"/>
      <c r="F59" s="30"/>
      <c r="G59" s="31"/>
      <c r="H59" s="30"/>
      <c r="I59" s="30"/>
      <c r="J59" s="30"/>
      <c r="K59" s="30"/>
      <c r="L59" s="29"/>
      <c r="M59" s="30"/>
      <c r="N59" s="30"/>
      <c r="O59" s="30"/>
      <c r="P59" s="30"/>
      <c r="Q59" s="30"/>
      <c r="R59" s="30"/>
      <c r="S59" s="30"/>
      <c r="T59" s="30"/>
      <c r="U59" s="30"/>
      <c r="V59" s="31"/>
    </row>
    <row r="60" spans="1:22">
      <c r="A60" s="1" t="s">
        <v>8</v>
      </c>
      <c r="B60" s="29">
        <f>SUM(LIFE)</f>
        <v>0</v>
      </c>
      <c r="C60" s="30">
        <f>SUM(ALLOCATED)</f>
        <v>0</v>
      </c>
      <c r="D60" s="30">
        <f>SUM(HEALTH)</f>
        <v>13513688.821880531</v>
      </c>
      <c r="E60" s="30">
        <f>SUM(UNALLOCATED)</f>
        <v>0</v>
      </c>
      <c r="F60" s="30">
        <f>SUM(LTC)</f>
        <v>0</v>
      </c>
      <c r="G60" s="31">
        <f>SUM(ALL_BLOCKS)</f>
        <v>13513688.821880531</v>
      </c>
      <c r="H60" s="30"/>
      <c r="I60" s="30"/>
      <c r="J60" s="30"/>
      <c r="K60" s="30"/>
      <c r="L60" s="29">
        <f>SUM(LIFE_CALLED)</f>
        <v>0</v>
      </c>
      <c r="M60" s="30">
        <f>SUM(LIFE_REFUNDED)</f>
        <v>0</v>
      </c>
      <c r="N60" s="30"/>
      <c r="O60" s="30">
        <f>SUM(ALLOC_CALLED)</f>
        <v>0</v>
      </c>
      <c r="P60" s="30">
        <f>SUM(ALLOC_REFUNDED)</f>
        <v>0</v>
      </c>
      <c r="Q60" s="30"/>
      <c r="R60" s="30">
        <f>SUM(HEALTH_CALLED)</f>
        <v>10031027</v>
      </c>
      <c r="S60" s="30">
        <f>SUM(HEALTH_REFUNDED)</f>
        <v>9982</v>
      </c>
      <c r="T60" s="30"/>
      <c r="U60" s="30">
        <f>SUM(UNALLOC_CALLED)</f>
        <v>0</v>
      </c>
      <c r="V60" s="31">
        <f>SUM(UNALLOC_REFUNDED)</f>
        <v>0</v>
      </c>
    </row>
    <row r="61" spans="1:22" ht="5.0999999999999996" customHeight="1">
      <c r="B61" s="8"/>
      <c r="G61" s="11"/>
      <c r="L61" s="8"/>
      <c r="V61" s="11"/>
    </row>
    <row r="62" spans="1:22">
      <c r="B62" s="8"/>
      <c r="G62" s="11"/>
      <c r="L62" s="122" t="s">
        <v>80</v>
      </c>
      <c r="M62" s="123"/>
      <c r="N62" s="123"/>
      <c r="O62" s="123"/>
      <c r="P62" s="123"/>
      <c r="Q62" s="123"/>
      <c r="R62" s="123"/>
      <c r="S62" s="123"/>
      <c r="T62" s="123"/>
      <c r="U62" s="123"/>
      <c r="V62" s="124"/>
    </row>
    <row r="63" spans="1:22">
      <c r="B63" s="8"/>
      <c r="G63" s="11"/>
      <c r="L63" s="125"/>
      <c r="M63" s="123"/>
      <c r="N63" s="123"/>
      <c r="O63" s="123"/>
      <c r="P63" s="123"/>
      <c r="Q63" s="123"/>
      <c r="R63" s="123"/>
      <c r="S63" s="123"/>
      <c r="T63" s="123"/>
      <c r="U63" s="123"/>
      <c r="V63" s="124"/>
    </row>
    <row r="64" spans="1:22">
      <c r="B64" s="10"/>
      <c r="C64" s="7"/>
      <c r="D64" s="7"/>
      <c r="E64" s="7"/>
      <c r="F64" s="7"/>
      <c r="G64" s="13"/>
      <c r="L64" s="126"/>
      <c r="M64" s="127"/>
      <c r="N64" s="127"/>
      <c r="O64" s="127"/>
      <c r="P64" s="127"/>
      <c r="Q64" s="127"/>
      <c r="R64" s="127"/>
      <c r="S64" s="127"/>
      <c r="T64" s="127"/>
      <c r="U64" s="127"/>
      <c r="V64" s="128"/>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pageSetUpPr fitToPage="1"/>
  </sheetPr>
  <dimension ref="A1:V64"/>
  <sheetViews>
    <sheetView zoomScale="75" workbookViewId="0">
      <selection sqref="A1:XFD1048576"/>
    </sheetView>
  </sheetViews>
  <sheetFormatPr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129" t="s">
        <v>137</v>
      </c>
      <c r="B1" s="123"/>
      <c r="C1" s="123"/>
      <c r="D1" s="123"/>
      <c r="E1" s="123"/>
      <c r="F1" s="123"/>
      <c r="G1" s="123"/>
    </row>
    <row r="3" spans="1:22">
      <c r="B3" s="130" t="s">
        <v>1</v>
      </c>
      <c r="C3" s="131"/>
      <c r="D3" s="131"/>
      <c r="E3" s="131"/>
      <c r="F3" s="131"/>
      <c r="G3" s="132"/>
      <c r="L3" s="133" t="s">
        <v>2</v>
      </c>
      <c r="M3" s="134"/>
      <c r="N3" s="134"/>
      <c r="O3" s="134"/>
      <c r="P3" s="134"/>
      <c r="Q3" s="134"/>
      <c r="R3" s="134"/>
      <c r="S3" s="134"/>
      <c r="T3" s="134"/>
      <c r="U3" s="134"/>
      <c r="V3" s="135"/>
    </row>
    <row r="4" spans="1:22">
      <c r="B4" s="8"/>
      <c r="G4" s="11"/>
      <c r="L4" s="136" t="s">
        <v>3</v>
      </c>
      <c r="M4" s="137"/>
      <c r="N4" s="4"/>
      <c r="O4" s="138" t="s">
        <v>4</v>
      </c>
      <c r="P4" s="137"/>
      <c r="Q4" s="4"/>
      <c r="R4" s="138" t="s">
        <v>5</v>
      </c>
      <c r="S4" s="137"/>
      <c r="T4" s="4"/>
      <c r="U4" s="138" t="s">
        <v>6</v>
      </c>
      <c r="V4" s="139"/>
    </row>
    <row r="5" spans="1:22" ht="60" customHeight="1">
      <c r="B5" s="9" t="s">
        <v>3</v>
      </c>
      <c r="C5" s="5" t="s">
        <v>4</v>
      </c>
      <c r="D5" s="5" t="s">
        <v>5</v>
      </c>
      <c r="E5" s="5" t="s">
        <v>6</v>
      </c>
      <c r="F5" s="5" t="s">
        <v>7</v>
      </c>
      <c r="G5" s="12" t="s">
        <v>8</v>
      </c>
      <c r="L5" s="15" t="s">
        <v>9</v>
      </c>
      <c r="M5" s="14" t="s">
        <v>10</v>
      </c>
      <c r="N5" s="14"/>
      <c r="O5" s="14" t="s">
        <v>9</v>
      </c>
      <c r="P5" s="14" t="s">
        <v>10</v>
      </c>
      <c r="Q5" s="14"/>
      <c r="R5" s="14" t="s">
        <v>9</v>
      </c>
      <c r="S5" s="14" t="s">
        <v>10</v>
      </c>
      <c r="T5" s="14"/>
      <c r="U5" s="14" t="s">
        <v>9</v>
      </c>
      <c r="V5" s="16" t="s">
        <v>10</v>
      </c>
    </row>
    <row r="6" spans="1:22">
      <c r="A6" s="1" t="s">
        <v>11</v>
      </c>
      <c r="B6" s="29">
        <v>0</v>
      </c>
      <c r="C6" s="30">
        <v>0</v>
      </c>
      <c r="D6" s="30">
        <v>13071.235820123589</v>
      </c>
      <c r="E6" s="30">
        <v>0</v>
      </c>
      <c r="F6" s="30">
        <v>0</v>
      </c>
      <c r="G6" s="31">
        <f>SUM(AL_FINANCIAL)</f>
        <v>13071.235820123589</v>
      </c>
      <c r="H6" s="30"/>
      <c r="I6" s="30"/>
      <c r="J6" s="30"/>
      <c r="K6" s="30"/>
      <c r="L6" s="29"/>
      <c r="M6" s="30"/>
      <c r="N6" s="30"/>
      <c r="O6" s="30"/>
      <c r="P6" s="30"/>
      <c r="Q6" s="30"/>
      <c r="R6" s="30"/>
      <c r="S6" s="30"/>
      <c r="T6" s="30"/>
      <c r="U6" s="30"/>
      <c r="V6" s="31"/>
    </row>
    <row r="7" spans="1:22">
      <c r="A7" s="1" t="s">
        <v>12</v>
      </c>
      <c r="B7" s="29">
        <v>0</v>
      </c>
      <c r="C7" s="30">
        <v>0</v>
      </c>
      <c r="D7" s="30">
        <v>2853</v>
      </c>
      <c r="E7" s="30">
        <v>0</v>
      </c>
      <c r="F7" s="30">
        <v>0</v>
      </c>
      <c r="G7" s="31">
        <f>SUM(AK_FINANCIAL)</f>
        <v>2853</v>
      </c>
      <c r="H7" s="30"/>
      <c r="I7" s="32"/>
      <c r="J7" s="33"/>
      <c r="K7" s="30"/>
      <c r="L7" s="29"/>
      <c r="M7" s="30"/>
      <c r="N7" s="30"/>
      <c r="O7" s="30"/>
      <c r="P7" s="30"/>
      <c r="Q7" s="30"/>
      <c r="R7" s="30"/>
      <c r="S7" s="30"/>
      <c r="T7" s="30"/>
      <c r="U7" s="30"/>
      <c r="V7" s="31"/>
    </row>
    <row r="8" spans="1:22">
      <c r="A8" s="1" t="s">
        <v>13</v>
      </c>
      <c r="B8" s="29">
        <v>0</v>
      </c>
      <c r="C8" s="30">
        <v>0</v>
      </c>
      <c r="D8" s="30">
        <v>108780.95422034075</v>
      </c>
      <c r="E8" s="30">
        <v>0</v>
      </c>
      <c r="F8" s="30">
        <v>0</v>
      </c>
      <c r="G8" s="31">
        <f>SUM(AZ_FINANCIAL)</f>
        <v>108780.95422034075</v>
      </c>
      <c r="H8" s="30"/>
      <c r="I8" s="34" t="s">
        <v>14</v>
      </c>
      <c r="J8" s="35"/>
      <c r="K8" s="30"/>
      <c r="L8" s="29"/>
      <c r="M8" s="30"/>
      <c r="N8" s="30"/>
      <c r="O8" s="30"/>
      <c r="P8" s="30"/>
      <c r="Q8" s="30"/>
      <c r="R8" s="30"/>
      <c r="S8" s="30"/>
      <c r="T8" s="30"/>
      <c r="U8" s="30"/>
      <c r="V8" s="31"/>
    </row>
    <row r="9" spans="1:22">
      <c r="A9" s="1" t="s">
        <v>15</v>
      </c>
      <c r="B9" s="29">
        <v>0</v>
      </c>
      <c r="C9" s="30">
        <v>0</v>
      </c>
      <c r="D9" s="30">
        <v>3161</v>
      </c>
      <c r="E9" s="30">
        <v>0</v>
      </c>
      <c r="F9" s="30">
        <v>0</v>
      </c>
      <c r="G9" s="31">
        <f>SUM(AR_FINANCIAL)</f>
        <v>3161</v>
      </c>
      <c r="H9" s="30"/>
      <c r="I9" s="34"/>
      <c r="J9" s="35"/>
      <c r="K9" s="30"/>
      <c r="L9" s="29">
        <v>0</v>
      </c>
      <c r="M9" s="30">
        <v>0</v>
      </c>
      <c r="N9" s="30"/>
      <c r="O9" s="30">
        <v>0</v>
      </c>
      <c r="P9" s="30">
        <v>0</v>
      </c>
      <c r="Q9" s="30"/>
      <c r="R9" s="30">
        <v>0</v>
      </c>
      <c r="S9" s="30">
        <v>0</v>
      </c>
      <c r="T9" s="30"/>
      <c r="U9" s="30">
        <v>0</v>
      </c>
      <c r="V9" s="31">
        <v>0</v>
      </c>
    </row>
    <row r="10" spans="1:22">
      <c r="A10" s="1" t="s">
        <v>16</v>
      </c>
      <c r="B10" s="29">
        <v>0</v>
      </c>
      <c r="C10" s="30">
        <v>0</v>
      </c>
      <c r="D10" s="30">
        <v>2881385.4880016232</v>
      </c>
      <c r="E10" s="30">
        <v>0</v>
      </c>
      <c r="F10" s="30">
        <v>0</v>
      </c>
      <c r="G10" s="31">
        <f>SUM(CA_FINANCIAL)</f>
        <v>2881385.4880016232</v>
      </c>
      <c r="H10" s="30"/>
      <c r="I10" s="34" t="s">
        <v>17</v>
      </c>
      <c r="J10" s="35">
        <v>19143648.699999999</v>
      </c>
      <c r="K10" s="30"/>
      <c r="L10" s="29">
        <v>0</v>
      </c>
      <c r="M10" s="30">
        <v>0</v>
      </c>
      <c r="N10" s="30"/>
      <c r="O10" s="30">
        <v>0</v>
      </c>
      <c r="P10" s="30">
        <v>0</v>
      </c>
      <c r="Q10" s="30"/>
      <c r="R10" s="30">
        <v>2951291</v>
      </c>
      <c r="S10" s="30">
        <v>0</v>
      </c>
      <c r="T10" s="30"/>
      <c r="U10" s="30">
        <v>0</v>
      </c>
      <c r="V10" s="31">
        <v>0</v>
      </c>
    </row>
    <row r="11" spans="1:22">
      <c r="A11" s="1" t="s">
        <v>18</v>
      </c>
      <c r="B11" s="29">
        <v>0</v>
      </c>
      <c r="C11" s="30">
        <v>0</v>
      </c>
      <c r="D11" s="30">
        <v>52579.382039438242</v>
      </c>
      <c r="E11" s="30">
        <v>0</v>
      </c>
      <c r="F11" s="30">
        <v>0</v>
      </c>
      <c r="G11" s="31">
        <f>SUM(CO_FINANCIAL)</f>
        <v>52579.382039438242</v>
      </c>
      <c r="H11" s="30"/>
      <c r="I11" s="34"/>
      <c r="J11" s="35"/>
      <c r="K11" s="30"/>
      <c r="L11" s="29">
        <v>0</v>
      </c>
      <c r="M11" s="30">
        <v>0</v>
      </c>
      <c r="N11" s="30"/>
      <c r="O11" s="30">
        <v>0</v>
      </c>
      <c r="P11" s="30">
        <v>0</v>
      </c>
      <c r="Q11" s="30"/>
      <c r="R11" s="30">
        <v>21895</v>
      </c>
      <c r="S11" s="30">
        <v>31891</v>
      </c>
      <c r="T11" s="30"/>
      <c r="U11" s="30">
        <v>0</v>
      </c>
      <c r="V11" s="31">
        <v>0</v>
      </c>
    </row>
    <row r="12" spans="1:22">
      <c r="A12" s="1" t="s">
        <v>19</v>
      </c>
      <c r="B12" s="29">
        <v>0</v>
      </c>
      <c r="C12" s="30">
        <v>0</v>
      </c>
      <c r="D12" s="30">
        <v>0</v>
      </c>
      <c r="E12" s="30">
        <v>0</v>
      </c>
      <c r="F12" s="30">
        <v>0</v>
      </c>
      <c r="G12" s="31">
        <f>SUM(CT_FINANCIAL)</f>
        <v>0</v>
      </c>
      <c r="H12" s="30"/>
      <c r="I12" s="34" t="s">
        <v>20</v>
      </c>
      <c r="J12" s="35"/>
      <c r="K12" s="30"/>
      <c r="L12" s="29"/>
      <c r="M12" s="30"/>
      <c r="N12" s="30"/>
      <c r="O12" s="30"/>
      <c r="P12" s="30"/>
      <c r="Q12" s="30"/>
      <c r="R12" s="30"/>
      <c r="S12" s="30"/>
      <c r="T12" s="30"/>
      <c r="U12" s="30"/>
      <c r="V12" s="31"/>
    </row>
    <row r="13" spans="1:22">
      <c r="A13" s="1" t="s">
        <v>21</v>
      </c>
      <c r="B13" s="29">
        <v>0</v>
      </c>
      <c r="C13" s="30">
        <v>0</v>
      </c>
      <c r="D13" s="30">
        <v>0</v>
      </c>
      <c r="E13" s="30">
        <v>0</v>
      </c>
      <c r="F13" s="30">
        <v>0</v>
      </c>
      <c r="G13" s="31">
        <f>SUM(DE_FINANCIAL)</f>
        <v>0</v>
      </c>
      <c r="H13" s="30"/>
      <c r="I13" s="34" t="s">
        <v>22</v>
      </c>
      <c r="J13" s="35">
        <v>19143648.699999999</v>
      </c>
      <c r="K13" s="30"/>
      <c r="L13" s="29"/>
      <c r="M13" s="30"/>
      <c r="N13" s="30"/>
      <c r="O13" s="30"/>
      <c r="P13" s="30"/>
      <c r="Q13" s="30"/>
      <c r="R13" s="30"/>
      <c r="S13" s="30"/>
      <c r="T13" s="30"/>
      <c r="U13" s="30"/>
      <c r="V13" s="31"/>
    </row>
    <row r="14" spans="1:22">
      <c r="A14" s="1" t="s">
        <v>23</v>
      </c>
      <c r="B14" s="29">
        <v>0</v>
      </c>
      <c r="C14" s="30">
        <v>0</v>
      </c>
      <c r="D14" s="30">
        <v>0</v>
      </c>
      <c r="E14" s="30">
        <v>0</v>
      </c>
      <c r="F14" s="30">
        <v>0</v>
      </c>
      <c r="G14" s="31">
        <f>SUM(DC_FINANCIAL)</f>
        <v>0</v>
      </c>
      <c r="H14" s="30"/>
      <c r="I14" s="34" t="s">
        <v>24</v>
      </c>
      <c r="J14" s="35">
        <v>3511655.6</v>
      </c>
      <c r="K14" s="30"/>
      <c r="L14" s="29"/>
      <c r="M14" s="30"/>
      <c r="N14" s="30"/>
      <c r="O14" s="30"/>
      <c r="P14" s="30"/>
      <c r="Q14" s="30"/>
      <c r="R14" s="30"/>
      <c r="S14" s="30"/>
      <c r="T14" s="30"/>
      <c r="U14" s="30"/>
      <c r="V14" s="31"/>
    </row>
    <row r="15" spans="1:22">
      <c r="A15" s="1" t="s">
        <v>25</v>
      </c>
      <c r="B15" s="29">
        <v>0</v>
      </c>
      <c r="C15" s="30">
        <v>0</v>
      </c>
      <c r="D15" s="30">
        <v>13863260.822522886</v>
      </c>
      <c r="E15" s="30">
        <v>0</v>
      </c>
      <c r="F15" s="30">
        <v>0</v>
      </c>
      <c r="G15" s="31">
        <f>SUM(FL_FINANCIAL)</f>
        <v>13863260.822522886</v>
      </c>
      <c r="H15" s="30"/>
      <c r="I15" s="34" t="s">
        <v>26</v>
      </c>
      <c r="J15" s="35">
        <v>5128221</v>
      </c>
      <c r="K15" s="30"/>
      <c r="L15" s="29">
        <v>0</v>
      </c>
      <c r="M15" s="30">
        <v>0</v>
      </c>
      <c r="N15" s="30"/>
      <c r="O15" s="30">
        <v>0</v>
      </c>
      <c r="P15" s="30">
        <v>0</v>
      </c>
      <c r="Q15" s="30"/>
      <c r="R15" s="30">
        <v>11633000</v>
      </c>
      <c r="S15" s="30">
        <v>0</v>
      </c>
      <c r="T15" s="30"/>
      <c r="U15" s="30">
        <v>0</v>
      </c>
      <c r="V15" s="31">
        <v>0</v>
      </c>
    </row>
    <row r="16" spans="1:22">
      <c r="A16" s="1" t="s">
        <v>27</v>
      </c>
      <c r="B16" s="29">
        <v>0</v>
      </c>
      <c r="C16" s="30">
        <v>0</v>
      </c>
      <c r="D16" s="30">
        <v>5525.32</v>
      </c>
      <c r="E16" s="30">
        <v>0</v>
      </c>
      <c r="F16" s="30">
        <v>0</v>
      </c>
      <c r="G16" s="31">
        <f>SUM(GA_FINANCIAL)</f>
        <v>5525.32</v>
      </c>
      <c r="H16" s="30"/>
      <c r="I16" s="34" t="s">
        <v>28</v>
      </c>
      <c r="J16" s="35">
        <v>0</v>
      </c>
      <c r="K16" s="30"/>
      <c r="L16" s="29"/>
      <c r="M16" s="30"/>
      <c r="N16" s="30"/>
      <c r="O16" s="30"/>
      <c r="P16" s="30"/>
      <c r="Q16" s="30"/>
      <c r="R16" s="30"/>
      <c r="S16" s="30"/>
      <c r="T16" s="30"/>
      <c r="U16" s="30"/>
      <c r="V16" s="31"/>
    </row>
    <row r="17" spans="1:22">
      <c r="A17" s="1" t="s">
        <v>29</v>
      </c>
      <c r="B17" s="29">
        <v>0</v>
      </c>
      <c r="C17" s="30">
        <v>0</v>
      </c>
      <c r="D17" s="30">
        <v>0</v>
      </c>
      <c r="E17" s="30">
        <v>0</v>
      </c>
      <c r="F17" s="30">
        <v>0</v>
      </c>
      <c r="G17" s="31">
        <f>SUM(HI_FINANCIAL)</f>
        <v>0</v>
      </c>
      <c r="H17" s="30"/>
      <c r="I17" s="34"/>
      <c r="J17" s="35"/>
      <c r="K17" s="30"/>
      <c r="L17" s="29"/>
      <c r="M17" s="30"/>
      <c r="N17" s="30"/>
      <c r="O17" s="30"/>
      <c r="P17" s="30"/>
      <c r="Q17" s="30"/>
      <c r="R17" s="30"/>
      <c r="S17" s="30"/>
      <c r="T17" s="30"/>
      <c r="U17" s="30"/>
      <c r="V17" s="31"/>
    </row>
    <row r="18" spans="1:22">
      <c r="A18" s="1" t="s">
        <v>30</v>
      </c>
      <c r="B18" s="29">
        <v>0</v>
      </c>
      <c r="C18" s="30">
        <v>0</v>
      </c>
      <c r="D18" s="30">
        <v>19238.419999999998</v>
      </c>
      <c r="E18" s="30">
        <v>0</v>
      </c>
      <c r="F18" s="30">
        <v>0</v>
      </c>
      <c r="G18" s="31">
        <f>SUM(ID_FINANCIAL)</f>
        <v>19238.419999999998</v>
      </c>
      <c r="H18" s="30"/>
      <c r="I18" s="34" t="s">
        <v>31</v>
      </c>
      <c r="J18" s="35"/>
      <c r="K18" s="30"/>
      <c r="L18" s="29">
        <v>0</v>
      </c>
      <c r="M18" s="30">
        <v>0</v>
      </c>
      <c r="N18" s="30"/>
      <c r="O18" s="30">
        <v>0</v>
      </c>
      <c r="P18" s="30">
        <v>0</v>
      </c>
      <c r="Q18" s="30"/>
      <c r="R18" s="30">
        <v>29400</v>
      </c>
      <c r="S18" s="30">
        <v>0</v>
      </c>
      <c r="T18" s="30"/>
      <c r="U18" s="30">
        <v>0</v>
      </c>
      <c r="V18" s="31">
        <v>0</v>
      </c>
    </row>
    <row r="19" spans="1:22">
      <c r="A19" s="1" t="s">
        <v>32</v>
      </c>
      <c r="B19" s="29">
        <v>0</v>
      </c>
      <c r="C19" s="30">
        <v>0</v>
      </c>
      <c r="D19" s="30">
        <v>1797127.1842716455</v>
      </c>
      <c r="E19" s="30">
        <v>0</v>
      </c>
      <c r="F19" s="30">
        <v>0</v>
      </c>
      <c r="G19" s="31">
        <f>SUM(IL_FINANCIAL)</f>
        <v>1797127.1842716455</v>
      </c>
      <c r="H19" s="30"/>
      <c r="I19" s="34" t="s">
        <v>33</v>
      </c>
      <c r="J19" s="35">
        <v>0</v>
      </c>
      <c r="K19" s="30"/>
      <c r="L19" s="29">
        <v>0</v>
      </c>
      <c r="M19" s="30">
        <v>0</v>
      </c>
      <c r="N19" s="30"/>
      <c r="O19" s="30">
        <v>0</v>
      </c>
      <c r="P19" s="30">
        <v>0</v>
      </c>
      <c r="Q19" s="30"/>
      <c r="R19" s="30">
        <v>2500000</v>
      </c>
      <c r="S19" s="30">
        <v>0</v>
      </c>
      <c r="T19" s="30"/>
      <c r="U19" s="30">
        <v>0</v>
      </c>
      <c r="V19" s="31">
        <v>0</v>
      </c>
    </row>
    <row r="20" spans="1:22">
      <c r="A20" s="1" t="s">
        <v>34</v>
      </c>
      <c r="B20" s="29">
        <v>0</v>
      </c>
      <c r="C20" s="30">
        <v>0</v>
      </c>
      <c r="D20" s="30">
        <v>2331381.184509581</v>
      </c>
      <c r="E20" s="30">
        <v>0</v>
      </c>
      <c r="F20" s="30">
        <v>0</v>
      </c>
      <c r="G20" s="31">
        <f>SUM(IN_FINANCIAL)</f>
        <v>2331381.184509581</v>
      </c>
      <c r="H20" s="30"/>
      <c r="I20" s="34" t="s">
        <v>35</v>
      </c>
      <c r="J20" s="35">
        <v>19143648.699999999</v>
      </c>
      <c r="K20" s="30"/>
      <c r="L20" s="29"/>
      <c r="M20" s="30"/>
      <c r="N20" s="30"/>
      <c r="O20" s="30"/>
      <c r="P20" s="30"/>
      <c r="Q20" s="30"/>
      <c r="R20" s="30"/>
      <c r="S20" s="30"/>
      <c r="T20" s="30"/>
      <c r="U20" s="30"/>
      <c r="V20" s="31"/>
    </row>
    <row r="21" spans="1:22">
      <c r="A21" s="1" t="s">
        <v>36</v>
      </c>
      <c r="B21" s="29">
        <v>0</v>
      </c>
      <c r="C21" s="30">
        <v>0</v>
      </c>
      <c r="D21" s="30">
        <v>0</v>
      </c>
      <c r="E21" s="30">
        <v>0</v>
      </c>
      <c r="F21" s="30">
        <v>0</v>
      </c>
      <c r="G21" s="31">
        <f>SUM(IA_FINANCIAL)</f>
        <v>0</v>
      </c>
      <c r="H21" s="30"/>
      <c r="I21" s="34" t="s">
        <v>37</v>
      </c>
      <c r="J21" s="35"/>
      <c r="K21" s="30"/>
      <c r="L21" s="29"/>
      <c r="M21" s="30"/>
      <c r="N21" s="30"/>
      <c r="O21" s="30"/>
      <c r="P21" s="30"/>
      <c r="Q21" s="30"/>
      <c r="R21" s="30"/>
      <c r="S21" s="30"/>
      <c r="T21" s="30"/>
      <c r="U21" s="30"/>
      <c r="V21" s="31"/>
    </row>
    <row r="22" spans="1:22">
      <c r="A22" s="1" t="s">
        <v>38</v>
      </c>
      <c r="B22" s="29">
        <v>0</v>
      </c>
      <c r="C22" s="30">
        <v>0</v>
      </c>
      <c r="D22" s="30">
        <v>0</v>
      </c>
      <c r="E22" s="30">
        <v>0</v>
      </c>
      <c r="F22" s="30">
        <v>0</v>
      </c>
      <c r="G22" s="31">
        <f>SUM(KS_FINANCIAL)</f>
        <v>0</v>
      </c>
      <c r="H22" s="30"/>
      <c r="I22" s="34" t="s">
        <v>39</v>
      </c>
      <c r="J22" s="35">
        <v>0</v>
      </c>
      <c r="K22" s="30"/>
      <c r="L22" s="29"/>
      <c r="M22" s="30"/>
      <c r="N22" s="30"/>
      <c r="O22" s="30"/>
      <c r="P22" s="30"/>
      <c r="Q22" s="30"/>
      <c r="R22" s="30"/>
      <c r="S22" s="30"/>
      <c r="T22" s="30"/>
      <c r="U22" s="30"/>
      <c r="V22" s="31"/>
    </row>
    <row r="23" spans="1:22">
      <c r="A23" s="1" t="s">
        <v>40</v>
      </c>
      <c r="B23" s="29">
        <v>0</v>
      </c>
      <c r="C23" s="30">
        <v>0</v>
      </c>
      <c r="D23" s="30">
        <v>0</v>
      </c>
      <c r="E23" s="30">
        <v>0</v>
      </c>
      <c r="F23" s="30">
        <v>0</v>
      </c>
      <c r="G23" s="31">
        <f>SUM(KY_FINANCIAL)</f>
        <v>0</v>
      </c>
      <c r="H23" s="30"/>
      <c r="I23" s="34" t="s">
        <v>41</v>
      </c>
      <c r="J23" s="35"/>
      <c r="K23" s="30"/>
      <c r="L23" s="29"/>
      <c r="M23" s="30"/>
      <c r="N23" s="30"/>
      <c r="O23" s="30"/>
      <c r="P23" s="30"/>
      <c r="Q23" s="30"/>
      <c r="R23" s="30"/>
      <c r="S23" s="30"/>
      <c r="T23" s="30"/>
      <c r="U23" s="30"/>
      <c r="V23" s="31"/>
    </row>
    <row r="24" spans="1:22">
      <c r="A24" s="1" t="s">
        <v>42</v>
      </c>
      <c r="B24" s="29">
        <v>0</v>
      </c>
      <c r="C24" s="30">
        <v>0</v>
      </c>
      <c r="D24" s="30">
        <v>30569.5</v>
      </c>
      <c r="E24" s="30">
        <v>0</v>
      </c>
      <c r="F24" s="30">
        <v>0</v>
      </c>
      <c r="G24" s="31">
        <f>SUM(LA_FINANCIAL)</f>
        <v>30569.5</v>
      </c>
      <c r="H24" s="30"/>
      <c r="I24" s="34" t="s">
        <v>43</v>
      </c>
      <c r="J24" s="35">
        <v>2077826.6300000001</v>
      </c>
      <c r="K24" s="30"/>
      <c r="L24" s="29"/>
      <c r="M24" s="30"/>
      <c r="N24" s="30"/>
      <c r="O24" s="30"/>
      <c r="P24" s="30"/>
      <c r="Q24" s="30"/>
      <c r="R24" s="30"/>
      <c r="S24" s="30"/>
      <c r="T24" s="30"/>
      <c r="U24" s="30"/>
      <c r="V24" s="31"/>
    </row>
    <row r="25" spans="1:22">
      <c r="A25" s="1" t="s">
        <v>44</v>
      </c>
      <c r="B25" s="29">
        <v>0</v>
      </c>
      <c r="C25" s="30">
        <v>0</v>
      </c>
      <c r="D25" s="30">
        <v>0</v>
      </c>
      <c r="E25" s="30">
        <v>0</v>
      </c>
      <c r="F25" s="30">
        <v>0</v>
      </c>
      <c r="G25" s="31">
        <f>SUM(ME_FINANCIAL)</f>
        <v>0</v>
      </c>
      <c r="H25" s="30"/>
      <c r="I25" s="34"/>
      <c r="J25" s="35"/>
      <c r="K25" s="30"/>
      <c r="L25" s="29"/>
      <c r="M25" s="30"/>
      <c r="N25" s="30"/>
      <c r="O25" s="30"/>
      <c r="P25" s="30"/>
      <c r="Q25" s="30"/>
      <c r="R25" s="30"/>
      <c r="S25" s="30"/>
      <c r="T25" s="30"/>
      <c r="U25" s="30"/>
      <c r="V25" s="31"/>
    </row>
    <row r="26" spans="1:22">
      <c r="A26" s="1" t="s">
        <v>45</v>
      </c>
      <c r="B26" s="29">
        <v>0</v>
      </c>
      <c r="C26" s="30">
        <v>0</v>
      </c>
      <c r="D26" s="30">
        <v>0</v>
      </c>
      <c r="E26" s="30">
        <v>0</v>
      </c>
      <c r="F26" s="30">
        <v>0</v>
      </c>
      <c r="G26" s="31">
        <f>SUM(MD_FINANCIAL)</f>
        <v>0</v>
      </c>
      <c r="H26" s="30"/>
      <c r="I26" s="34" t="s">
        <v>46</v>
      </c>
      <c r="J26" s="35">
        <f>SUM(ADD_FINANCIAL)-SUM(LESS_FINANCIAL)</f>
        <v>25705698.670000002</v>
      </c>
      <c r="K26" s="30"/>
      <c r="L26" s="29"/>
      <c r="M26" s="30"/>
      <c r="N26" s="30"/>
      <c r="O26" s="30"/>
      <c r="P26" s="30"/>
      <c r="Q26" s="30"/>
      <c r="R26" s="30"/>
      <c r="S26" s="30"/>
      <c r="T26" s="30"/>
      <c r="U26" s="30"/>
      <c r="V26" s="31"/>
    </row>
    <row r="27" spans="1:22">
      <c r="A27" s="1" t="s">
        <v>47</v>
      </c>
      <c r="B27" s="29">
        <v>0</v>
      </c>
      <c r="C27" s="30">
        <v>0</v>
      </c>
      <c r="D27" s="30">
        <v>0</v>
      </c>
      <c r="E27" s="30">
        <v>0</v>
      </c>
      <c r="F27" s="30">
        <v>0</v>
      </c>
      <c r="G27" s="31">
        <f>SUM(MA_FINANCIAL)</f>
        <v>0</v>
      </c>
      <c r="H27" s="30"/>
      <c r="I27" s="34" t="s">
        <v>48</v>
      </c>
      <c r="J27" s="35">
        <f>SUM(ALL_BLOCKS)</f>
        <v>25705698.670000002</v>
      </c>
      <c r="K27" s="30"/>
      <c r="L27" s="29"/>
      <c r="M27" s="30"/>
      <c r="N27" s="30"/>
      <c r="O27" s="30"/>
      <c r="P27" s="30"/>
      <c r="Q27" s="30"/>
      <c r="R27" s="30"/>
      <c r="S27" s="30"/>
      <c r="T27" s="30"/>
      <c r="U27" s="30"/>
      <c r="V27" s="31"/>
    </row>
    <row r="28" spans="1:22">
      <c r="A28" s="1" t="s">
        <v>49</v>
      </c>
      <c r="B28" s="29">
        <v>0</v>
      </c>
      <c r="C28" s="30">
        <v>0</v>
      </c>
      <c r="D28" s="30">
        <v>0</v>
      </c>
      <c r="E28" s="30">
        <v>0</v>
      </c>
      <c r="F28" s="30">
        <v>0</v>
      </c>
      <c r="G28" s="31">
        <f>SUM(MI_FINANCIAL)</f>
        <v>0</v>
      </c>
      <c r="H28" s="30"/>
      <c r="I28" s="36"/>
      <c r="J28" s="37"/>
      <c r="K28" s="30"/>
      <c r="L28" s="29"/>
      <c r="M28" s="30"/>
      <c r="N28" s="30"/>
      <c r="O28" s="30"/>
      <c r="P28" s="30"/>
      <c r="Q28" s="30"/>
      <c r="R28" s="30"/>
      <c r="S28" s="30"/>
      <c r="T28" s="30"/>
      <c r="U28" s="30"/>
      <c r="V28" s="31"/>
    </row>
    <row r="29" spans="1:22">
      <c r="A29" s="1" t="s">
        <v>50</v>
      </c>
      <c r="B29" s="29">
        <v>0</v>
      </c>
      <c r="C29" s="30">
        <v>0</v>
      </c>
      <c r="D29" s="30">
        <v>0</v>
      </c>
      <c r="E29" s="30">
        <v>0</v>
      </c>
      <c r="F29" s="30">
        <v>0</v>
      </c>
      <c r="G29" s="31">
        <f>SUM(MN_FINANCIAL)</f>
        <v>0</v>
      </c>
      <c r="H29" s="30"/>
      <c r="I29" s="30"/>
      <c r="J29" s="30"/>
      <c r="K29" s="30"/>
      <c r="L29" s="29"/>
      <c r="M29" s="30"/>
      <c r="N29" s="30"/>
      <c r="O29" s="30"/>
      <c r="P29" s="30"/>
      <c r="Q29" s="30"/>
      <c r="R29" s="30"/>
      <c r="S29" s="30"/>
      <c r="T29" s="30"/>
      <c r="U29" s="30"/>
      <c r="V29" s="31"/>
    </row>
    <row r="30" spans="1:22">
      <c r="A30" s="1" t="s">
        <v>51</v>
      </c>
      <c r="B30" s="29">
        <v>0</v>
      </c>
      <c r="C30" s="30">
        <v>0</v>
      </c>
      <c r="D30" s="30">
        <v>5948</v>
      </c>
      <c r="E30" s="30">
        <v>0</v>
      </c>
      <c r="F30" s="30">
        <v>0</v>
      </c>
      <c r="G30" s="31">
        <f>SUM(MS_FINANCIAL)</f>
        <v>5948</v>
      </c>
      <c r="H30" s="30"/>
      <c r="I30" s="30"/>
      <c r="J30" s="30"/>
      <c r="K30" s="30"/>
      <c r="L30" s="29"/>
      <c r="M30" s="30"/>
      <c r="N30" s="30"/>
      <c r="O30" s="30"/>
      <c r="P30" s="30"/>
      <c r="Q30" s="30"/>
      <c r="R30" s="30"/>
      <c r="S30" s="30"/>
      <c r="T30" s="30"/>
      <c r="U30" s="30"/>
      <c r="V30" s="31"/>
    </row>
    <row r="31" spans="1:22">
      <c r="A31" s="1" t="s">
        <v>52</v>
      </c>
      <c r="B31" s="29">
        <v>0</v>
      </c>
      <c r="C31" s="30">
        <v>0</v>
      </c>
      <c r="D31" s="30">
        <v>0</v>
      </c>
      <c r="E31" s="30">
        <v>0</v>
      </c>
      <c r="F31" s="30">
        <v>0</v>
      </c>
      <c r="G31" s="31">
        <f>SUM(MO_FINANCIAL)</f>
        <v>0</v>
      </c>
      <c r="H31" s="30"/>
      <c r="I31" s="30"/>
      <c r="J31" s="30"/>
      <c r="K31" s="30"/>
      <c r="L31" s="29"/>
      <c r="M31" s="30"/>
      <c r="N31" s="30"/>
      <c r="O31" s="30"/>
      <c r="P31" s="30"/>
      <c r="Q31" s="30"/>
      <c r="R31" s="30"/>
      <c r="S31" s="30"/>
      <c r="T31" s="30"/>
      <c r="U31" s="30"/>
      <c r="V31" s="31"/>
    </row>
    <row r="32" spans="1:22">
      <c r="A32" s="1" t="s">
        <v>53</v>
      </c>
      <c r="B32" s="29">
        <v>0</v>
      </c>
      <c r="C32" s="30">
        <v>0</v>
      </c>
      <c r="D32" s="30">
        <v>27024</v>
      </c>
      <c r="E32" s="30">
        <v>0</v>
      </c>
      <c r="F32" s="30">
        <v>0</v>
      </c>
      <c r="G32" s="31">
        <f>SUM(MT_FINANCIAL)</f>
        <v>27024</v>
      </c>
      <c r="H32" s="30"/>
      <c r="I32" s="30"/>
      <c r="J32" s="30"/>
      <c r="K32" s="30"/>
      <c r="L32" s="29"/>
      <c r="M32" s="30"/>
      <c r="N32" s="30"/>
      <c r="O32" s="30"/>
      <c r="P32" s="30"/>
      <c r="Q32" s="30"/>
      <c r="R32" s="30"/>
      <c r="S32" s="30"/>
      <c r="T32" s="30"/>
      <c r="U32" s="30"/>
      <c r="V32" s="31"/>
    </row>
    <row r="33" spans="1:22">
      <c r="A33" s="1" t="s">
        <v>54</v>
      </c>
      <c r="B33" s="29">
        <v>0</v>
      </c>
      <c r="C33" s="30">
        <v>0</v>
      </c>
      <c r="D33" s="30">
        <v>1372110.6511464564</v>
      </c>
      <c r="E33" s="30">
        <v>0</v>
      </c>
      <c r="F33" s="30">
        <v>0</v>
      </c>
      <c r="G33" s="31">
        <f>SUM(NE_FINANCIAL)</f>
        <v>1372110.6511464564</v>
      </c>
      <c r="H33" s="30"/>
      <c r="I33" s="30"/>
      <c r="J33" s="30"/>
      <c r="K33" s="30"/>
      <c r="L33" s="29">
        <v>0</v>
      </c>
      <c r="M33" s="30">
        <v>0</v>
      </c>
      <c r="N33" s="30"/>
      <c r="O33" s="30">
        <v>0</v>
      </c>
      <c r="P33" s="30">
        <v>0</v>
      </c>
      <c r="Q33" s="30"/>
      <c r="R33" s="30">
        <v>1500000</v>
      </c>
      <c r="S33" s="30">
        <v>0</v>
      </c>
      <c r="T33" s="30"/>
      <c r="U33" s="30">
        <v>0</v>
      </c>
      <c r="V33" s="31">
        <v>0</v>
      </c>
    </row>
    <row r="34" spans="1:22">
      <c r="A34" s="1" t="s">
        <v>55</v>
      </c>
      <c r="B34" s="29">
        <v>0</v>
      </c>
      <c r="C34" s="30">
        <v>0</v>
      </c>
      <c r="D34" s="30">
        <v>306</v>
      </c>
      <c r="E34" s="30">
        <v>0</v>
      </c>
      <c r="F34" s="30">
        <v>0</v>
      </c>
      <c r="G34" s="31">
        <f>SUM(NV_FINANCIAL)</f>
        <v>306</v>
      </c>
      <c r="H34" s="30"/>
      <c r="I34" s="30"/>
      <c r="J34" s="30"/>
      <c r="K34" s="30"/>
      <c r="L34" s="29"/>
      <c r="M34" s="30"/>
      <c r="N34" s="30"/>
      <c r="O34" s="30"/>
      <c r="P34" s="30"/>
      <c r="Q34" s="30"/>
      <c r="R34" s="30"/>
      <c r="S34" s="30"/>
      <c r="T34" s="30"/>
      <c r="U34" s="30"/>
      <c r="V34" s="31"/>
    </row>
    <row r="35" spans="1:22">
      <c r="A35" s="1" t="s">
        <v>56</v>
      </c>
      <c r="B35" s="29">
        <v>0</v>
      </c>
      <c r="C35" s="30">
        <v>0</v>
      </c>
      <c r="D35" s="30">
        <v>0</v>
      </c>
      <c r="E35" s="30">
        <v>0</v>
      </c>
      <c r="F35" s="30">
        <v>0</v>
      </c>
      <c r="G35" s="31">
        <f>SUM(NH_FINANCIAL)</f>
        <v>0</v>
      </c>
      <c r="H35" s="30"/>
      <c r="I35" s="30"/>
      <c r="J35" s="30"/>
      <c r="K35" s="30"/>
      <c r="L35" s="29"/>
      <c r="M35" s="30"/>
      <c r="N35" s="30"/>
      <c r="O35" s="30"/>
      <c r="P35" s="30"/>
      <c r="Q35" s="30"/>
      <c r="R35" s="30"/>
      <c r="S35" s="30"/>
      <c r="T35" s="30"/>
      <c r="U35" s="30"/>
      <c r="V35" s="31"/>
    </row>
    <row r="36" spans="1:22">
      <c r="A36" s="1" t="s">
        <v>57</v>
      </c>
      <c r="B36" s="29">
        <v>0</v>
      </c>
      <c r="C36" s="30">
        <v>0</v>
      </c>
      <c r="D36" s="30">
        <v>0</v>
      </c>
      <c r="E36" s="30">
        <v>0</v>
      </c>
      <c r="F36" s="30">
        <v>0</v>
      </c>
      <c r="G36" s="31">
        <f>SUM(NJ_FINANCIAL)</f>
        <v>0</v>
      </c>
      <c r="H36" s="30"/>
      <c r="I36" s="30"/>
      <c r="J36" s="30"/>
      <c r="K36" s="30"/>
      <c r="L36" s="29"/>
      <c r="M36" s="30"/>
      <c r="N36" s="30"/>
      <c r="O36" s="30"/>
      <c r="P36" s="30"/>
      <c r="Q36" s="30"/>
      <c r="R36" s="30"/>
      <c r="S36" s="30"/>
      <c r="T36" s="30"/>
      <c r="U36" s="30"/>
      <c r="V36" s="31"/>
    </row>
    <row r="37" spans="1:22">
      <c r="A37" s="1" t="s">
        <v>58</v>
      </c>
      <c r="B37" s="29">
        <v>0</v>
      </c>
      <c r="C37" s="30">
        <v>0</v>
      </c>
      <c r="D37" s="30">
        <v>-217869</v>
      </c>
      <c r="E37" s="30">
        <v>0</v>
      </c>
      <c r="F37" s="30">
        <v>0</v>
      </c>
      <c r="G37" s="31">
        <f>SUM(NM_FINANCIAL)</f>
        <v>-217869</v>
      </c>
      <c r="H37" s="30"/>
      <c r="I37" s="30"/>
      <c r="J37" s="30"/>
      <c r="K37" s="30"/>
      <c r="L37" s="29"/>
      <c r="M37" s="30"/>
      <c r="N37" s="30"/>
      <c r="O37" s="30"/>
      <c r="P37" s="30"/>
      <c r="Q37" s="30"/>
      <c r="R37" s="30"/>
      <c r="S37" s="30"/>
      <c r="T37" s="30"/>
      <c r="U37" s="30"/>
      <c r="V37" s="31"/>
    </row>
    <row r="38" spans="1:22">
      <c r="A38" s="1" t="s">
        <v>59</v>
      </c>
      <c r="B38" s="29">
        <v>0</v>
      </c>
      <c r="C38" s="30">
        <v>0</v>
      </c>
      <c r="D38" s="30">
        <v>0</v>
      </c>
      <c r="E38" s="30">
        <v>0</v>
      </c>
      <c r="F38" s="30">
        <v>0</v>
      </c>
      <c r="G38" s="31">
        <f>SUM(NY_FINANCIAL)</f>
        <v>0</v>
      </c>
      <c r="H38" s="30"/>
      <c r="I38" s="30"/>
      <c r="J38" s="30"/>
      <c r="K38" s="30"/>
      <c r="L38" s="29"/>
      <c r="M38" s="30"/>
      <c r="N38" s="30"/>
      <c r="O38" s="30"/>
      <c r="P38" s="30"/>
      <c r="Q38" s="30"/>
      <c r="R38" s="30"/>
      <c r="S38" s="30"/>
      <c r="T38" s="30"/>
      <c r="U38" s="30"/>
      <c r="V38" s="31"/>
    </row>
    <row r="39" spans="1:22">
      <c r="A39" s="1" t="s">
        <v>60</v>
      </c>
      <c r="B39" s="29">
        <v>0</v>
      </c>
      <c r="C39" s="30">
        <v>0</v>
      </c>
      <c r="D39" s="30">
        <v>-403355.8651216416</v>
      </c>
      <c r="E39" s="30">
        <v>0</v>
      </c>
      <c r="F39" s="30">
        <v>0</v>
      </c>
      <c r="G39" s="31">
        <f>SUM(NC_FINANCIAL)</f>
        <v>-403355.8651216416</v>
      </c>
      <c r="H39" s="30"/>
      <c r="I39" s="30"/>
      <c r="J39" s="30"/>
      <c r="K39" s="30"/>
      <c r="L39" s="29"/>
      <c r="M39" s="30"/>
      <c r="N39" s="30"/>
      <c r="O39" s="30"/>
      <c r="P39" s="30"/>
      <c r="Q39" s="30"/>
      <c r="R39" s="30"/>
      <c r="S39" s="30"/>
      <c r="T39" s="30"/>
      <c r="U39" s="30"/>
      <c r="V39" s="31"/>
    </row>
    <row r="40" spans="1:22">
      <c r="A40" s="1" t="s">
        <v>61</v>
      </c>
      <c r="B40" s="29">
        <v>0</v>
      </c>
      <c r="C40" s="30">
        <v>0</v>
      </c>
      <c r="D40" s="30">
        <v>957</v>
      </c>
      <c r="E40" s="30">
        <v>0</v>
      </c>
      <c r="F40" s="30">
        <v>0</v>
      </c>
      <c r="G40" s="31">
        <f>SUM(ND_FINANCIAL)</f>
        <v>957</v>
      </c>
      <c r="H40" s="30"/>
      <c r="I40" s="30"/>
      <c r="J40" s="30"/>
      <c r="K40" s="30"/>
      <c r="L40" s="29"/>
      <c r="M40" s="30"/>
      <c r="N40" s="30"/>
      <c r="O40" s="30"/>
      <c r="P40" s="30"/>
      <c r="Q40" s="30"/>
      <c r="R40" s="30"/>
      <c r="S40" s="30"/>
      <c r="T40" s="30"/>
      <c r="U40" s="30"/>
      <c r="V40" s="31"/>
    </row>
    <row r="41" spans="1:22">
      <c r="A41" s="1" t="s">
        <v>62</v>
      </c>
      <c r="B41" s="29">
        <v>0</v>
      </c>
      <c r="C41" s="30">
        <v>0</v>
      </c>
      <c r="D41" s="30">
        <v>2859281.1006212984</v>
      </c>
      <c r="E41" s="30">
        <v>0</v>
      </c>
      <c r="F41" s="30">
        <v>0</v>
      </c>
      <c r="G41" s="31">
        <f>SUM(OH_FINANCIAL)</f>
        <v>2859281.1006212984</v>
      </c>
      <c r="H41" s="30"/>
      <c r="I41" s="30"/>
      <c r="J41" s="30"/>
      <c r="K41" s="30"/>
      <c r="L41" s="29">
        <v>0</v>
      </c>
      <c r="M41" s="30">
        <v>0</v>
      </c>
      <c r="N41" s="30"/>
      <c r="O41" s="30">
        <v>0</v>
      </c>
      <c r="P41" s="30">
        <v>0</v>
      </c>
      <c r="Q41" s="30"/>
      <c r="R41" s="30">
        <v>2000000</v>
      </c>
      <c r="S41" s="30">
        <v>0</v>
      </c>
      <c r="T41" s="30"/>
      <c r="U41" s="30">
        <v>0</v>
      </c>
      <c r="V41" s="31">
        <v>0</v>
      </c>
    </row>
    <row r="42" spans="1:22">
      <c r="A42" s="1" t="s">
        <v>63</v>
      </c>
      <c r="B42" s="29">
        <v>0</v>
      </c>
      <c r="C42" s="30">
        <v>0</v>
      </c>
      <c r="D42" s="30">
        <v>-272319.42500660755</v>
      </c>
      <c r="E42" s="30">
        <v>0</v>
      </c>
      <c r="F42" s="30">
        <v>0</v>
      </c>
      <c r="G42" s="31">
        <f>SUM(OK_FINANCIAL)</f>
        <v>-272319.42500660755</v>
      </c>
      <c r="H42" s="30"/>
      <c r="I42" s="30"/>
      <c r="J42" s="30"/>
      <c r="K42" s="30"/>
      <c r="L42" s="29"/>
      <c r="M42" s="30"/>
      <c r="N42" s="30"/>
      <c r="O42" s="30"/>
      <c r="P42" s="30"/>
      <c r="Q42" s="30"/>
      <c r="R42" s="30"/>
      <c r="S42" s="30"/>
      <c r="T42" s="30"/>
      <c r="U42" s="30"/>
      <c r="V42" s="31"/>
    </row>
    <row r="43" spans="1:22">
      <c r="A43" s="1" t="s">
        <v>64</v>
      </c>
      <c r="B43" s="29">
        <v>0</v>
      </c>
      <c r="C43" s="30">
        <v>0</v>
      </c>
      <c r="D43" s="30">
        <v>47739.370842684039</v>
      </c>
      <c r="E43" s="30">
        <v>0</v>
      </c>
      <c r="F43" s="30">
        <v>0</v>
      </c>
      <c r="G43" s="31">
        <f>SUM(OR_FINANCIAL)</f>
        <v>47739.370842684039</v>
      </c>
      <c r="H43" s="30"/>
      <c r="I43" s="30"/>
      <c r="J43" s="30"/>
      <c r="K43" s="30"/>
      <c r="L43" s="29"/>
      <c r="M43" s="30"/>
      <c r="N43" s="30"/>
      <c r="O43" s="30"/>
      <c r="P43" s="30"/>
      <c r="Q43" s="30"/>
      <c r="R43" s="30"/>
      <c r="S43" s="30"/>
      <c r="T43" s="30"/>
      <c r="U43" s="30"/>
      <c r="V43" s="31"/>
    </row>
    <row r="44" spans="1:22">
      <c r="A44" s="1" t="s">
        <v>65</v>
      </c>
      <c r="B44" s="29">
        <v>0</v>
      </c>
      <c r="C44" s="30">
        <v>0</v>
      </c>
      <c r="D44" s="30">
        <v>0</v>
      </c>
      <c r="E44" s="30">
        <v>0</v>
      </c>
      <c r="F44" s="30">
        <v>0</v>
      </c>
      <c r="G44" s="31">
        <f>SUM(PA_FINANCIAL)</f>
        <v>0</v>
      </c>
      <c r="H44" s="30"/>
      <c r="I44" s="30"/>
      <c r="J44" s="30"/>
      <c r="K44" s="30"/>
      <c r="L44" s="29"/>
      <c r="M44" s="30"/>
      <c r="N44" s="30"/>
      <c r="O44" s="30"/>
      <c r="P44" s="30"/>
      <c r="Q44" s="30"/>
      <c r="R44" s="30"/>
      <c r="S44" s="30"/>
      <c r="T44" s="30"/>
      <c r="U44" s="30"/>
      <c r="V44" s="31"/>
    </row>
    <row r="45" spans="1:22">
      <c r="A45" s="1" t="s">
        <v>66</v>
      </c>
      <c r="B45" s="29">
        <v>0</v>
      </c>
      <c r="C45" s="30">
        <v>0</v>
      </c>
      <c r="D45" s="30">
        <v>0</v>
      </c>
      <c r="E45" s="30">
        <v>0</v>
      </c>
      <c r="F45" s="30">
        <v>0</v>
      </c>
      <c r="G45" s="31">
        <f>SUM(PR_FINANCIAL)</f>
        <v>0</v>
      </c>
      <c r="H45" s="30"/>
      <c r="I45" s="30"/>
      <c r="J45" s="30"/>
      <c r="K45" s="30"/>
      <c r="L45" s="29"/>
      <c r="M45" s="30"/>
      <c r="N45" s="30"/>
      <c r="O45" s="30"/>
      <c r="P45" s="30"/>
      <c r="Q45" s="30"/>
      <c r="R45" s="30"/>
      <c r="S45" s="30"/>
      <c r="T45" s="30"/>
      <c r="U45" s="30"/>
      <c r="V45" s="31"/>
    </row>
    <row r="46" spans="1:22">
      <c r="A46" s="1" t="s">
        <v>67</v>
      </c>
      <c r="B46" s="29">
        <v>0</v>
      </c>
      <c r="C46" s="30">
        <v>0</v>
      </c>
      <c r="D46" s="30">
        <v>0</v>
      </c>
      <c r="E46" s="30">
        <v>0</v>
      </c>
      <c r="F46" s="30">
        <v>0</v>
      </c>
      <c r="G46" s="31">
        <f>SUM(RI_FINANCIAL)</f>
        <v>0</v>
      </c>
      <c r="H46" s="30"/>
      <c r="I46" s="30"/>
      <c r="J46" s="30"/>
      <c r="K46" s="30"/>
      <c r="L46" s="29"/>
      <c r="M46" s="30"/>
      <c r="N46" s="30"/>
      <c r="O46" s="30"/>
      <c r="P46" s="30"/>
      <c r="Q46" s="30"/>
      <c r="R46" s="30"/>
      <c r="S46" s="30"/>
      <c r="T46" s="30"/>
      <c r="U46" s="30"/>
      <c r="V46" s="31"/>
    </row>
    <row r="47" spans="1:22">
      <c r="A47" s="1" t="s">
        <v>68</v>
      </c>
      <c r="B47" s="29">
        <v>0</v>
      </c>
      <c r="C47" s="30">
        <v>0</v>
      </c>
      <c r="D47" s="30">
        <v>-147824.70022465684</v>
      </c>
      <c r="E47" s="30">
        <v>0</v>
      </c>
      <c r="F47" s="30">
        <v>0</v>
      </c>
      <c r="G47" s="31">
        <f>SUM(SC_FINANCIAL)</f>
        <v>-147824.70022465684</v>
      </c>
      <c r="H47" s="30"/>
      <c r="I47" s="30"/>
      <c r="J47" s="30"/>
      <c r="K47" s="30"/>
      <c r="L47" s="29"/>
      <c r="M47" s="30"/>
      <c r="N47" s="30"/>
      <c r="O47" s="30"/>
      <c r="P47" s="30"/>
      <c r="Q47" s="30"/>
      <c r="R47" s="30"/>
      <c r="S47" s="30"/>
      <c r="T47" s="30"/>
      <c r="U47" s="30"/>
      <c r="V47" s="31"/>
    </row>
    <row r="48" spans="1:22">
      <c r="A48" s="1" t="s">
        <v>69</v>
      </c>
      <c r="B48" s="29">
        <v>0</v>
      </c>
      <c r="C48" s="30">
        <v>0</v>
      </c>
      <c r="D48" s="30">
        <v>1448</v>
      </c>
      <c r="E48" s="30">
        <v>0</v>
      </c>
      <c r="F48" s="30">
        <v>0</v>
      </c>
      <c r="G48" s="31">
        <f>SUM(SD_FINANCIAL)</f>
        <v>1448</v>
      </c>
      <c r="H48" s="30"/>
      <c r="I48" s="30"/>
      <c r="J48" s="30"/>
      <c r="K48" s="30"/>
      <c r="L48" s="29"/>
      <c r="M48" s="30"/>
      <c r="N48" s="30"/>
      <c r="O48" s="30"/>
      <c r="P48" s="30"/>
      <c r="Q48" s="30"/>
      <c r="R48" s="30"/>
      <c r="S48" s="30"/>
      <c r="T48" s="30"/>
      <c r="U48" s="30"/>
      <c r="V48" s="31"/>
    </row>
    <row r="49" spans="1:22">
      <c r="A49" s="1" t="s">
        <v>70</v>
      </c>
      <c r="B49" s="29">
        <v>0</v>
      </c>
      <c r="C49" s="30">
        <v>0</v>
      </c>
      <c r="D49" s="30">
        <v>3230.7888922591283</v>
      </c>
      <c r="E49" s="30">
        <v>0</v>
      </c>
      <c r="F49" s="30">
        <v>0</v>
      </c>
      <c r="G49" s="31">
        <f>SUM(TN_FINANCIAL)</f>
        <v>3230.7888922591283</v>
      </c>
      <c r="H49" s="30"/>
      <c r="I49" s="30"/>
      <c r="J49" s="30"/>
      <c r="K49" s="30"/>
      <c r="L49" s="29"/>
      <c r="M49" s="30"/>
      <c r="N49" s="30"/>
      <c r="O49" s="30"/>
      <c r="P49" s="30"/>
      <c r="Q49" s="30"/>
      <c r="R49" s="30"/>
      <c r="S49" s="30"/>
      <c r="T49" s="30"/>
      <c r="U49" s="30"/>
      <c r="V49" s="31"/>
    </row>
    <row r="50" spans="1:22">
      <c r="A50" s="1" t="s">
        <v>71</v>
      </c>
      <c r="B50" s="29">
        <v>0</v>
      </c>
      <c r="C50" s="30">
        <v>0</v>
      </c>
      <c r="D50" s="30">
        <v>32296.171308705296</v>
      </c>
      <c r="E50" s="30">
        <v>0</v>
      </c>
      <c r="F50" s="30">
        <v>0</v>
      </c>
      <c r="G50" s="31">
        <f>SUM(TX_FINANCIAL)</f>
        <v>32296.171308705296</v>
      </c>
      <c r="H50" s="30"/>
      <c r="I50" s="30"/>
      <c r="J50" s="30"/>
      <c r="K50" s="30"/>
      <c r="L50" s="29">
        <v>0</v>
      </c>
      <c r="M50" s="30">
        <v>0</v>
      </c>
      <c r="N50" s="30"/>
      <c r="O50" s="30">
        <v>0</v>
      </c>
      <c r="P50" s="30">
        <v>0</v>
      </c>
      <c r="Q50" s="30"/>
      <c r="R50" s="30">
        <v>1149991</v>
      </c>
      <c r="S50" s="30">
        <v>0</v>
      </c>
      <c r="T50" s="30"/>
      <c r="U50" s="30">
        <v>0</v>
      </c>
      <c r="V50" s="31">
        <v>0</v>
      </c>
    </row>
    <row r="51" spans="1:22">
      <c r="A51" s="1" t="s">
        <v>72</v>
      </c>
      <c r="B51" s="29">
        <v>0</v>
      </c>
      <c r="C51" s="30">
        <v>0</v>
      </c>
      <c r="D51" s="30">
        <v>13380.674080385772</v>
      </c>
      <c r="E51" s="30">
        <v>0</v>
      </c>
      <c r="F51" s="30">
        <v>0</v>
      </c>
      <c r="G51" s="31">
        <f>SUM(UT_FINANCIAL)</f>
        <v>13380.674080385772</v>
      </c>
      <c r="H51" s="30"/>
      <c r="I51" s="30"/>
      <c r="J51" s="30"/>
      <c r="K51" s="30"/>
      <c r="L51" s="29"/>
      <c r="M51" s="30"/>
      <c r="N51" s="30"/>
      <c r="O51" s="30"/>
      <c r="P51" s="30"/>
      <c r="Q51" s="30"/>
      <c r="R51" s="30"/>
      <c r="S51" s="30"/>
      <c r="T51" s="30"/>
      <c r="U51" s="30"/>
      <c r="V51" s="31"/>
    </row>
    <row r="52" spans="1:22">
      <c r="A52" s="1" t="s">
        <v>73</v>
      </c>
      <c r="B52" s="29">
        <v>0</v>
      </c>
      <c r="C52" s="30">
        <v>0</v>
      </c>
      <c r="D52" s="30">
        <v>0</v>
      </c>
      <c r="E52" s="30">
        <v>0</v>
      </c>
      <c r="F52" s="30">
        <v>0</v>
      </c>
      <c r="G52" s="31">
        <f>SUM(VT_FINANCIAL)</f>
        <v>0</v>
      </c>
      <c r="H52" s="30"/>
      <c r="I52" s="30"/>
      <c r="J52" s="30"/>
      <c r="K52" s="30"/>
      <c r="L52" s="29"/>
      <c r="M52" s="30"/>
      <c r="N52" s="30"/>
      <c r="O52" s="30"/>
      <c r="P52" s="30"/>
      <c r="Q52" s="30"/>
      <c r="R52" s="30"/>
      <c r="S52" s="30"/>
      <c r="T52" s="30"/>
      <c r="U52" s="30"/>
      <c r="V52" s="31"/>
    </row>
    <row r="53" spans="1:22">
      <c r="A53" s="1" t="s">
        <v>74</v>
      </c>
      <c r="B53" s="29">
        <v>0</v>
      </c>
      <c r="C53" s="30">
        <v>0</v>
      </c>
      <c r="D53" s="30">
        <v>1240917.2481812697</v>
      </c>
      <c r="E53" s="30">
        <v>0</v>
      </c>
      <c r="F53" s="30">
        <v>0</v>
      </c>
      <c r="G53" s="31">
        <f>SUM(VA_FINANCIAL)</f>
        <v>1240917.2481812697</v>
      </c>
      <c r="H53" s="30"/>
      <c r="I53" s="30"/>
      <c r="J53" s="30"/>
      <c r="K53" s="30"/>
      <c r="L53" s="29">
        <v>0</v>
      </c>
      <c r="M53" s="30">
        <v>0</v>
      </c>
      <c r="N53" s="30"/>
      <c r="O53" s="30">
        <v>0</v>
      </c>
      <c r="P53" s="30">
        <v>0</v>
      </c>
      <c r="Q53" s="30"/>
      <c r="R53" s="30">
        <v>500000</v>
      </c>
      <c r="S53" s="30">
        <v>0</v>
      </c>
      <c r="T53" s="30"/>
      <c r="U53" s="30">
        <v>0</v>
      </c>
      <c r="V53" s="31">
        <v>0</v>
      </c>
    </row>
    <row r="54" spans="1:22">
      <c r="A54" s="1" t="s">
        <v>75</v>
      </c>
      <c r="B54" s="29">
        <v>0</v>
      </c>
      <c r="C54" s="30">
        <v>0</v>
      </c>
      <c r="D54" s="30">
        <v>0</v>
      </c>
      <c r="E54" s="30">
        <v>0</v>
      </c>
      <c r="F54" s="30">
        <v>0</v>
      </c>
      <c r="G54" s="31">
        <f>SUM(WA_FINANCIAL)</f>
        <v>0</v>
      </c>
      <c r="H54" s="30"/>
      <c r="I54" s="30"/>
      <c r="J54" s="30"/>
      <c r="K54" s="30"/>
      <c r="L54" s="29"/>
      <c r="M54" s="30"/>
      <c r="N54" s="30"/>
      <c r="O54" s="30"/>
      <c r="P54" s="30"/>
      <c r="Q54" s="30"/>
      <c r="R54" s="30"/>
      <c r="S54" s="30"/>
      <c r="T54" s="30"/>
      <c r="U54" s="30"/>
      <c r="V54" s="31"/>
    </row>
    <row r="55" spans="1:22">
      <c r="A55" s="1" t="s">
        <v>76</v>
      </c>
      <c r="B55" s="29">
        <v>0</v>
      </c>
      <c r="C55" s="30">
        <v>0</v>
      </c>
      <c r="D55" s="30">
        <v>33495.163894210098</v>
      </c>
      <c r="E55" s="30">
        <v>0</v>
      </c>
      <c r="F55" s="30">
        <v>0</v>
      </c>
      <c r="G55" s="31">
        <f>SUM(WV_FINANCIAL)</f>
        <v>33495.163894210098</v>
      </c>
      <c r="H55" s="30"/>
      <c r="I55" s="30"/>
      <c r="J55" s="30"/>
      <c r="K55" s="30"/>
      <c r="L55" s="29"/>
      <c r="M55" s="30"/>
      <c r="N55" s="30"/>
      <c r="O55" s="30"/>
      <c r="P55" s="30"/>
      <c r="Q55" s="30"/>
      <c r="R55" s="30"/>
      <c r="S55" s="30"/>
      <c r="T55" s="30"/>
      <c r="U55" s="30"/>
      <c r="V55" s="31"/>
    </row>
    <row r="56" spans="1:22">
      <c r="A56" s="1" t="s">
        <v>77</v>
      </c>
      <c r="B56" s="29">
        <v>0</v>
      </c>
      <c r="C56" s="30">
        <v>0</v>
      </c>
      <c r="D56" s="30">
        <v>0</v>
      </c>
      <c r="E56" s="30">
        <v>0</v>
      </c>
      <c r="F56" s="30">
        <v>0</v>
      </c>
      <c r="G56" s="31">
        <f>SUM(WI_FINANCIAL)</f>
        <v>0</v>
      </c>
      <c r="H56" s="30"/>
      <c r="I56" s="30"/>
      <c r="J56" s="30"/>
      <c r="K56" s="30"/>
      <c r="L56" s="29"/>
      <c r="M56" s="30"/>
      <c r="N56" s="30"/>
      <c r="O56" s="30"/>
      <c r="P56" s="30"/>
      <c r="Q56" s="30"/>
      <c r="R56" s="30"/>
      <c r="S56" s="30"/>
      <c r="T56" s="30"/>
      <c r="U56" s="30"/>
      <c r="V56" s="31"/>
    </row>
    <row r="57" spans="1:22">
      <c r="A57" s="1" t="s">
        <v>78</v>
      </c>
      <c r="B57" s="29">
        <v>0</v>
      </c>
      <c r="C57" s="30">
        <v>0</v>
      </c>
      <c r="D57" s="30">
        <v>0</v>
      </c>
      <c r="E57" s="30">
        <v>0</v>
      </c>
      <c r="F57" s="30">
        <v>0</v>
      </c>
      <c r="G57" s="31">
        <f>SUM(WY_FINANCIAL)</f>
        <v>0</v>
      </c>
      <c r="H57" s="30"/>
      <c r="I57" s="30"/>
      <c r="J57" s="30"/>
      <c r="K57" s="30"/>
      <c r="L57" s="29"/>
      <c r="M57" s="30"/>
      <c r="N57" s="30"/>
      <c r="O57" s="30"/>
      <c r="P57" s="30"/>
      <c r="Q57" s="30"/>
      <c r="R57" s="30"/>
      <c r="S57" s="30"/>
      <c r="T57" s="30"/>
      <c r="U57" s="30"/>
      <c r="V57" s="31"/>
    </row>
    <row r="58" spans="1:22">
      <c r="A58" s="1" t="s">
        <v>79</v>
      </c>
      <c r="B58" s="29">
        <v>0</v>
      </c>
      <c r="C58" s="30">
        <v>0</v>
      </c>
      <c r="D58" s="30">
        <v>0</v>
      </c>
      <c r="E58" s="30">
        <v>0</v>
      </c>
      <c r="F58" s="30">
        <v>0</v>
      </c>
      <c r="G58" s="31">
        <f>SUM(OT_FINANCIAL)</f>
        <v>0</v>
      </c>
      <c r="H58" s="30"/>
      <c r="I58" s="30"/>
      <c r="J58" s="30"/>
      <c r="K58" s="30"/>
      <c r="L58" s="29"/>
      <c r="M58" s="30"/>
      <c r="N58" s="30"/>
      <c r="O58" s="30"/>
      <c r="P58" s="30"/>
      <c r="Q58" s="30"/>
      <c r="R58" s="30"/>
      <c r="S58" s="30"/>
      <c r="T58" s="30"/>
      <c r="U58" s="30"/>
      <c r="V58" s="31"/>
    </row>
    <row r="59" spans="1:22">
      <c r="B59" s="29"/>
      <c r="C59" s="30"/>
      <c r="D59" s="30"/>
      <c r="E59" s="30"/>
      <c r="F59" s="30"/>
      <c r="G59" s="31"/>
      <c r="H59" s="30"/>
      <c r="I59" s="30"/>
      <c r="J59" s="30"/>
      <c r="K59" s="30"/>
      <c r="L59" s="29"/>
      <c r="M59" s="30"/>
      <c r="N59" s="30"/>
      <c r="O59" s="30"/>
      <c r="P59" s="30"/>
      <c r="Q59" s="30"/>
      <c r="R59" s="30"/>
      <c r="S59" s="30"/>
      <c r="T59" s="30"/>
      <c r="U59" s="30"/>
      <c r="V59" s="31"/>
    </row>
    <row r="60" spans="1:22">
      <c r="A60" s="1" t="s">
        <v>8</v>
      </c>
      <c r="B60" s="29">
        <f>SUM(LIFE)</f>
        <v>0</v>
      </c>
      <c r="C60" s="30">
        <f>SUM(ALLOCATED)</f>
        <v>0</v>
      </c>
      <c r="D60" s="30">
        <f>SUM(HEALTH)</f>
        <v>25705698.670000002</v>
      </c>
      <c r="E60" s="30">
        <f>SUM(UNALLOCATED)</f>
        <v>0</v>
      </c>
      <c r="F60" s="30">
        <f>SUM(LTC)</f>
        <v>0</v>
      </c>
      <c r="G60" s="31">
        <f>SUM(ALL_BLOCKS)</f>
        <v>25705698.670000002</v>
      </c>
      <c r="H60" s="30"/>
      <c r="I60" s="30"/>
      <c r="J60" s="30"/>
      <c r="K60" s="30"/>
      <c r="L60" s="29">
        <f>SUM(LIFE_CALLED)</f>
        <v>0</v>
      </c>
      <c r="M60" s="30">
        <f>SUM(LIFE_REFUNDED)</f>
        <v>0</v>
      </c>
      <c r="N60" s="30"/>
      <c r="O60" s="30">
        <f>SUM(ALLOC_CALLED)</f>
        <v>0</v>
      </c>
      <c r="P60" s="30">
        <f>SUM(ALLOC_REFUNDED)</f>
        <v>0</v>
      </c>
      <c r="Q60" s="30"/>
      <c r="R60" s="30">
        <f>SUM(HEALTH_CALLED)</f>
        <v>22285577</v>
      </c>
      <c r="S60" s="30">
        <f>SUM(HEALTH_REFUNDED)</f>
        <v>31891</v>
      </c>
      <c r="T60" s="30"/>
      <c r="U60" s="30">
        <f>SUM(UNALLOC_CALLED)</f>
        <v>0</v>
      </c>
      <c r="V60" s="31">
        <f>SUM(UNALLOC_REFUNDED)</f>
        <v>0</v>
      </c>
    </row>
    <row r="61" spans="1:22" ht="5.0999999999999996" customHeight="1">
      <c r="B61" s="8"/>
      <c r="G61" s="11"/>
      <c r="L61" s="8"/>
      <c r="V61" s="11"/>
    </row>
    <row r="62" spans="1:22">
      <c r="B62" s="8"/>
      <c r="G62" s="11"/>
      <c r="L62" s="122" t="s">
        <v>80</v>
      </c>
      <c r="M62" s="123"/>
      <c r="N62" s="123"/>
      <c r="O62" s="123"/>
      <c r="P62" s="123"/>
      <c r="Q62" s="123"/>
      <c r="R62" s="123"/>
      <c r="S62" s="123"/>
      <c r="T62" s="123"/>
      <c r="U62" s="123"/>
      <c r="V62" s="124"/>
    </row>
    <row r="63" spans="1:22">
      <c r="B63" s="8"/>
      <c r="G63" s="11"/>
      <c r="L63" s="125"/>
      <c r="M63" s="123"/>
      <c r="N63" s="123"/>
      <c r="O63" s="123"/>
      <c r="P63" s="123"/>
      <c r="Q63" s="123"/>
      <c r="R63" s="123"/>
      <c r="S63" s="123"/>
      <c r="T63" s="123"/>
      <c r="U63" s="123"/>
      <c r="V63" s="124"/>
    </row>
    <row r="64" spans="1:22">
      <c r="B64" s="10"/>
      <c r="C64" s="7"/>
      <c r="D64" s="7"/>
      <c r="E64" s="7"/>
      <c r="F64" s="7"/>
      <c r="G64" s="13"/>
      <c r="L64" s="126"/>
      <c r="M64" s="127"/>
      <c r="N64" s="127"/>
      <c r="O64" s="127"/>
      <c r="P64" s="127"/>
      <c r="Q64" s="127"/>
      <c r="R64" s="127"/>
      <c r="S64" s="127"/>
      <c r="T64" s="127"/>
      <c r="U64" s="127"/>
      <c r="V64" s="128"/>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pageSetUpPr fitToPage="1"/>
  </sheetPr>
  <dimension ref="A1:V64"/>
  <sheetViews>
    <sheetView zoomScale="75" workbookViewId="0">
      <selection sqref="A1:XFD1048576"/>
    </sheetView>
  </sheetViews>
  <sheetFormatPr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129" t="s">
        <v>138</v>
      </c>
      <c r="B1" s="123"/>
      <c r="C1" s="123"/>
      <c r="D1" s="123"/>
      <c r="E1" s="123"/>
      <c r="F1" s="123"/>
      <c r="G1" s="123"/>
    </row>
    <row r="3" spans="1:22">
      <c r="B3" s="130" t="s">
        <v>1</v>
      </c>
      <c r="C3" s="131"/>
      <c r="D3" s="131"/>
      <c r="E3" s="131"/>
      <c r="F3" s="131"/>
      <c r="G3" s="132"/>
      <c r="L3" s="133" t="s">
        <v>2</v>
      </c>
      <c r="M3" s="134"/>
      <c r="N3" s="134"/>
      <c r="O3" s="134"/>
      <c r="P3" s="134"/>
      <c r="Q3" s="134"/>
      <c r="R3" s="134"/>
      <c r="S3" s="134"/>
      <c r="T3" s="134"/>
      <c r="U3" s="134"/>
      <c r="V3" s="135"/>
    </row>
    <row r="4" spans="1:22">
      <c r="B4" s="8"/>
      <c r="G4" s="11"/>
      <c r="L4" s="136" t="s">
        <v>3</v>
      </c>
      <c r="M4" s="137"/>
      <c r="N4" s="4"/>
      <c r="O4" s="138" t="s">
        <v>4</v>
      </c>
      <c r="P4" s="137"/>
      <c r="Q4" s="4"/>
      <c r="R4" s="138" t="s">
        <v>5</v>
      </c>
      <c r="S4" s="137"/>
      <c r="T4" s="4"/>
      <c r="U4" s="138" t="s">
        <v>6</v>
      </c>
      <c r="V4" s="139"/>
    </row>
    <row r="5" spans="1:22" ht="60" customHeight="1">
      <c r="B5" s="9" t="s">
        <v>3</v>
      </c>
      <c r="C5" s="5" t="s">
        <v>4</v>
      </c>
      <c r="D5" s="5" t="s">
        <v>5</v>
      </c>
      <c r="E5" s="5" t="s">
        <v>6</v>
      </c>
      <c r="F5" s="5" t="s">
        <v>7</v>
      </c>
      <c r="G5" s="12" t="s">
        <v>8</v>
      </c>
      <c r="L5" s="15" t="s">
        <v>9</v>
      </c>
      <c r="M5" s="14" t="s">
        <v>10</v>
      </c>
      <c r="N5" s="14"/>
      <c r="O5" s="14" t="s">
        <v>9</v>
      </c>
      <c r="P5" s="14" t="s">
        <v>10</v>
      </c>
      <c r="Q5" s="14"/>
      <c r="R5" s="14" t="s">
        <v>9</v>
      </c>
      <c r="S5" s="14" t="s">
        <v>10</v>
      </c>
      <c r="T5" s="14"/>
      <c r="U5" s="14" t="s">
        <v>9</v>
      </c>
      <c r="V5" s="16" t="s">
        <v>10</v>
      </c>
    </row>
    <row r="6" spans="1:22">
      <c r="A6" s="1" t="s">
        <v>11</v>
      </c>
      <c r="B6" s="29">
        <v>0</v>
      </c>
      <c r="C6" s="30">
        <v>0</v>
      </c>
      <c r="D6" s="30">
        <v>0</v>
      </c>
      <c r="E6" s="30">
        <v>0</v>
      </c>
      <c r="F6" s="30">
        <v>0</v>
      </c>
      <c r="G6" s="31">
        <f>SUM(AL_FINANCIAL)</f>
        <v>0</v>
      </c>
      <c r="H6" s="30"/>
      <c r="I6" s="30"/>
      <c r="J6" s="30"/>
      <c r="K6" s="30"/>
      <c r="L6" s="29"/>
      <c r="M6" s="30"/>
      <c r="N6" s="30"/>
      <c r="O6" s="30"/>
      <c r="P6" s="30"/>
      <c r="Q6" s="30"/>
      <c r="R6" s="30"/>
      <c r="S6" s="30"/>
      <c r="T6" s="30"/>
      <c r="U6" s="30"/>
      <c r="V6" s="31"/>
    </row>
    <row r="7" spans="1:22">
      <c r="A7" s="1" t="s">
        <v>12</v>
      </c>
      <c r="B7" s="29">
        <v>0</v>
      </c>
      <c r="C7" s="30">
        <v>0</v>
      </c>
      <c r="D7" s="30">
        <v>0</v>
      </c>
      <c r="E7" s="30">
        <v>0</v>
      </c>
      <c r="F7" s="30">
        <v>0</v>
      </c>
      <c r="G7" s="31">
        <f>SUM(AK_FINANCIAL)</f>
        <v>0</v>
      </c>
      <c r="H7" s="30"/>
      <c r="I7" s="32"/>
      <c r="J7" s="33"/>
      <c r="K7" s="30"/>
      <c r="L7" s="29"/>
      <c r="M7" s="30"/>
      <c r="N7" s="30"/>
      <c r="O7" s="30"/>
      <c r="P7" s="30"/>
      <c r="Q7" s="30"/>
      <c r="R7" s="30"/>
      <c r="S7" s="30"/>
      <c r="T7" s="30"/>
      <c r="U7" s="30"/>
      <c r="V7" s="31"/>
    </row>
    <row r="8" spans="1:22">
      <c r="A8" s="1" t="s">
        <v>13</v>
      </c>
      <c r="B8" s="29">
        <v>0</v>
      </c>
      <c r="C8" s="30">
        <v>0</v>
      </c>
      <c r="D8" s="30">
        <v>0</v>
      </c>
      <c r="E8" s="30">
        <v>0</v>
      </c>
      <c r="F8" s="30">
        <v>0</v>
      </c>
      <c r="G8" s="31">
        <f>SUM(AZ_FINANCIAL)</f>
        <v>0</v>
      </c>
      <c r="H8" s="30"/>
      <c r="I8" s="34" t="s">
        <v>14</v>
      </c>
      <c r="J8" s="35"/>
      <c r="K8" s="30"/>
      <c r="L8" s="29"/>
      <c r="M8" s="30"/>
      <c r="N8" s="30"/>
      <c r="O8" s="30"/>
      <c r="P8" s="30"/>
      <c r="Q8" s="30"/>
      <c r="R8" s="30"/>
      <c r="S8" s="30"/>
      <c r="T8" s="30"/>
      <c r="U8" s="30"/>
      <c r="V8" s="31"/>
    </row>
    <row r="9" spans="1:22">
      <c r="A9" s="1" t="s">
        <v>15</v>
      </c>
      <c r="B9" s="29">
        <v>0</v>
      </c>
      <c r="C9" s="30">
        <v>0</v>
      </c>
      <c r="D9" s="30">
        <v>0</v>
      </c>
      <c r="E9" s="30">
        <v>0</v>
      </c>
      <c r="F9" s="30">
        <v>0</v>
      </c>
      <c r="G9" s="31">
        <f>SUM(AR_FINANCIAL)</f>
        <v>0</v>
      </c>
      <c r="H9" s="30"/>
      <c r="I9" s="34"/>
      <c r="J9" s="35"/>
      <c r="K9" s="30"/>
      <c r="L9" s="29"/>
      <c r="M9" s="30"/>
      <c r="N9" s="30"/>
      <c r="O9" s="30"/>
      <c r="P9" s="30"/>
      <c r="Q9" s="30"/>
      <c r="R9" s="30"/>
      <c r="S9" s="30"/>
      <c r="T9" s="30"/>
      <c r="U9" s="30"/>
      <c r="V9" s="31"/>
    </row>
    <row r="10" spans="1:22">
      <c r="A10" s="1" t="s">
        <v>16</v>
      </c>
      <c r="B10" s="29">
        <v>0</v>
      </c>
      <c r="C10" s="30">
        <v>0</v>
      </c>
      <c r="D10" s="30">
        <v>0</v>
      </c>
      <c r="E10" s="30">
        <v>0</v>
      </c>
      <c r="F10" s="30">
        <v>0</v>
      </c>
      <c r="G10" s="31">
        <f>SUM(CA_FINANCIAL)</f>
        <v>0</v>
      </c>
      <c r="H10" s="30"/>
      <c r="I10" s="34" t="s">
        <v>17</v>
      </c>
      <c r="J10" s="35">
        <v>179613017.95999974</v>
      </c>
      <c r="K10" s="30"/>
      <c r="L10" s="29"/>
      <c r="M10" s="30"/>
      <c r="N10" s="30"/>
      <c r="O10" s="30"/>
      <c r="P10" s="30"/>
      <c r="Q10" s="30"/>
      <c r="R10" s="30"/>
      <c r="S10" s="30"/>
      <c r="T10" s="30"/>
      <c r="U10" s="30"/>
      <c r="V10" s="31"/>
    </row>
    <row r="11" spans="1:22">
      <c r="A11" s="1" t="s">
        <v>18</v>
      </c>
      <c r="B11" s="29">
        <v>0</v>
      </c>
      <c r="C11" s="30">
        <v>0</v>
      </c>
      <c r="D11" s="30">
        <v>0</v>
      </c>
      <c r="E11" s="30">
        <v>0</v>
      </c>
      <c r="F11" s="30">
        <v>0</v>
      </c>
      <c r="G11" s="31">
        <f>SUM(CO_FINANCIAL)</f>
        <v>0</v>
      </c>
      <c r="H11" s="30"/>
      <c r="I11" s="34"/>
      <c r="J11" s="35"/>
      <c r="K11" s="30"/>
      <c r="L11" s="29"/>
      <c r="M11" s="30"/>
      <c r="N11" s="30"/>
      <c r="O11" s="30"/>
      <c r="P11" s="30"/>
      <c r="Q11" s="30"/>
      <c r="R11" s="30"/>
      <c r="S11" s="30"/>
      <c r="T11" s="30"/>
      <c r="U11" s="30"/>
      <c r="V11" s="31"/>
    </row>
    <row r="12" spans="1:22">
      <c r="A12" s="1" t="s">
        <v>19</v>
      </c>
      <c r="B12" s="29">
        <v>0</v>
      </c>
      <c r="C12" s="30">
        <v>0</v>
      </c>
      <c r="D12" s="30">
        <v>0</v>
      </c>
      <c r="E12" s="30">
        <v>0</v>
      </c>
      <c r="F12" s="30">
        <v>0</v>
      </c>
      <c r="G12" s="31">
        <f>SUM(CT_FINANCIAL)</f>
        <v>0</v>
      </c>
      <c r="H12" s="30"/>
      <c r="I12" s="34" t="s">
        <v>20</v>
      </c>
      <c r="J12" s="35"/>
      <c r="K12" s="30"/>
      <c r="L12" s="29"/>
      <c r="M12" s="30"/>
      <c r="N12" s="30"/>
      <c r="O12" s="30"/>
      <c r="P12" s="30"/>
      <c r="Q12" s="30"/>
      <c r="R12" s="30"/>
      <c r="S12" s="30"/>
      <c r="T12" s="30"/>
      <c r="U12" s="30"/>
      <c r="V12" s="31"/>
    </row>
    <row r="13" spans="1:22">
      <c r="A13" s="1" t="s">
        <v>21</v>
      </c>
      <c r="B13" s="29">
        <v>0</v>
      </c>
      <c r="C13" s="30">
        <v>0</v>
      </c>
      <c r="D13" s="30">
        <v>0</v>
      </c>
      <c r="E13" s="30">
        <v>0</v>
      </c>
      <c r="F13" s="30">
        <v>0</v>
      </c>
      <c r="G13" s="31">
        <f>SUM(DE_FINANCIAL)</f>
        <v>0</v>
      </c>
      <c r="H13" s="30"/>
      <c r="I13" s="34" t="s">
        <v>22</v>
      </c>
      <c r="J13" s="35">
        <v>21125677.750000019</v>
      </c>
      <c r="K13" s="30"/>
      <c r="L13" s="29"/>
      <c r="M13" s="30"/>
      <c r="N13" s="30"/>
      <c r="O13" s="30"/>
      <c r="P13" s="30"/>
      <c r="Q13" s="30"/>
      <c r="R13" s="30"/>
      <c r="S13" s="30"/>
      <c r="T13" s="30"/>
      <c r="U13" s="30"/>
      <c r="V13" s="31"/>
    </row>
    <row r="14" spans="1:22">
      <c r="A14" s="1" t="s">
        <v>23</v>
      </c>
      <c r="B14" s="29">
        <v>0</v>
      </c>
      <c r="C14" s="30">
        <v>0</v>
      </c>
      <c r="D14" s="30">
        <v>0</v>
      </c>
      <c r="E14" s="30">
        <v>0</v>
      </c>
      <c r="F14" s="30">
        <v>0</v>
      </c>
      <c r="G14" s="31">
        <f>SUM(DC_FINANCIAL)</f>
        <v>0</v>
      </c>
      <c r="H14" s="30"/>
      <c r="I14" s="34" t="s">
        <v>24</v>
      </c>
      <c r="J14" s="35">
        <v>3955062.5796813769</v>
      </c>
      <c r="K14" s="30"/>
      <c r="L14" s="29"/>
      <c r="M14" s="30"/>
      <c r="N14" s="30"/>
      <c r="O14" s="30"/>
      <c r="P14" s="30"/>
      <c r="Q14" s="30"/>
      <c r="R14" s="30"/>
      <c r="S14" s="30"/>
      <c r="T14" s="30"/>
      <c r="U14" s="30"/>
      <c r="V14" s="31"/>
    </row>
    <row r="15" spans="1:22">
      <c r="A15" s="1" t="s">
        <v>25</v>
      </c>
      <c r="B15" s="29">
        <v>0</v>
      </c>
      <c r="C15" s="30">
        <v>0</v>
      </c>
      <c r="D15" s="30">
        <v>0</v>
      </c>
      <c r="E15" s="30">
        <v>0</v>
      </c>
      <c r="F15" s="30">
        <v>0</v>
      </c>
      <c r="G15" s="31">
        <f>SUM(FL_FINANCIAL)</f>
        <v>0</v>
      </c>
      <c r="H15" s="30"/>
      <c r="I15" s="34" t="s">
        <v>26</v>
      </c>
      <c r="J15" s="35">
        <v>20394724</v>
      </c>
      <c r="K15" s="30"/>
      <c r="L15" s="29"/>
      <c r="M15" s="30"/>
      <c r="N15" s="30"/>
      <c r="O15" s="30"/>
      <c r="P15" s="30"/>
      <c r="Q15" s="30"/>
      <c r="R15" s="30"/>
      <c r="S15" s="30"/>
      <c r="T15" s="30"/>
      <c r="U15" s="30"/>
      <c r="V15" s="31"/>
    </row>
    <row r="16" spans="1:22">
      <c r="A16" s="1" t="s">
        <v>27</v>
      </c>
      <c r="B16" s="29">
        <v>0</v>
      </c>
      <c r="C16" s="30">
        <v>0</v>
      </c>
      <c r="D16" s="30">
        <v>0</v>
      </c>
      <c r="E16" s="30">
        <v>0</v>
      </c>
      <c r="F16" s="30">
        <v>0</v>
      </c>
      <c r="G16" s="31">
        <f>SUM(GA_FINANCIAL)</f>
        <v>0</v>
      </c>
      <c r="H16" s="30"/>
      <c r="I16" s="34" t="s">
        <v>28</v>
      </c>
      <c r="J16" s="35">
        <v>0</v>
      </c>
      <c r="K16" s="30"/>
      <c r="L16" s="29"/>
      <c r="M16" s="30"/>
      <c r="N16" s="30"/>
      <c r="O16" s="30"/>
      <c r="P16" s="30"/>
      <c r="Q16" s="30"/>
      <c r="R16" s="30"/>
      <c r="S16" s="30"/>
      <c r="T16" s="30"/>
      <c r="U16" s="30"/>
      <c r="V16" s="31"/>
    </row>
    <row r="17" spans="1:22">
      <c r="A17" s="1" t="s">
        <v>29</v>
      </c>
      <c r="B17" s="29">
        <v>0</v>
      </c>
      <c r="C17" s="30">
        <v>0</v>
      </c>
      <c r="D17" s="30">
        <v>0</v>
      </c>
      <c r="E17" s="30">
        <v>0</v>
      </c>
      <c r="F17" s="30">
        <v>0</v>
      </c>
      <c r="G17" s="31">
        <f>SUM(HI_FINANCIAL)</f>
        <v>0</v>
      </c>
      <c r="H17" s="30"/>
      <c r="I17" s="34"/>
      <c r="J17" s="35"/>
      <c r="K17" s="30"/>
      <c r="L17" s="29"/>
      <c r="M17" s="30"/>
      <c r="N17" s="30"/>
      <c r="O17" s="30"/>
      <c r="P17" s="30"/>
      <c r="Q17" s="30"/>
      <c r="R17" s="30"/>
      <c r="S17" s="30"/>
      <c r="T17" s="30"/>
      <c r="U17" s="30"/>
      <c r="V17" s="31"/>
    </row>
    <row r="18" spans="1:22">
      <c r="A18" s="1" t="s">
        <v>30</v>
      </c>
      <c r="B18" s="29">
        <v>0</v>
      </c>
      <c r="C18" s="30">
        <v>0</v>
      </c>
      <c r="D18" s="30">
        <v>0</v>
      </c>
      <c r="E18" s="30">
        <v>0</v>
      </c>
      <c r="F18" s="30">
        <v>0</v>
      </c>
      <c r="G18" s="31">
        <f>SUM(ID_FINANCIAL)</f>
        <v>0</v>
      </c>
      <c r="H18" s="30"/>
      <c r="I18" s="34" t="s">
        <v>31</v>
      </c>
      <c r="J18" s="35"/>
      <c r="K18" s="30"/>
      <c r="L18" s="29"/>
      <c r="M18" s="30"/>
      <c r="N18" s="30"/>
      <c r="O18" s="30"/>
      <c r="P18" s="30"/>
      <c r="Q18" s="30"/>
      <c r="R18" s="30"/>
      <c r="S18" s="30"/>
      <c r="T18" s="30"/>
      <c r="U18" s="30"/>
      <c r="V18" s="31"/>
    </row>
    <row r="19" spans="1:22">
      <c r="A19" s="1" t="s">
        <v>32</v>
      </c>
      <c r="B19" s="29">
        <v>0</v>
      </c>
      <c r="C19" s="30">
        <v>0</v>
      </c>
      <c r="D19" s="30">
        <v>0</v>
      </c>
      <c r="E19" s="30">
        <v>0</v>
      </c>
      <c r="F19" s="30">
        <v>0</v>
      </c>
      <c r="G19" s="31">
        <f>SUM(IL_FINANCIAL)</f>
        <v>0</v>
      </c>
      <c r="H19" s="30"/>
      <c r="I19" s="34" t="s">
        <v>33</v>
      </c>
      <c r="J19" s="35">
        <v>0</v>
      </c>
      <c r="K19" s="30"/>
      <c r="L19" s="29"/>
      <c r="M19" s="30"/>
      <c r="N19" s="30"/>
      <c r="O19" s="30"/>
      <c r="P19" s="30"/>
      <c r="Q19" s="30"/>
      <c r="R19" s="30"/>
      <c r="S19" s="30"/>
      <c r="T19" s="30"/>
      <c r="U19" s="30"/>
      <c r="V19" s="31"/>
    </row>
    <row r="20" spans="1:22">
      <c r="A20" s="1" t="s">
        <v>34</v>
      </c>
      <c r="B20" s="29">
        <v>0</v>
      </c>
      <c r="C20" s="30">
        <v>0</v>
      </c>
      <c r="D20" s="30">
        <v>0</v>
      </c>
      <c r="E20" s="30">
        <v>0</v>
      </c>
      <c r="F20" s="30">
        <v>0</v>
      </c>
      <c r="G20" s="31">
        <f>SUM(IN_FINANCIAL)</f>
        <v>0</v>
      </c>
      <c r="H20" s="30"/>
      <c r="I20" s="34" t="s">
        <v>35</v>
      </c>
      <c r="J20" s="35">
        <v>84962433.915585563</v>
      </c>
      <c r="K20" s="30"/>
      <c r="L20" s="29"/>
      <c r="M20" s="30"/>
      <c r="N20" s="30"/>
      <c r="O20" s="30"/>
      <c r="P20" s="30"/>
      <c r="Q20" s="30"/>
      <c r="R20" s="30"/>
      <c r="S20" s="30"/>
      <c r="T20" s="30"/>
      <c r="U20" s="30"/>
      <c r="V20" s="31"/>
    </row>
    <row r="21" spans="1:22">
      <c r="A21" s="1" t="s">
        <v>36</v>
      </c>
      <c r="B21" s="29">
        <v>0</v>
      </c>
      <c r="C21" s="30">
        <v>0</v>
      </c>
      <c r="D21" s="30">
        <v>0</v>
      </c>
      <c r="E21" s="30">
        <v>0</v>
      </c>
      <c r="F21" s="30">
        <v>0</v>
      </c>
      <c r="G21" s="31">
        <f>SUM(IA_FINANCIAL)</f>
        <v>0</v>
      </c>
      <c r="H21" s="30"/>
      <c r="I21" s="34" t="s">
        <v>37</v>
      </c>
      <c r="J21" s="35"/>
      <c r="K21" s="30"/>
      <c r="L21" s="29"/>
      <c r="M21" s="30"/>
      <c r="N21" s="30"/>
      <c r="O21" s="30"/>
      <c r="P21" s="30"/>
      <c r="Q21" s="30"/>
      <c r="R21" s="30"/>
      <c r="S21" s="30"/>
      <c r="T21" s="30"/>
      <c r="U21" s="30"/>
      <c r="V21" s="31"/>
    </row>
    <row r="22" spans="1:22">
      <c r="A22" s="1" t="s">
        <v>38</v>
      </c>
      <c r="B22" s="29">
        <v>0</v>
      </c>
      <c r="C22" s="30">
        <v>0</v>
      </c>
      <c r="D22" s="30">
        <v>0</v>
      </c>
      <c r="E22" s="30">
        <v>0</v>
      </c>
      <c r="F22" s="30">
        <v>0</v>
      </c>
      <c r="G22" s="31">
        <f>SUM(KS_FINANCIAL)</f>
        <v>0</v>
      </c>
      <c r="H22" s="30"/>
      <c r="I22" s="34" t="s">
        <v>39</v>
      </c>
      <c r="J22" s="35">
        <v>0</v>
      </c>
      <c r="K22" s="30"/>
      <c r="L22" s="29"/>
      <c r="M22" s="30"/>
      <c r="N22" s="30"/>
      <c r="O22" s="30"/>
      <c r="P22" s="30"/>
      <c r="Q22" s="30"/>
      <c r="R22" s="30"/>
      <c r="S22" s="30"/>
      <c r="T22" s="30"/>
      <c r="U22" s="30"/>
      <c r="V22" s="31"/>
    </row>
    <row r="23" spans="1:22">
      <c r="A23" s="1" t="s">
        <v>40</v>
      </c>
      <c r="B23" s="29">
        <v>0</v>
      </c>
      <c r="C23" s="30">
        <v>0</v>
      </c>
      <c r="D23" s="30">
        <v>0</v>
      </c>
      <c r="E23" s="30">
        <v>0</v>
      </c>
      <c r="F23" s="30">
        <v>0</v>
      </c>
      <c r="G23" s="31">
        <f>SUM(KY_FINANCIAL)</f>
        <v>0</v>
      </c>
      <c r="H23" s="30"/>
      <c r="I23" s="34" t="s">
        <v>41</v>
      </c>
      <c r="J23" s="35"/>
      <c r="K23" s="30"/>
      <c r="L23" s="29"/>
      <c r="M23" s="30"/>
      <c r="N23" s="30"/>
      <c r="O23" s="30"/>
      <c r="P23" s="30"/>
      <c r="Q23" s="30"/>
      <c r="R23" s="30"/>
      <c r="S23" s="30"/>
      <c r="T23" s="30"/>
      <c r="U23" s="30"/>
      <c r="V23" s="31"/>
    </row>
    <row r="24" spans="1:22">
      <c r="A24" s="1" t="s">
        <v>42</v>
      </c>
      <c r="B24" s="29">
        <v>0</v>
      </c>
      <c r="C24" s="30">
        <v>0</v>
      </c>
      <c r="D24" s="30">
        <v>0</v>
      </c>
      <c r="E24" s="30">
        <v>0</v>
      </c>
      <c r="F24" s="30">
        <v>0</v>
      </c>
      <c r="G24" s="31">
        <f>SUM(LA_FINANCIAL)</f>
        <v>0</v>
      </c>
      <c r="H24" s="30"/>
      <c r="I24" s="34" t="s">
        <v>43</v>
      </c>
      <c r="J24" s="35">
        <v>72441536.719999999</v>
      </c>
      <c r="K24" s="30"/>
      <c r="L24" s="29"/>
      <c r="M24" s="30"/>
      <c r="N24" s="30"/>
      <c r="O24" s="30"/>
      <c r="P24" s="30"/>
      <c r="Q24" s="30"/>
      <c r="R24" s="30"/>
      <c r="S24" s="30"/>
      <c r="T24" s="30"/>
      <c r="U24" s="30"/>
      <c r="V24" s="31"/>
    </row>
    <row r="25" spans="1:22">
      <c r="A25" s="1" t="s">
        <v>44</v>
      </c>
      <c r="B25" s="29">
        <v>0</v>
      </c>
      <c r="C25" s="30">
        <v>0</v>
      </c>
      <c r="D25" s="30">
        <v>0</v>
      </c>
      <c r="E25" s="30">
        <v>0</v>
      </c>
      <c r="F25" s="30">
        <v>0</v>
      </c>
      <c r="G25" s="31">
        <f>SUM(ME_FINANCIAL)</f>
        <v>0</v>
      </c>
      <c r="H25" s="30"/>
      <c r="I25" s="34"/>
      <c r="J25" s="35"/>
      <c r="K25" s="30"/>
      <c r="L25" s="29"/>
      <c r="M25" s="30"/>
      <c r="N25" s="30"/>
      <c r="O25" s="30"/>
      <c r="P25" s="30"/>
      <c r="Q25" s="30"/>
      <c r="R25" s="30"/>
      <c r="S25" s="30"/>
      <c r="T25" s="30"/>
      <c r="U25" s="30"/>
      <c r="V25" s="31"/>
    </row>
    <row r="26" spans="1:22">
      <c r="A26" s="1" t="s">
        <v>45</v>
      </c>
      <c r="B26" s="29">
        <v>0</v>
      </c>
      <c r="C26" s="30">
        <v>0</v>
      </c>
      <c r="D26" s="30">
        <v>0</v>
      </c>
      <c r="E26" s="30">
        <v>0</v>
      </c>
      <c r="F26" s="30">
        <v>0</v>
      </c>
      <c r="G26" s="31">
        <f>SUM(MD_FINANCIAL)</f>
        <v>0</v>
      </c>
      <c r="H26" s="30"/>
      <c r="I26" s="34" t="s">
        <v>46</v>
      </c>
      <c r="J26" s="35">
        <f>SUM(ADD_FINANCIAL)-SUM(LESS_FINANCIAL)</f>
        <v>67684511.65409559</v>
      </c>
      <c r="K26" s="30"/>
      <c r="L26" s="29"/>
      <c r="M26" s="30"/>
      <c r="N26" s="30"/>
      <c r="O26" s="30"/>
      <c r="P26" s="30"/>
      <c r="Q26" s="30"/>
      <c r="R26" s="30"/>
      <c r="S26" s="30"/>
      <c r="T26" s="30"/>
      <c r="U26" s="30"/>
      <c r="V26" s="31"/>
    </row>
    <row r="27" spans="1:22">
      <c r="A27" s="1" t="s">
        <v>47</v>
      </c>
      <c r="B27" s="29">
        <v>0</v>
      </c>
      <c r="C27" s="30">
        <v>0</v>
      </c>
      <c r="D27" s="30">
        <v>0</v>
      </c>
      <c r="E27" s="30">
        <v>0</v>
      </c>
      <c r="F27" s="30">
        <v>0</v>
      </c>
      <c r="G27" s="31">
        <f>SUM(MA_FINANCIAL)</f>
        <v>0</v>
      </c>
      <c r="H27" s="30"/>
      <c r="I27" s="34" t="s">
        <v>48</v>
      </c>
      <c r="J27" s="35">
        <f>SUM(ALL_BLOCKS)</f>
        <v>67684511.65409556</v>
      </c>
      <c r="K27" s="30"/>
      <c r="L27" s="29"/>
      <c r="M27" s="30"/>
      <c r="N27" s="30"/>
      <c r="O27" s="30"/>
      <c r="P27" s="30"/>
      <c r="Q27" s="30"/>
      <c r="R27" s="30"/>
      <c r="S27" s="30"/>
      <c r="T27" s="30"/>
      <c r="U27" s="30"/>
      <c r="V27" s="31"/>
    </row>
    <row r="28" spans="1:22">
      <c r="A28" s="1" t="s">
        <v>49</v>
      </c>
      <c r="B28" s="29">
        <v>0</v>
      </c>
      <c r="C28" s="30">
        <v>0</v>
      </c>
      <c r="D28" s="30">
        <v>0</v>
      </c>
      <c r="E28" s="30">
        <v>0</v>
      </c>
      <c r="F28" s="30">
        <v>0</v>
      </c>
      <c r="G28" s="31">
        <f>SUM(MI_FINANCIAL)</f>
        <v>0</v>
      </c>
      <c r="H28" s="30"/>
      <c r="I28" s="36"/>
      <c r="J28" s="37"/>
      <c r="K28" s="30"/>
      <c r="L28" s="29"/>
      <c r="M28" s="30"/>
      <c r="N28" s="30"/>
      <c r="O28" s="30"/>
      <c r="P28" s="30"/>
      <c r="Q28" s="30"/>
      <c r="R28" s="30"/>
      <c r="S28" s="30"/>
      <c r="T28" s="30"/>
      <c r="U28" s="30"/>
      <c r="V28" s="31"/>
    </row>
    <row r="29" spans="1:22">
      <c r="A29" s="1" t="s">
        <v>50</v>
      </c>
      <c r="B29" s="29">
        <v>0</v>
      </c>
      <c r="C29" s="30">
        <v>0</v>
      </c>
      <c r="D29" s="30">
        <v>0</v>
      </c>
      <c r="E29" s="30">
        <v>0</v>
      </c>
      <c r="F29" s="30">
        <v>0</v>
      </c>
      <c r="G29" s="31">
        <f>SUM(MN_FINANCIAL)</f>
        <v>0</v>
      </c>
      <c r="H29" s="30"/>
      <c r="I29" s="30"/>
      <c r="J29" s="30"/>
      <c r="K29" s="30"/>
      <c r="L29" s="29"/>
      <c r="M29" s="30"/>
      <c r="N29" s="30"/>
      <c r="O29" s="30"/>
      <c r="P29" s="30"/>
      <c r="Q29" s="30"/>
      <c r="R29" s="30"/>
      <c r="S29" s="30"/>
      <c r="T29" s="30"/>
      <c r="U29" s="30"/>
      <c r="V29" s="31"/>
    </row>
    <row r="30" spans="1:22">
      <c r="A30" s="1" t="s">
        <v>51</v>
      </c>
      <c r="B30" s="29">
        <v>0</v>
      </c>
      <c r="C30" s="30">
        <v>0</v>
      </c>
      <c r="D30" s="30">
        <v>0</v>
      </c>
      <c r="E30" s="30">
        <v>0</v>
      </c>
      <c r="F30" s="30">
        <v>0</v>
      </c>
      <c r="G30" s="31">
        <f>SUM(MS_FINANCIAL)</f>
        <v>0</v>
      </c>
      <c r="H30" s="30"/>
      <c r="I30" s="30"/>
      <c r="J30" s="30"/>
      <c r="K30" s="30"/>
      <c r="L30" s="29"/>
      <c r="M30" s="30"/>
      <c r="N30" s="30"/>
      <c r="O30" s="30"/>
      <c r="P30" s="30"/>
      <c r="Q30" s="30"/>
      <c r="R30" s="30"/>
      <c r="S30" s="30"/>
      <c r="T30" s="30"/>
      <c r="U30" s="30"/>
      <c r="V30" s="31"/>
    </row>
    <row r="31" spans="1:22">
      <c r="A31" s="1" t="s">
        <v>52</v>
      </c>
      <c r="B31" s="29">
        <v>0</v>
      </c>
      <c r="C31" s="30">
        <v>0</v>
      </c>
      <c r="D31" s="30">
        <v>0</v>
      </c>
      <c r="E31" s="30">
        <v>0</v>
      </c>
      <c r="F31" s="30">
        <v>0</v>
      </c>
      <c r="G31" s="31">
        <f>SUM(MO_FINANCIAL)</f>
        <v>0</v>
      </c>
      <c r="H31" s="30"/>
      <c r="I31" s="30"/>
      <c r="J31" s="30"/>
      <c r="K31" s="30"/>
      <c r="L31" s="29"/>
      <c r="M31" s="30"/>
      <c r="N31" s="30"/>
      <c r="O31" s="30"/>
      <c r="P31" s="30"/>
      <c r="Q31" s="30"/>
      <c r="R31" s="30"/>
      <c r="S31" s="30"/>
      <c r="T31" s="30"/>
      <c r="U31" s="30"/>
      <c r="V31" s="31"/>
    </row>
    <row r="32" spans="1:22">
      <c r="A32" s="1" t="s">
        <v>53</v>
      </c>
      <c r="B32" s="29">
        <v>0</v>
      </c>
      <c r="C32" s="30">
        <v>0</v>
      </c>
      <c r="D32" s="30">
        <v>0</v>
      </c>
      <c r="E32" s="30">
        <v>0</v>
      </c>
      <c r="F32" s="30">
        <v>0</v>
      </c>
      <c r="G32" s="31">
        <f>SUM(MT_FINANCIAL)</f>
        <v>0</v>
      </c>
      <c r="H32" s="30"/>
      <c r="I32" s="30"/>
      <c r="J32" s="30"/>
      <c r="K32" s="30"/>
      <c r="L32" s="29"/>
      <c r="M32" s="30"/>
      <c r="N32" s="30"/>
      <c r="O32" s="30"/>
      <c r="P32" s="30"/>
      <c r="Q32" s="30"/>
      <c r="R32" s="30"/>
      <c r="S32" s="30"/>
      <c r="T32" s="30"/>
      <c r="U32" s="30"/>
      <c r="V32" s="31"/>
    </row>
    <row r="33" spans="1:22">
      <c r="A33" s="1" t="s">
        <v>54</v>
      </c>
      <c r="B33" s="29">
        <v>0</v>
      </c>
      <c r="C33" s="30">
        <v>0</v>
      </c>
      <c r="D33" s="30">
        <v>0</v>
      </c>
      <c r="E33" s="30">
        <v>0</v>
      </c>
      <c r="F33" s="30">
        <v>0</v>
      </c>
      <c r="G33" s="31">
        <f>SUM(NE_FINANCIAL)</f>
        <v>0</v>
      </c>
      <c r="H33" s="30"/>
      <c r="I33" s="30"/>
      <c r="J33" s="30"/>
      <c r="K33" s="30"/>
      <c r="L33" s="29"/>
      <c r="M33" s="30"/>
      <c r="N33" s="30"/>
      <c r="O33" s="30"/>
      <c r="P33" s="30"/>
      <c r="Q33" s="30"/>
      <c r="R33" s="30"/>
      <c r="S33" s="30"/>
      <c r="T33" s="30"/>
      <c r="U33" s="30"/>
      <c r="V33" s="31"/>
    </row>
    <row r="34" spans="1:22">
      <c r="A34" s="1" t="s">
        <v>55</v>
      </c>
      <c r="B34" s="29">
        <v>0</v>
      </c>
      <c r="C34" s="30">
        <v>0</v>
      </c>
      <c r="D34" s="30">
        <v>0</v>
      </c>
      <c r="E34" s="30">
        <v>0</v>
      </c>
      <c r="F34" s="30">
        <v>0</v>
      </c>
      <c r="G34" s="31">
        <f>SUM(NV_FINANCIAL)</f>
        <v>0</v>
      </c>
      <c r="H34" s="30"/>
      <c r="I34" s="30"/>
      <c r="J34" s="30"/>
      <c r="K34" s="30"/>
      <c r="L34" s="29"/>
      <c r="M34" s="30"/>
      <c r="N34" s="30"/>
      <c r="O34" s="30"/>
      <c r="P34" s="30"/>
      <c r="Q34" s="30"/>
      <c r="R34" s="30"/>
      <c r="S34" s="30"/>
      <c r="T34" s="30"/>
      <c r="U34" s="30"/>
      <c r="V34" s="31"/>
    </row>
    <row r="35" spans="1:22">
      <c r="A35" s="1" t="s">
        <v>56</v>
      </c>
      <c r="B35" s="29">
        <v>0</v>
      </c>
      <c r="C35" s="30">
        <v>0</v>
      </c>
      <c r="D35" s="30">
        <v>0</v>
      </c>
      <c r="E35" s="30">
        <v>0</v>
      </c>
      <c r="F35" s="30">
        <v>0</v>
      </c>
      <c r="G35" s="31">
        <f>SUM(NH_FINANCIAL)</f>
        <v>0</v>
      </c>
      <c r="H35" s="30"/>
      <c r="I35" s="30"/>
      <c r="J35" s="30"/>
      <c r="K35" s="30"/>
      <c r="L35" s="29"/>
      <c r="M35" s="30"/>
      <c r="N35" s="30"/>
      <c r="O35" s="30"/>
      <c r="P35" s="30"/>
      <c r="Q35" s="30"/>
      <c r="R35" s="30"/>
      <c r="S35" s="30"/>
      <c r="T35" s="30"/>
      <c r="U35" s="30"/>
      <c r="V35" s="31"/>
    </row>
    <row r="36" spans="1:22">
      <c r="A36" s="1" t="s">
        <v>57</v>
      </c>
      <c r="B36" s="29">
        <v>0</v>
      </c>
      <c r="C36" s="30">
        <v>0</v>
      </c>
      <c r="D36" s="30">
        <v>0</v>
      </c>
      <c r="E36" s="30">
        <v>0</v>
      </c>
      <c r="F36" s="30">
        <v>0</v>
      </c>
      <c r="G36" s="31">
        <f>SUM(NJ_FINANCIAL)</f>
        <v>0</v>
      </c>
      <c r="H36" s="30"/>
      <c r="I36" s="30"/>
      <c r="J36" s="30"/>
      <c r="K36" s="30"/>
      <c r="L36" s="29"/>
      <c r="M36" s="30"/>
      <c r="N36" s="30"/>
      <c r="O36" s="30"/>
      <c r="P36" s="30"/>
      <c r="Q36" s="30"/>
      <c r="R36" s="30"/>
      <c r="S36" s="30"/>
      <c r="T36" s="30"/>
      <c r="U36" s="30"/>
      <c r="V36" s="31"/>
    </row>
    <row r="37" spans="1:22">
      <c r="A37" s="1" t="s">
        <v>58</v>
      </c>
      <c r="B37" s="29">
        <v>0</v>
      </c>
      <c r="C37" s="30">
        <v>0</v>
      </c>
      <c r="D37" s="30">
        <v>0</v>
      </c>
      <c r="E37" s="30">
        <v>0</v>
      </c>
      <c r="F37" s="30">
        <v>0</v>
      </c>
      <c r="G37" s="31">
        <f>SUM(NM_FINANCIAL)</f>
        <v>0</v>
      </c>
      <c r="H37" s="30"/>
      <c r="I37" s="30"/>
      <c r="J37" s="30"/>
      <c r="K37" s="30"/>
      <c r="L37" s="29"/>
      <c r="M37" s="30"/>
      <c r="N37" s="30"/>
      <c r="O37" s="30"/>
      <c r="P37" s="30"/>
      <c r="Q37" s="30"/>
      <c r="R37" s="30"/>
      <c r="S37" s="30"/>
      <c r="T37" s="30"/>
      <c r="U37" s="30"/>
      <c r="V37" s="31"/>
    </row>
    <row r="38" spans="1:22">
      <c r="A38" s="1" t="s">
        <v>59</v>
      </c>
      <c r="B38" s="29">
        <v>0</v>
      </c>
      <c r="C38" s="30">
        <v>0</v>
      </c>
      <c r="D38" s="30">
        <v>0</v>
      </c>
      <c r="E38" s="30">
        <v>0</v>
      </c>
      <c r="F38" s="30">
        <v>0</v>
      </c>
      <c r="G38" s="31">
        <f>SUM(NY_FINANCIAL)</f>
        <v>0</v>
      </c>
      <c r="H38" s="30"/>
      <c r="I38" s="30"/>
      <c r="J38" s="30"/>
      <c r="K38" s="30"/>
      <c r="L38" s="29"/>
      <c r="M38" s="30"/>
      <c r="N38" s="30"/>
      <c r="O38" s="30"/>
      <c r="P38" s="30"/>
      <c r="Q38" s="30"/>
      <c r="R38" s="30"/>
      <c r="S38" s="30"/>
      <c r="T38" s="30"/>
      <c r="U38" s="30"/>
      <c r="V38" s="31"/>
    </row>
    <row r="39" spans="1:22">
      <c r="A39" s="1" t="s">
        <v>60</v>
      </c>
      <c r="B39" s="29">
        <v>0</v>
      </c>
      <c r="C39" s="30">
        <v>0</v>
      </c>
      <c r="D39" s="30">
        <v>0</v>
      </c>
      <c r="E39" s="30">
        <v>0</v>
      </c>
      <c r="F39" s="30">
        <v>0</v>
      </c>
      <c r="G39" s="31">
        <f>SUM(NC_FINANCIAL)</f>
        <v>0</v>
      </c>
      <c r="H39" s="30"/>
      <c r="I39" s="30"/>
      <c r="J39" s="30"/>
      <c r="K39" s="30"/>
      <c r="L39" s="29"/>
      <c r="M39" s="30"/>
      <c r="N39" s="30"/>
      <c r="O39" s="30"/>
      <c r="P39" s="30"/>
      <c r="Q39" s="30"/>
      <c r="R39" s="30"/>
      <c r="S39" s="30"/>
      <c r="T39" s="30"/>
      <c r="U39" s="30"/>
      <c r="V39" s="31"/>
    </row>
    <row r="40" spans="1:22">
      <c r="A40" s="1" t="s">
        <v>61</v>
      </c>
      <c r="B40" s="29">
        <v>0</v>
      </c>
      <c r="C40" s="30">
        <v>0</v>
      </c>
      <c r="D40" s="30">
        <v>0</v>
      </c>
      <c r="E40" s="30">
        <v>0</v>
      </c>
      <c r="F40" s="30">
        <v>0</v>
      </c>
      <c r="G40" s="31">
        <f>SUM(ND_FINANCIAL)</f>
        <v>0</v>
      </c>
      <c r="H40" s="30"/>
      <c r="I40" s="30"/>
      <c r="J40" s="30"/>
      <c r="K40" s="30"/>
      <c r="L40" s="29"/>
      <c r="M40" s="30"/>
      <c r="N40" s="30"/>
      <c r="O40" s="30"/>
      <c r="P40" s="30"/>
      <c r="Q40" s="30"/>
      <c r="R40" s="30"/>
      <c r="S40" s="30"/>
      <c r="T40" s="30"/>
      <c r="U40" s="30"/>
      <c r="V40" s="31"/>
    </row>
    <row r="41" spans="1:22">
      <c r="A41" s="1" t="s">
        <v>62</v>
      </c>
      <c r="B41" s="29">
        <v>0</v>
      </c>
      <c r="C41" s="30">
        <v>0</v>
      </c>
      <c r="D41" s="30">
        <v>0</v>
      </c>
      <c r="E41" s="30">
        <v>0</v>
      </c>
      <c r="F41" s="30">
        <v>0</v>
      </c>
      <c r="G41" s="31">
        <f>SUM(OH_FINANCIAL)</f>
        <v>0</v>
      </c>
      <c r="H41" s="30"/>
      <c r="I41" s="30"/>
      <c r="J41" s="30"/>
      <c r="K41" s="30"/>
      <c r="L41" s="29"/>
      <c r="M41" s="30"/>
      <c r="N41" s="30"/>
      <c r="O41" s="30"/>
      <c r="P41" s="30"/>
      <c r="Q41" s="30"/>
      <c r="R41" s="30"/>
      <c r="S41" s="30"/>
      <c r="T41" s="30"/>
      <c r="U41" s="30"/>
      <c r="V41" s="31"/>
    </row>
    <row r="42" spans="1:22">
      <c r="A42" s="1" t="s">
        <v>63</v>
      </c>
      <c r="B42" s="29">
        <v>0</v>
      </c>
      <c r="C42" s="30">
        <v>0</v>
      </c>
      <c r="D42" s="30">
        <v>0</v>
      </c>
      <c r="E42" s="30">
        <v>0</v>
      </c>
      <c r="F42" s="30">
        <v>0</v>
      </c>
      <c r="G42" s="31">
        <f>SUM(OK_FINANCIAL)</f>
        <v>0</v>
      </c>
      <c r="H42" s="30"/>
      <c r="I42" s="30"/>
      <c r="J42" s="30"/>
      <c r="K42" s="30"/>
      <c r="L42" s="29"/>
      <c r="M42" s="30"/>
      <c r="N42" s="30"/>
      <c r="O42" s="30"/>
      <c r="P42" s="30"/>
      <c r="Q42" s="30"/>
      <c r="R42" s="30"/>
      <c r="S42" s="30"/>
      <c r="T42" s="30"/>
      <c r="U42" s="30"/>
      <c r="V42" s="31"/>
    </row>
    <row r="43" spans="1:22">
      <c r="A43" s="1" t="s">
        <v>64</v>
      </c>
      <c r="B43" s="29">
        <v>0</v>
      </c>
      <c r="C43" s="30">
        <v>0</v>
      </c>
      <c r="D43" s="30">
        <v>0</v>
      </c>
      <c r="E43" s="30">
        <v>0</v>
      </c>
      <c r="F43" s="30">
        <v>0</v>
      </c>
      <c r="G43" s="31">
        <f>SUM(OR_FINANCIAL)</f>
        <v>0</v>
      </c>
      <c r="H43" s="30"/>
      <c r="I43" s="30"/>
      <c r="J43" s="30"/>
      <c r="K43" s="30"/>
      <c r="L43" s="29"/>
      <c r="M43" s="30"/>
      <c r="N43" s="30"/>
      <c r="O43" s="30"/>
      <c r="P43" s="30"/>
      <c r="Q43" s="30"/>
      <c r="R43" s="30"/>
      <c r="S43" s="30"/>
      <c r="T43" s="30"/>
      <c r="U43" s="30"/>
      <c r="V43" s="31"/>
    </row>
    <row r="44" spans="1:22">
      <c r="A44" s="1" t="s">
        <v>65</v>
      </c>
      <c r="B44" s="29">
        <v>0</v>
      </c>
      <c r="C44" s="30">
        <v>0</v>
      </c>
      <c r="D44" s="30">
        <v>0</v>
      </c>
      <c r="E44" s="30">
        <v>0</v>
      </c>
      <c r="F44" s="30">
        <v>0</v>
      </c>
      <c r="G44" s="31">
        <f>SUM(PA_FINANCIAL)</f>
        <v>0</v>
      </c>
      <c r="H44" s="30"/>
      <c r="I44" s="30"/>
      <c r="J44" s="30"/>
      <c r="K44" s="30"/>
      <c r="L44" s="29"/>
      <c r="M44" s="30"/>
      <c r="N44" s="30"/>
      <c r="O44" s="30"/>
      <c r="P44" s="30"/>
      <c r="Q44" s="30"/>
      <c r="R44" s="30"/>
      <c r="S44" s="30"/>
      <c r="T44" s="30"/>
      <c r="U44" s="30"/>
      <c r="V44" s="31"/>
    </row>
    <row r="45" spans="1:22">
      <c r="A45" s="1" t="s">
        <v>66</v>
      </c>
      <c r="B45" s="29">
        <v>0</v>
      </c>
      <c r="C45" s="30">
        <v>0</v>
      </c>
      <c r="D45" s="30">
        <v>0</v>
      </c>
      <c r="E45" s="30">
        <v>0</v>
      </c>
      <c r="F45" s="30">
        <v>0</v>
      </c>
      <c r="G45" s="31">
        <f>SUM(PR_FINANCIAL)</f>
        <v>0</v>
      </c>
      <c r="H45" s="30"/>
      <c r="I45" s="30"/>
      <c r="J45" s="30"/>
      <c r="K45" s="30"/>
      <c r="L45" s="29"/>
      <c r="M45" s="30"/>
      <c r="N45" s="30"/>
      <c r="O45" s="30"/>
      <c r="P45" s="30"/>
      <c r="Q45" s="30"/>
      <c r="R45" s="30"/>
      <c r="S45" s="30"/>
      <c r="T45" s="30"/>
      <c r="U45" s="30"/>
      <c r="V45" s="31"/>
    </row>
    <row r="46" spans="1:22">
      <c r="A46" s="1" t="s">
        <v>67</v>
      </c>
      <c r="B46" s="29">
        <v>0</v>
      </c>
      <c r="C46" s="30">
        <v>0</v>
      </c>
      <c r="D46" s="30">
        <v>0</v>
      </c>
      <c r="E46" s="30">
        <v>0</v>
      </c>
      <c r="F46" s="30">
        <v>0</v>
      </c>
      <c r="G46" s="31">
        <f>SUM(RI_FINANCIAL)</f>
        <v>0</v>
      </c>
      <c r="H46" s="30"/>
      <c r="I46" s="30"/>
      <c r="J46" s="30"/>
      <c r="K46" s="30"/>
      <c r="L46" s="29"/>
      <c r="M46" s="30"/>
      <c r="N46" s="30"/>
      <c r="O46" s="30"/>
      <c r="P46" s="30"/>
      <c r="Q46" s="30"/>
      <c r="R46" s="30"/>
      <c r="S46" s="30"/>
      <c r="T46" s="30"/>
      <c r="U46" s="30"/>
      <c r="V46" s="31"/>
    </row>
    <row r="47" spans="1:22">
      <c r="A47" s="1" t="s">
        <v>68</v>
      </c>
      <c r="B47" s="29">
        <v>0</v>
      </c>
      <c r="C47" s="30">
        <v>0</v>
      </c>
      <c r="D47" s="30">
        <v>0</v>
      </c>
      <c r="E47" s="30">
        <v>0</v>
      </c>
      <c r="F47" s="30">
        <v>0</v>
      </c>
      <c r="G47" s="31">
        <f>SUM(SC_FINANCIAL)</f>
        <v>0</v>
      </c>
      <c r="H47" s="30"/>
      <c r="I47" s="30"/>
      <c r="J47" s="30"/>
      <c r="K47" s="30"/>
      <c r="L47" s="29"/>
      <c r="M47" s="30"/>
      <c r="N47" s="30"/>
      <c r="O47" s="30"/>
      <c r="P47" s="30"/>
      <c r="Q47" s="30"/>
      <c r="R47" s="30"/>
      <c r="S47" s="30"/>
      <c r="T47" s="30"/>
      <c r="U47" s="30"/>
      <c r="V47" s="31"/>
    </row>
    <row r="48" spans="1:22">
      <c r="A48" s="1" t="s">
        <v>69</v>
      </c>
      <c r="B48" s="29">
        <v>0</v>
      </c>
      <c r="C48" s="30">
        <v>0</v>
      </c>
      <c r="D48" s="30">
        <v>0</v>
      </c>
      <c r="E48" s="30">
        <v>0</v>
      </c>
      <c r="F48" s="30">
        <v>0</v>
      </c>
      <c r="G48" s="31">
        <f>SUM(SD_FINANCIAL)</f>
        <v>0</v>
      </c>
      <c r="H48" s="30"/>
      <c r="I48" s="30"/>
      <c r="J48" s="30"/>
      <c r="K48" s="30"/>
      <c r="L48" s="29"/>
      <c r="M48" s="30"/>
      <c r="N48" s="30"/>
      <c r="O48" s="30"/>
      <c r="P48" s="30"/>
      <c r="Q48" s="30"/>
      <c r="R48" s="30"/>
      <c r="S48" s="30"/>
      <c r="T48" s="30"/>
      <c r="U48" s="30"/>
      <c r="V48" s="31"/>
    </row>
    <row r="49" spans="1:22">
      <c r="A49" s="1" t="s">
        <v>70</v>
      </c>
      <c r="B49" s="29">
        <v>0</v>
      </c>
      <c r="C49" s="30">
        <v>0</v>
      </c>
      <c r="D49" s="30">
        <v>0</v>
      </c>
      <c r="E49" s="30">
        <v>0</v>
      </c>
      <c r="F49" s="30">
        <v>0</v>
      </c>
      <c r="G49" s="31">
        <f>SUM(TN_FINANCIAL)</f>
        <v>0</v>
      </c>
      <c r="H49" s="30"/>
      <c r="I49" s="30"/>
      <c r="J49" s="30"/>
      <c r="K49" s="30"/>
      <c r="L49" s="29"/>
      <c r="M49" s="30"/>
      <c r="N49" s="30"/>
      <c r="O49" s="30"/>
      <c r="P49" s="30"/>
      <c r="Q49" s="30"/>
      <c r="R49" s="30"/>
      <c r="S49" s="30"/>
      <c r="T49" s="30"/>
      <c r="U49" s="30"/>
      <c r="V49" s="31"/>
    </row>
    <row r="50" spans="1:22">
      <c r="A50" s="1" t="s">
        <v>71</v>
      </c>
      <c r="B50" s="29">
        <v>67684511.65409556</v>
      </c>
      <c r="C50" s="30">
        <v>0</v>
      </c>
      <c r="D50" s="30">
        <v>0</v>
      </c>
      <c r="E50" s="30">
        <v>0</v>
      </c>
      <c r="F50" s="30">
        <v>0</v>
      </c>
      <c r="G50" s="31">
        <f>SUM(TX_FINANCIAL)</f>
        <v>67684511.65409556</v>
      </c>
      <c r="H50" s="30"/>
      <c r="I50" s="30"/>
      <c r="J50" s="30"/>
      <c r="K50" s="30"/>
      <c r="L50" s="29">
        <v>94939000</v>
      </c>
      <c r="M50" s="30">
        <v>0</v>
      </c>
      <c r="N50" s="30"/>
      <c r="O50" s="30">
        <v>0</v>
      </c>
      <c r="P50" s="30">
        <v>0</v>
      </c>
      <c r="Q50" s="30"/>
      <c r="R50" s="30">
        <v>0</v>
      </c>
      <c r="S50" s="30">
        <v>0</v>
      </c>
      <c r="T50" s="30"/>
      <c r="U50" s="30">
        <v>0</v>
      </c>
      <c r="V50" s="31">
        <v>0</v>
      </c>
    </row>
    <row r="51" spans="1:22">
      <c r="A51" s="1" t="s">
        <v>72</v>
      </c>
      <c r="B51" s="29">
        <v>0</v>
      </c>
      <c r="C51" s="30">
        <v>0</v>
      </c>
      <c r="D51" s="30">
        <v>0</v>
      </c>
      <c r="E51" s="30">
        <v>0</v>
      </c>
      <c r="F51" s="30">
        <v>0</v>
      </c>
      <c r="G51" s="31">
        <f>SUM(UT_FINANCIAL)</f>
        <v>0</v>
      </c>
      <c r="H51" s="30"/>
      <c r="I51" s="30"/>
      <c r="J51" s="30"/>
      <c r="K51" s="30"/>
      <c r="L51" s="29"/>
      <c r="M51" s="30"/>
      <c r="N51" s="30"/>
      <c r="O51" s="30"/>
      <c r="P51" s="30"/>
      <c r="Q51" s="30"/>
      <c r="R51" s="30"/>
      <c r="S51" s="30"/>
      <c r="T51" s="30"/>
      <c r="U51" s="30"/>
      <c r="V51" s="31"/>
    </row>
    <row r="52" spans="1:22">
      <c r="A52" s="1" t="s">
        <v>73</v>
      </c>
      <c r="B52" s="29">
        <v>0</v>
      </c>
      <c r="C52" s="30">
        <v>0</v>
      </c>
      <c r="D52" s="30">
        <v>0</v>
      </c>
      <c r="E52" s="30">
        <v>0</v>
      </c>
      <c r="F52" s="30">
        <v>0</v>
      </c>
      <c r="G52" s="31">
        <f>SUM(VT_FINANCIAL)</f>
        <v>0</v>
      </c>
      <c r="H52" s="30"/>
      <c r="I52" s="30"/>
      <c r="J52" s="30"/>
      <c r="K52" s="30"/>
      <c r="L52" s="29"/>
      <c r="M52" s="30"/>
      <c r="N52" s="30"/>
      <c r="O52" s="30"/>
      <c r="P52" s="30"/>
      <c r="Q52" s="30"/>
      <c r="R52" s="30"/>
      <c r="S52" s="30"/>
      <c r="T52" s="30"/>
      <c r="U52" s="30"/>
      <c r="V52" s="31"/>
    </row>
    <row r="53" spans="1:22">
      <c r="A53" s="1" t="s">
        <v>74</v>
      </c>
      <c r="B53" s="29">
        <v>0</v>
      </c>
      <c r="C53" s="30">
        <v>0</v>
      </c>
      <c r="D53" s="30">
        <v>0</v>
      </c>
      <c r="E53" s="30">
        <v>0</v>
      </c>
      <c r="F53" s="30">
        <v>0</v>
      </c>
      <c r="G53" s="31">
        <f>SUM(VA_FINANCIAL)</f>
        <v>0</v>
      </c>
      <c r="H53" s="30"/>
      <c r="I53" s="30"/>
      <c r="J53" s="30"/>
      <c r="K53" s="30"/>
      <c r="L53" s="29"/>
      <c r="M53" s="30"/>
      <c r="N53" s="30"/>
      <c r="O53" s="30"/>
      <c r="P53" s="30"/>
      <c r="Q53" s="30"/>
      <c r="R53" s="30"/>
      <c r="S53" s="30"/>
      <c r="T53" s="30"/>
      <c r="U53" s="30"/>
      <c r="V53" s="31"/>
    </row>
    <row r="54" spans="1:22">
      <c r="A54" s="1" t="s">
        <v>75</v>
      </c>
      <c r="B54" s="29">
        <v>0</v>
      </c>
      <c r="C54" s="30">
        <v>0</v>
      </c>
      <c r="D54" s="30">
        <v>0</v>
      </c>
      <c r="E54" s="30">
        <v>0</v>
      </c>
      <c r="F54" s="30">
        <v>0</v>
      </c>
      <c r="G54" s="31">
        <f>SUM(WA_FINANCIAL)</f>
        <v>0</v>
      </c>
      <c r="H54" s="30"/>
      <c r="I54" s="30"/>
      <c r="J54" s="30"/>
      <c r="K54" s="30"/>
      <c r="L54" s="29"/>
      <c r="M54" s="30"/>
      <c r="N54" s="30"/>
      <c r="O54" s="30"/>
      <c r="P54" s="30"/>
      <c r="Q54" s="30"/>
      <c r="R54" s="30"/>
      <c r="S54" s="30"/>
      <c r="T54" s="30"/>
      <c r="U54" s="30"/>
      <c r="V54" s="31"/>
    </row>
    <row r="55" spans="1:22">
      <c r="A55" s="1" t="s">
        <v>76</v>
      </c>
      <c r="B55" s="29">
        <v>0</v>
      </c>
      <c r="C55" s="30">
        <v>0</v>
      </c>
      <c r="D55" s="30">
        <v>0</v>
      </c>
      <c r="E55" s="30">
        <v>0</v>
      </c>
      <c r="F55" s="30">
        <v>0</v>
      </c>
      <c r="G55" s="31">
        <f>SUM(WV_FINANCIAL)</f>
        <v>0</v>
      </c>
      <c r="H55" s="30"/>
      <c r="I55" s="30"/>
      <c r="J55" s="30"/>
      <c r="K55" s="30"/>
      <c r="L55" s="29"/>
      <c r="M55" s="30"/>
      <c r="N55" s="30"/>
      <c r="O55" s="30"/>
      <c r="P55" s="30"/>
      <c r="Q55" s="30"/>
      <c r="R55" s="30"/>
      <c r="S55" s="30"/>
      <c r="T55" s="30"/>
      <c r="U55" s="30"/>
      <c r="V55" s="31"/>
    </row>
    <row r="56" spans="1:22">
      <c r="A56" s="1" t="s">
        <v>77</v>
      </c>
      <c r="B56" s="29">
        <v>0</v>
      </c>
      <c r="C56" s="30">
        <v>0</v>
      </c>
      <c r="D56" s="30">
        <v>0</v>
      </c>
      <c r="E56" s="30">
        <v>0</v>
      </c>
      <c r="F56" s="30">
        <v>0</v>
      </c>
      <c r="G56" s="31">
        <f>SUM(WI_FINANCIAL)</f>
        <v>0</v>
      </c>
      <c r="H56" s="30"/>
      <c r="I56" s="30"/>
      <c r="J56" s="30"/>
      <c r="K56" s="30"/>
      <c r="L56" s="29"/>
      <c r="M56" s="30"/>
      <c r="N56" s="30"/>
      <c r="O56" s="30"/>
      <c r="P56" s="30"/>
      <c r="Q56" s="30"/>
      <c r="R56" s="30"/>
      <c r="S56" s="30"/>
      <c r="T56" s="30"/>
      <c r="U56" s="30"/>
      <c r="V56" s="31"/>
    </row>
    <row r="57" spans="1:22">
      <c r="A57" s="1" t="s">
        <v>78</v>
      </c>
      <c r="B57" s="29">
        <v>0</v>
      </c>
      <c r="C57" s="30">
        <v>0</v>
      </c>
      <c r="D57" s="30">
        <v>0</v>
      </c>
      <c r="E57" s="30">
        <v>0</v>
      </c>
      <c r="F57" s="30">
        <v>0</v>
      </c>
      <c r="G57" s="31">
        <f>SUM(WY_FINANCIAL)</f>
        <v>0</v>
      </c>
      <c r="H57" s="30"/>
      <c r="I57" s="30"/>
      <c r="J57" s="30"/>
      <c r="K57" s="30"/>
      <c r="L57" s="29"/>
      <c r="M57" s="30"/>
      <c r="N57" s="30"/>
      <c r="O57" s="30"/>
      <c r="P57" s="30"/>
      <c r="Q57" s="30"/>
      <c r="R57" s="30"/>
      <c r="S57" s="30"/>
      <c r="T57" s="30"/>
      <c r="U57" s="30"/>
      <c r="V57" s="31"/>
    </row>
    <row r="58" spans="1:22">
      <c r="A58" s="1" t="s">
        <v>79</v>
      </c>
      <c r="B58" s="29">
        <v>0</v>
      </c>
      <c r="C58" s="30">
        <v>0</v>
      </c>
      <c r="D58" s="30">
        <v>0</v>
      </c>
      <c r="E58" s="30">
        <v>0</v>
      </c>
      <c r="F58" s="30">
        <v>0</v>
      </c>
      <c r="G58" s="31">
        <f>SUM(OT_FINANCIAL)</f>
        <v>0</v>
      </c>
      <c r="H58" s="30"/>
      <c r="I58" s="30"/>
      <c r="J58" s="30"/>
      <c r="K58" s="30"/>
      <c r="L58" s="29"/>
      <c r="M58" s="30"/>
      <c r="N58" s="30"/>
      <c r="O58" s="30"/>
      <c r="P58" s="30"/>
      <c r="Q58" s="30"/>
      <c r="R58" s="30"/>
      <c r="S58" s="30"/>
      <c r="T58" s="30"/>
      <c r="U58" s="30"/>
      <c r="V58" s="31"/>
    </row>
    <row r="59" spans="1:22">
      <c r="B59" s="29"/>
      <c r="C59" s="30"/>
      <c r="D59" s="30"/>
      <c r="E59" s="30"/>
      <c r="F59" s="30"/>
      <c r="G59" s="31"/>
      <c r="H59" s="30"/>
      <c r="I59" s="30"/>
      <c r="J59" s="30"/>
      <c r="K59" s="30"/>
      <c r="L59" s="29"/>
      <c r="M59" s="30"/>
      <c r="N59" s="30"/>
      <c r="O59" s="30"/>
      <c r="P59" s="30"/>
      <c r="Q59" s="30"/>
      <c r="R59" s="30"/>
      <c r="S59" s="30"/>
      <c r="T59" s="30"/>
      <c r="U59" s="30"/>
      <c r="V59" s="31"/>
    </row>
    <row r="60" spans="1:22">
      <c r="A60" s="1" t="s">
        <v>8</v>
      </c>
      <c r="B60" s="29">
        <f>SUM(LIFE)</f>
        <v>67684511.65409556</v>
      </c>
      <c r="C60" s="30">
        <f>SUM(ALLOCATED)</f>
        <v>0</v>
      </c>
      <c r="D60" s="30">
        <f>SUM(HEALTH)</f>
        <v>0</v>
      </c>
      <c r="E60" s="30">
        <f>SUM(UNALLOCATED)</f>
        <v>0</v>
      </c>
      <c r="F60" s="30">
        <f>SUM(LTC)</f>
        <v>0</v>
      </c>
      <c r="G60" s="31">
        <f>SUM(ALL_BLOCKS)</f>
        <v>67684511.65409556</v>
      </c>
      <c r="H60" s="30"/>
      <c r="I60" s="30"/>
      <c r="J60" s="30"/>
      <c r="K60" s="30"/>
      <c r="L60" s="29">
        <f>SUM(LIFE_CALLED)</f>
        <v>94939000</v>
      </c>
      <c r="M60" s="30">
        <f>SUM(LIFE_REFUNDED)</f>
        <v>0</v>
      </c>
      <c r="N60" s="30"/>
      <c r="O60" s="30">
        <f>SUM(ALLOC_CALLED)</f>
        <v>0</v>
      </c>
      <c r="P60" s="30">
        <f>SUM(ALLOC_REFUNDED)</f>
        <v>0</v>
      </c>
      <c r="Q60" s="30"/>
      <c r="R60" s="30">
        <f>SUM(HEALTH_CALLED)</f>
        <v>0</v>
      </c>
      <c r="S60" s="30">
        <f>SUM(HEALTH_REFUNDED)</f>
        <v>0</v>
      </c>
      <c r="T60" s="30"/>
      <c r="U60" s="30">
        <f>SUM(UNALLOC_CALLED)</f>
        <v>0</v>
      </c>
      <c r="V60" s="31">
        <f>SUM(UNALLOC_REFUNDED)</f>
        <v>0</v>
      </c>
    </row>
    <row r="61" spans="1:22" ht="5.0999999999999996" customHeight="1">
      <c r="B61" s="8"/>
      <c r="G61" s="11"/>
      <c r="L61" s="8"/>
      <c r="V61" s="11"/>
    </row>
    <row r="62" spans="1:22">
      <c r="B62" s="8"/>
      <c r="G62" s="11"/>
      <c r="L62" s="122" t="s">
        <v>80</v>
      </c>
      <c r="M62" s="123"/>
      <c r="N62" s="123"/>
      <c r="O62" s="123"/>
      <c r="P62" s="123"/>
      <c r="Q62" s="123"/>
      <c r="R62" s="123"/>
      <c r="S62" s="123"/>
      <c r="T62" s="123"/>
      <c r="U62" s="123"/>
      <c r="V62" s="124"/>
    </row>
    <row r="63" spans="1:22">
      <c r="B63" s="8"/>
      <c r="G63" s="11"/>
      <c r="L63" s="125"/>
      <c r="M63" s="123"/>
      <c r="N63" s="123"/>
      <c r="O63" s="123"/>
      <c r="P63" s="123"/>
      <c r="Q63" s="123"/>
      <c r="R63" s="123"/>
      <c r="S63" s="123"/>
      <c r="T63" s="123"/>
      <c r="U63" s="123"/>
      <c r="V63" s="124"/>
    </row>
    <row r="64" spans="1:22">
      <c r="B64" s="10"/>
      <c r="C64" s="7"/>
      <c r="D64" s="7"/>
      <c r="E64" s="7"/>
      <c r="F64" s="7"/>
      <c r="G64" s="13"/>
      <c r="L64" s="126"/>
      <c r="M64" s="127"/>
      <c r="N64" s="127"/>
      <c r="O64" s="127"/>
      <c r="P64" s="127"/>
      <c r="Q64" s="127"/>
      <c r="R64" s="127"/>
      <c r="S64" s="127"/>
      <c r="T64" s="127"/>
      <c r="U64" s="127"/>
      <c r="V64" s="128"/>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V64"/>
  <sheetViews>
    <sheetView zoomScale="75" workbookViewId="0">
      <selection sqref="A1:XFD1048576"/>
    </sheetView>
  </sheetViews>
  <sheetFormatPr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129" t="s">
        <v>85</v>
      </c>
      <c r="B1" s="123"/>
      <c r="C1" s="123"/>
      <c r="D1" s="123"/>
      <c r="E1" s="123"/>
      <c r="F1" s="123"/>
      <c r="G1" s="123"/>
    </row>
    <row r="3" spans="1:22">
      <c r="B3" s="130" t="s">
        <v>1</v>
      </c>
      <c r="C3" s="131"/>
      <c r="D3" s="131"/>
      <c r="E3" s="131"/>
      <c r="F3" s="131"/>
      <c r="G3" s="132"/>
      <c r="L3" s="133" t="s">
        <v>2</v>
      </c>
      <c r="M3" s="134"/>
      <c r="N3" s="134"/>
      <c r="O3" s="134"/>
      <c r="P3" s="134"/>
      <c r="Q3" s="134"/>
      <c r="R3" s="134"/>
      <c r="S3" s="134"/>
      <c r="T3" s="134"/>
      <c r="U3" s="134"/>
      <c r="V3" s="135"/>
    </row>
    <row r="4" spans="1:22">
      <c r="B4" s="8"/>
      <c r="G4" s="11"/>
      <c r="L4" s="136" t="s">
        <v>3</v>
      </c>
      <c r="M4" s="137"/>
      <c r="N4" s="4"/>
      <c r="O4" s="138" t="s">
        <v>4</v>
      </c>
      <c r="P4" s="137"/>
      <c r="Q4" s="4"/>
      <c r="R4" s="138" t="s">
        <v>5</v>
      </c>
      <c r="S4" s="137"/>
      <c r="T4" s="4"/>
      <c r="U4" s="138" t="s">
        <v>6</v>
      </c>
      <c r="V4" s="139"/>
    </row>
    <row r="5" spans="1:22" ht="60" customHeight="1">
      <c r="B5" s="9" t="s">
        <v>3</v>
      </c>
      <c r="C5" s="5" t="s">
        <v>4</v>
      </c>
      <c r="D5" s="5" t="s">
        <v>5</v>
      </c>
      <c r="E5" s="5" t="s">
        <v>6</v>
      </c>
      <c r="F5" s="5" t="s">
        <v>7</v>
      </c>
      <c r="G5" s="12" t="s">
        <v>8</v>
      </c>
      <c r="L5" s="15" t="s">
        <v>9</v>
      </c>
      <c r="M5" s="14" t="s">
        <v>10</v>
      </c>
      <c r="N5" s="14"/>
      <c r="O5" s="14" t="s">
        <v>9</v>
      </c>
      <c r="P5" s="14" t="s">
        <v>10</v>
      </c>
      <c r="Q5" s="14"/>
      <c r="R5" s="14" t="s">
        <v>9</v>
      </c>
      <c r="S5" s="14" t="s">
        <v>10</v>
      </c>
      <c r="T5" s="14"/>
      <c r="U5" s="14" t="s">
        <v>9</v>
      </c>
      <c r="V5" s="16" t="s">
        <v>10</v>
      </c>
    </row>
    <row r="6" spans="1:22">
      <c r="A6" s="1" t="s">
        <v>11</v>
      </c>
      <c r="B6" s="29">
        <v>57273.156032236482</v>
      </c>
      <c r="C6" s="30">
        <v>624555.87701270473</v>
      </c>
      <c r="D6" s="30">
        <v>109496.46902809915</v>
      </c>
      <c r="E6" s="30">
        <v>0</v>
      </c>
      <c r="F6" s="30">
        <v>0</v>
      </c>
      <c r="G6" s="31">
        <f>SUM(AL_FINANCIAL)</f>
        <v>791325.50207304046</v>
      </c>
      <c r="H6" s="30"/>
      <c r="I6" s="30"/>
      <c r="J6" s="30"/>
      <c r="K6" s="30"/>
      <c r="L6" s="29"/>
      <c r="M6" s="30"/>
      <c r="N6" s="30"/>
      <c r="O6" s="30"/>
      <c r="P6" s="30"/>
      <c r="Q6" s="30"/>
      <c r="R6" s="30"/>
      <c r="S6" s="30"/>
      <c r="T6" s="30"/>
      <c r="U6" s="30"/>
      <c r="V6" s="31"/>
    </row>
    <row r="7" spans="1:22">
      <c r="A7" s="1" t="s">
        <v>12</v>
      </c>
      <c r="B7" s="29">
        <v>0</v>
      </c>
      <c r="C7" s="30">
        <v>0</v>
      </c>
      <c r="D7" s="30">
        <v>0</v>
      </c>
      <c r="E7" s="30">
        <v>0</v>
      </c>
      <c r="F7" s="30">
        <v>0</v>
      </c>
      <c r="G7" s="31">
        <f>SUM(AK_FINANCIAL)</f>
        <v>0</v>
      </c>
      <c r="H7" s="30"/>
      <c r="I7" s="32"/>
      <c r="J7" s="33"/>
      <c r="K7" s="30"/>
      <c r="L7" s="29"/>
      <c r="M7" s="30"/>
      <c r="N7" s="30"/>
      <c r="O7" s="30"/>
      <c r="P7" s="30"/>
      <c r="Q7" s="30"/>
      <c r="R7" s="30"/>
      <c r="S7" s="30"/>
      <c r="T7" s="30"/>
      <c r="U7" s="30"/>
      <c r="V7" s="31"/>
    </row>
    <row r="8" spans="1:22">
      <c r="A8" s="1" t="s">
        <v>13</v>
      </c>
      <c r="B8" s="29">
        <v>0</v>
      </c>
      <c r="C8" s="30">
        <v>0</v>
      </c>
      <c r="D8" s="30">
        <v>0</v>
      </c>
      <c r="E8" s="30">
        <v>0</v>
      </c>
      <c r="F8" s="30">
        <v>0</v>
      </c>
      <c r="G8" s="31">
        <f>SUM(AZ_FINANCIAL)</f>
        <v>0</v>
      </c>
      <c r="H8" s="30"/>
      <c r="I8" s="34" t="s">
        <v>14</v>
      </c>
      <c r="J8" s="35"/>
      <c r="K8" s="30"/>
      <c r="L8" s="29"/>
      <c r="M8" s="30"/>
      <c r="N8" s="30"/>
      <c r="O8" s="30"/>
      <c r="P8" s="30"/>
      <c r="Q8" s="30"/>
      <c r="R8" s="30"/>
      <c r="S8" s="30"/>
      <c r="T8" s="30"/>
      <c r="U8" s="30"/>
      <c r="V8" s="31"/>
    </row>
    <row r="9" spans="1:22">
      <c r="A9" s="1" t="s">
        <v>15</v>
      </c>
      <c r="B9" s="29">
        <v>0</v>
      </c>
      <c r="C9" s="30">
        <v>0</v>
      </c>
      <c r="D9" s="30">
        <v>0</v>
      </c>
      <c r="E9" s="30">
        <v>0</v>
      </c>
      <c r="F9" s="30">
        <v>0</v>
      </c>
      <c r="G9" s="31">
        <f>SUM(AR_FINANCIAL)</f>
        <v>0</v>
      </c>
      <c r="H9" s="30"/>
      <c r="I9" s="34"/>
      <c r="J9" s="35"/>
      <c r="K9" s="30"/>
      <c r="L9" s="29"/>
      <c r="M9" s="30"/>
      <c r="N9" s="30"/>
      <c r="O9" s="30"/>
      <c r="P9" s="30"/>
      <c r="Q9" s="30"/>
      <c r="R9" s="30"/>
      <c r="S9" s="30"/>
      <c r="T9" s="30"/>
      <c r="U9" s="30"/>
      <c r="V9" s="31"/>
    </row>
    <row r="10" spans="1:22">
      <c r="A10" s="1" t="s">
        <v>16</v>
      </c>
      <c r="B10" s="29">
        <v>0</v>
      </c>
      <c r="C10" s="30">
        <v>0</v>
      </c>
      <c r="D10" s="30">
        <v>0</v>
      </c>
      <c r="E10" s="30">
        <v>0</v>
      </c>
      <c r="F10" s="30">
        <v>0</v>
      </c>
      <c r="G10" s="31">
        <f>SUM(CA_FINANCIAL)</f>
        <v>0</v>
      </c>
      <c r="H10" s="30"/>
      <c r="I10" s="34" t="s">
        <v>17</v>
      </c>
      <c r="J10" s="35">
        <v>4652553</v>
      </c>
      <c r="K10" s="30"/>
      <c r="L10" s="29"/>
      <c r="M10" s="30"/>
      <c r="N10" s="30"/>
      <c r="O10" s="30"/>
      <c r="P10" s="30"/>
      <c r="Q10" s="30"/>
      <c r="R10" s="30"/>
      <c r="S10" s="30"/>
      <c r="T10" s="30"/>
      <c r="U10" s="30"/>
      <c r="V10" s="31"/>
    </row>
    <row r="11" spans="1:22">
      <c r="A11" s="1" t="s">
        <v>18</v>
      </c>
      <c r="B11" s="29">
        <v>0</v>
      </c>
      <c r="C11" s="30">
        <v>0</v>
      </c>
      <c r="D11" s="30">
        <v>0</v>
      </c>
      <c r="E11" s="30">
        <v>0</v>
      </c>
      <c r="F11" s="30">
        <v>0</v>
      </c>
      <c r="G11" s="31">
        <f>SUM(CO_FINANCIAL)</f>
        <v>0</v>
      </c>
      <c r="H11" s="30"/>
      <c r="I11" s="34"/>
      <c r="J11" s="35"/>
      <c r="K11" s="30"/>
      <c r="L11" s="29"/>
      <c r="M11" s="30"/>
      <c r="N11" s="30"/>
      <c r="O11" s="30"/>
      <c r="P11" s="30"/>
      <c r="Q11" s="30"/>
      <c r="R11" s="30"/>
      <c r="S11" s="30"/>
      <c r="T11" s="30"/>
      <c r="U11" s="30"/>
      <c r="V11" s="31"/>
    </row>
    <row r="12" spans="1:22">
      <c r="A12" s="1" t="s">
        <v>19</v>
      </c>
      <c r="B12" s="29">
        <v>0</v>
      </c>
      <c r="C12" s="30">
        <v>0</v>
      </c>
      <c r="D12" s="30">
        <v>0</v>
      </c>
      <c r="E12" s="30">
        <v>0</v>
      </c>
      <c r="F12" s="30">
        <v>0</v>
      </c>
      <c r="G12" s="31">
        <f>SUM(CT_FINANCIAL)</f>
        <v>0</v>
      </c>
      <c r="H12" s="30"/>
      <c r="I12" s="34" t="s">
        <v>20</v>
      </c>
      <c r="J12" s="35"/>
      <c r="K12" s="30"/>
      <c r="L12" s="29"/>
      <c r="M12" s="30"/>
      <c r="N12" s="30"/>
      <c r="O12" s="30"/>
      <c r="P12" s="30"/>
      <c r="Q12" s="30"/>
      <c r="R12" s="30"/>
      <c r="S12" s="30"/>
      <c r="T12" s="30"/>
      <c r="U12" s="30"/>
      <c r="V12" s="31"/>
    </row>
    <row r="13" spans="1:22">
      <c r="A13" s="1" t="s">
        <v>21</v>
      </c>
      <c r="B13" s="29">
        <v>0</v>
      </c>
      <c r="C13" s="30">
        <v>0</v>
      </c>
      <c r="D13" s="30">
        <v>0</v>
      </c>
      <c r="E13" s="30">
        <v>0</v>
      </c>
      <c r="F13" s="30">
        <v>0</v>
      </c>
      <c r="G13" s="31">
        <f>SUM(DE_FINANCIAL)</f>
        <v>0</v>
      </c>
      <c r="H13" s="30"/>
      <c r="I13" s="34" t="s">
        <v>22</v>
      </c>
      <c r="J13" s="35">
        <v>1016861</v>
      </c>
      <c r="K13" s="30"/>
      <c r="L13" s="29"/>
      <c r="M13" s="30"/>
      <c r="N13" s="30"/>
      <c r="O13" s="30"/>
      <c r="P13" s="30"/>
      <c r="Q13" s="30"/>
      <c r="R13" s="30"/>
      <c r="S13" s="30"/>
      <c r="T13" s="30"/>
      <c r="U13" s="30"/>
      <c r="V13" s="31"/>
    </row>
    <row r="14" spans="1:22">
      <c r="A14" s="1" t="s">
        <v>23</v>
      </c>
      <c r="B14" s="29">
        <v>0</v>
      </c>
      <c r="C14" s="30">
        <v>0</v>
      </c>
      <c r="D14" s="30">
        <v>0</v>
      </c>
      <c r="E14" s="30">
        <v>0</v>
      </c>
      <c r="F14" s="30">
        <v>0</v>
      </c>
      <c r="G14" s="31">
        <f>SUM(DC_FINANCIAL)</f>
        <v>0</v>
      </c>
      <c r="H14" s="30"/>
      <c r="I14" s="34" t="s">
        <v>24</v>
      </c>
      <c r="J14" s="35">
        <v>353451.99999999994</v>
      </c>
      <c r="K14" s="30"/>
      <c r="L14" s="29"/>
      <c r="M14" s="30"/>
      <c r="N14" s="30"/>
      <c r="O14" s="30"/>
      <c r="P14" s="30"/>
      <c r="Q14" s="30"/>
      <c r="R14" s="30"/>
      <c r="S14" s="30"/>
      <c r="T14" s="30"/>
      <c r="U14" s="30"/>
      <c r="V14" s="31"/>
    </row>
    <row r="15" spans="1:22">
      <c r="A15" s="1" t="s">
        <v>25</v>
      </c>
      <c r="B15" s="29">
        <v>20590.496552691409</v>
      </c>
      <c r="C15" s="30">
        <v>127092.42922570181</v>
      </c>
      <c r="D15" s="30">
        <v>4233689.8618493881</v>
      </c>
      <c r="E15" s="30">
        <v>0</v>
      </c>
      <c r="F15" s="30">
        <v>0</v>
      </c>
      <c r="G15" s="31">
        <f>SUM(FL_FINANCIAL)</f>
        <v>4381372.7876277817</v>
      </c>
      <c r="H15" s="30"/>
      <c r="I15" s="34" t="s">
        <v>26</v>
      </c>
      <c r="J15" s="35">
        <v>534742.50999999989</v>
      </c>
      <c r="K15" s="30"/>
      <c r="L15" s="29"/>
      <c r="M15" s="30"/>
      <c r="N15" s="30"/>
      <c r="O15" s="30"/>
      <c r="P15" s="30"/>
      <c r="Q15" s="30"/>
      <c r="R15" s="30"/>
      <c r="S15" s="30"/>
      <c r="T15" s="30"/>
      <c r="U15" s="30"/>
      <c r="V15" s="31"/>
    </row>
    <row r="16" spans="1:22">
      <c r="A16" s="1" t="s">
        <v>27</v>
      </c>
      <c r="B16" s="29">
        <v>893.23797305386756</v>
      </c>
      <c r="C16" s="30">
        <v>0</v>
      </c>
      <c r="D16" s="30">
        <v>71551.413737281939</v>
      </c>
      <c r="E16" s="30">
        <v>0</v>
      </c>
      <c r="F16" s="30">
        <v>0</v>
      </c>
      <c r="G16" s="31">
        <f>SUM(GA_FINANCIAL)</f>
        <v>72444.651710335806</v>
      </c>
      <c r="H16" s="30"/>
      <c r="I16" s="34" t="s">
        <v>28</v>
      </c>
      <c r="J16" s="35">
        <v>0</v>
      </c>
      <c r="K16" s="30"/>
      <c r="L16" s="29"/>
      <c r="M16" s="30"/>
      <c r="N16" s="30"/>
      <c r="O16" s="30"/>
      <c r="P16" s="30"/>
      <c r="Q16" s="30"/>
      <c r="R16" s="30"/>
      <c r="S16" s="30"/>
      <c r="T16" s="30"/>
      <c r="U16" s="30"/>
      <c r="V16" s="31"/>
    </row>
    <row r="17" spans="1:22">
      <c r="A17" s="1" t="s">
        <v>29</v>
      </c>
      <c r="B17" s="29">
        <v>0</v>
      </c>
      <c r="C17" s="30">
        <v>0</v>
      </c>
      <c r="D17" s="30">
        <v>0</v>
      </c>
      <c r="E17" s="30">
        <v>0</v>
      </c>
      <c r="F17" s="30">
        <v>0</v>
      </c>
      <c r="G17" s="31">
        <f>SUM(HI_FINANCIAL)</f>
        <v>0</v>
      </c>
      <c r="H17" s="30"/>
      <c r="I17" s="34"/>
      <c r="J17" s="35"/>
      <c r="K17" s="30"/>
      <c r="L17" s="29"/>
      <c r="M17" s="30"/>
      <c r="N17" s="30"/>
      <c r="O17" s="30"/>
      <c r="P17" s="30"/>
      <c r="Q17" s="30"/>
      <c r="R17" s="30"/>
      <c r="S17" s="30"/>
      <c r="T17" s="30"/>
      <c r="U17" s="30"/>
      <c r="V17" s="31"/>
    </row>
    <row r="18" spans="1:22">
      <c r="A18" s="1" t="s">
        <v>30</v>
      </c>
      <c r="B18" s="29">
        <v>0</v>
      </c>
      <c r="C18" s="30">
        <v>0</v>
      </c>
      <c r="D18" s="30">
        <v>0</v>
      </c>
      <c r="E18" s="30">
        <v>0</v>
      </c>
      <c r="F18" s="30">
        <v>0</v>
      </c>
      <c r="G18" s="31">
        <f>SUM(ID_FINANCIAL)</f>
        <v>0</v>
      </c>
      <c r="H18" s="30"/>
      <c r="I18" s="34" t="s">
        <v>31</v>
      </c>
      <c r="J18" s="35"/>
      <c r="K18" s="30"/>
      <c r="L18" s="29"/>
      <c r="M18" s="30"/>
      <c r="N18" s="30"/>
      <c r="O18" s="30"/>
      <c r="P18" s="30"/>
      <c r="Q18" s="30"/>
      <c r="R18" s="30"/>
      <c r="S18" s="30"/>
      <c r="T18" s="30"/>
      <c r="U18" s="30"/>
      <c r="V18" s="31"/>
    </row>
    <row r="19" spans="1:22">
      <c r="A19" s="1" t="s">
        <v>32</v>
      </c>
      <c r="B19" s="29">
        <v>0</v>
      </c>
      <c r="C19" s="30">
        <v>0</v>
      </c>
      <c r="D19" s="30">
        <v>0</v>
      </c>
      <c r="E19" s="30">
        <v>0</v>
      </c>
      <c r="F19" s="30">
        <v>0</v>
      </c>
      <c r="G19" s="31">
        <f>SUM(IL_FINANCIAL)</f>
        <v>0</v>
      </c>
      <c r="H19" s="30"/>
      <c r="I19" s="34" t="s">
        <v>33</v>
      </c>
      <c r="J19" s="35">
        <v>732116</v>
      </c>
      <c r="K19" s="30"/>
      <c r="L19" s="29"/>
      <c r="M19" s="30"/>
      <c r="N19" s="30"/>
      <c r="O19" s="30"/>
      <c r="P19" s="30"/>
      <c r="Q19" s="30"/>
      <c r="R19" s="30"/>
      <c r="S19" s="30"/>
      <c r="T19" s="30"/>
      <c r="U19" s="30"/>
      <c r="V19" s="31"/>
    </row>
    <row r="20" spans="1:22">
      <c r="A20" s="1" t="s">
        <v>34</v>
      </c>
      <c r="B20" s="29">
        <v>0</v>
      </c>
      <c r="C20" s="30">
        <v>0</v>
      </c>
      <c r="D20" s="30">
        <v>0</v>
      </c>
      <c r="E20" s="30">
        <v>0</v>
      </c>
      <c r="F20" s="30">
        <v>0</v>
      </c>
      <c r="G20" s="31">
        <f>SUM(IN_FINANCIAL)</f>
        <v>0</v>
      </c>
      <c r="H20" s="30"/>
      <c r="I20" s="34" t="s">
        <v>35</v>
      </c>
      <c r="J20" s="35">
        <v>316112</v>
      </c>
      <c r="K20" s="30"/>
      <c r="L20" s="29"/>
      <c r="M20" s="30"/>
      <c r="N20" s="30"/>
      <c r="O20" s="30"/>
      <c r="P20" s="30"/>
      <c r="Q20" s="30"/>
      <c r="R20" s="30"/>
      <c r="S20" s="30"/>
      <c r="T20" s="30"/>
      <c r="U20" s="30"/>
      <c r="V20" s="31"/>
    </row>
    <row r="21" spans="1:22">
      <c r="A21" s="1" t="s">
        <v>36</v>
      </c>
      <c r="B21" s="29">
        <v>0</v>
      </c>
      <c r="C21" s="30">
        <v>0</v>
      </c>
      <c r="D21" s="30">
        <v>0</v>
      </c>
      <c r="E21" s="30">
        <v>0</v>
      </c>
      <c r="F21" s="30">
        <v>0</v>
      </c>
      <c r="G21" s="31">
        <f>SUM(IA_FINANCIAL)</f>
        <v>0</v>
      </c>
      <c r="H21" s="30"/>
      <c r="I21" s="34" t="s">
        <v>37</v>
      </c>
      <c r="J21" s="35"/>
      <c r="K21" s="30"/>
      <c r="L21" s="29"/>
      <c r="M21" s="30"/>
      <c r="N21" s="30"/>
      <c r="O21" s="30"/>
      <c r="P21" s="30"/>
      <c r="Q21" s="30"/>
      <c r="R21" s="30"/>
      <c r="S21" s="30"/>
      <c r="T21" s="30"/>
      <c r="U21" s="30"/>
      <c r="V21" s="31"/>
    </row>
    <row r="22" spans="1:22">
      <c r="A22" s="1" t="s">
        <v>38</v>
      </c>
      <c r="B22" s="29">
        <v>0</v>
      </c>
      <c r="C22" s="30">
        <v>0</v>
      </c>
      <c r="D22" s="30">
        <v>0</v>
      </c>
      <c r="E22" s="30">
        <v>0</v>
      </c>
      <c r="F22" s="30">
        <v>0</v>
      </c>
      <c r="G22" s="31">
        <f>SUM(KS_FINANCIAL)</f>
        <v>0</v>
      </c>
      <c r="H22" s="30"/>
      <c r="I22" s="34" t="s">
        <v>39</v>
      </c>
      <c r="J22" s="35">
        <v>-1274180</v>
      </c>
      <c r="K22" s="30"/>
      <c r="L22" s="29"/>
      <c r="M22" s="30"/>
      <c r="N22" s="30"/>
      <c r="O22" s="30"/>
      <c r="P22" s="30"/>
      <c r="Q22" s="30"/>
      <c r="R22" s="30"/>
      <c r="S22" s="30"/>
      <c r="T22" s="30"/>
      <c r="U22" s="30"/>
      <c r="V22" s="31"/>
    </row>
    <row r="23" spans="1:22">
      <c r="A23" s="1" t="s">
        <v>40</v>
      </c>
      <c r="B23" s="29">
        <v>0</v>
      </c>
      <c r="C23" s="30">
        <v>0</v>
      </c>
      <c r="D23" s="30">
        <v>0</v>
      </c>
      <c r="E23" s="30">
        <v>0</v>
      </c>
      <c r="F23" s="30">
        <v>0</v>
      </c>
      <c r="G23" s="31">
        <f>SUM(KY_FINANCIAL)</f>
        <v>0</v>
      </c>
      <c r="H23" s="30"/>
      <c r="I23" s="34" t="s">
        <v>41</v>
      </c>
      <c r="J23" s="35"/>
      <c r="K23" s="30"/>
      <c r="L23" s="29"/>
      <c r="M23" s="30"/>
      <c r="N23" s="30"/>
      <c r="O23" s="30"/>
      <c r="P23" s="30"/>
      <c r="Q23" s="30"/>
      <c r="R23" s="30"/>
      <c r="S23" s="30"/>
      <c r="T23" s="30"/>
      <c r="U23" s="30"/>
      <c r="V23" s="31"/>
    </row>
    <row r="24" spans="1:22">
      <c r="A24" s="1" t="s">
        <v>42</v>
      </c>
      <c r="B24" s="29">
        <v>735.71018241730019</v>
      </c>
      <c r="C24" s="30">
        <v>69176.665663847598</v>
      </c>
      <c r="D24" s="30">
        <v>1688.6041825223645</v>
      </c>
      <c r="E24" s="30">
        <v>0</v>
      </c>
      <c r="F24" s="30">
        <v>0</v>
      </c>
      <c r="G24" s="31">
        <f>SUM(LA_FINANCIAL)</f>
        <v>71600.980028787264</v>
      </c>
      <c r="H24" s="30"/>
      <c r="I24" s="34" t="s">
        <v>43</v>
      </c>
      <c r="J24" s="35">
        <v>1397619</v>
      </c>
      <c r="K24" s="30"/>
      <c r="L24" s="29">
        <v>10971</v>
      </c>
      <c r="M24" s="30">
        <v>0</v>
      </c>
      <c r="N24" s="30"/>
      <c r="O24" s="30">
        <v>0</v>
      </c>
      <c r="P24" s="30">
        <v>0</v>
      </c>
      <c r="Q24" s="30"/>
      <c r="R24" s="30">
        <v>148029</v>
      </c>
      <c r="S24" s="30">
        <v>0</v>
      </c>
      <c r="T24" s="30"/>
      <c r="U24" s="30">
        <v>0</v>
      </c>
      <c r="V24" s="31">
        <v>0</v>
      </c>
    </row>
    <row r="25" spans="1:22">
      <c r="A25" s="1" t="s">
        <v>44</v>
      </c>
      <c r="B25" s="29">
        <v>0</v>
      </c>
      <c r="C25" s="30">
        <v>0</v>
      </c>
      <c r="D25" s="30">
        <v>0</v>
      </c>
      <c r="E25" s="30">
        <v>0</v>
      </c>
      <c r="F25" s="30">
        <v>0</v>
      </c>
      <c r="G25" s="31">
        <f>SUM(ME_FINANCIAL)</f>
        <v>0</v>
      </c>
      <c r="H25" s="30"/>
      <c r="I25" s="34"/>
      <c r="J25" s="35"/>
      <c r="K25" s="30"/>
      <c r="L25" s="29"/>
      <c r="M25" s="30"/>
      <c r="N25" s="30"/>
      <c r="O25" s="30"/>
      <c r="P25" s="30"/>
      <c r="Q25" s="30"/>
      <c r="R25" s="30"/>
      <c r="S25" s="30"/>
      <c r="T25" s="30"/>
      <c r="U25" s="30"/>
      <c r="V25" s="31"/>
    </row>
    <row r="26" spans="1:22">
      <c r="A26" s="1" t="s">
        <v>45</v>
      </c>
      <c r="B26" s="29">
        <v>0</v>
      </c>
      <c r="C26" s="30">
        <v>0</v>
      </c>
      <c r="D26" s="30">
        <v>0</v>
      </c>
      <c r="E26" s="30">
        <v>0</v>
      </c>
      <c r="F26" s="30">
        <v>0</v>
      </c>
      <c r="G26" s="31">
        <f>SUM(MD_FINANCIAL)</f>
        <v>0</v>
      </c>
      <c r="H26" s="30"/>
      <c r="I26" s="34" t="s">
        <v>46</v>
      </c>
      <c r="J26" s="35">
        <f>SUM(ADD_FINANCIAL)-SUM(LESS_FINANCIAL)</f>
        <v>5385941.5099999998</v>
      </c>
      <c r="K26" s="30"/>
      <c r="L26" s="29"/>
      <c r="M26" s="30"/>
      <c r="N26" s="30"/>
      <c r="O26" s="30"/>
      <c r="P26" s="30"/>
      <c r="Q26" s="30"/>
      <c r="R26" s="30"/>
      <c r="S26" s="30"/>
      <c r="T26" s="30"/>
      <c r="U26" s="30"/>
      <c r="V26" s="31"/>
    </row>
    <row r="27" spans="1:22">
      <c r="A27" s="1" t="s">
        <v>47</v>
      </c>
      <c r="B27" s="29">
        <v>0</v>
      </c>
      <c r="C27" s="30">
        <v>0</v>
      </c>
      <c r="D27" s="30">
        <v>0</v>
      </c>
      <c r="E27" s="30">
        <v>0</v>
      </c>
      <c r="F27" s="30">
        <v>0</v>
      </c>
      <c r="G27" s="31">
        <f>SUM(MA_FINANCIAL)</f>
        <v>0</v>
      </c>
      <c r="H27" s="30"/>
      <c r="I27" s="34" t="s">
        <v>48</v>
      </c>
      <c r="J27" s="35">
        <f>SUM(ALL_BLOCKS)</f>
        <v>5385941.5099999998</v>
      </c>
      <c r="K27" s="30"/>
      <c r="L27" s="29"/>
      <c r="M27" s="30"/>
      <c r="N27" s="30"/>
      <c r="O27" s="30"/>
      <c r="P27" s="30"/>
      <c r="Q27" s="30"/>
      <c r="R27" s="30"/>
      <c r="S27" s="30"/>
      <c r="T27" s="30"/>
      <c r="U27" s="30"/>
      <c r="V27" s="31"/>
    </row>
    <row r="28" spans="1:22">
      <c r="A28" s="1" t="s">
        <v>49</v>
      </c>
      <c r="B28" s="29">
        <v>0</v>
      </c>
      <c r="C28" s="30">
        <v>0</v>
      </c>
      <c r="D28" s="30">
        <v>0</v>
      </c>
      <c r="E28" s="30">
        <v>0</v>
      </c>
      <c r="F28" s="30">
        <v>0</v>
      </c>
      <c r="G28" s="31">
        <f>SUM(MI_FINANCIAL)</f>
        <v>0</v>
      </c>
      <c r="H28" s="30"/>
      <c r="I28" s="36"/>
      <c r="J28" s="37"/>
      <c r="K28" s="30"/>
      <c r="L28" s="29"/>
      <c r="M28" s="30"/>
      <c r="N28" s="30"/>
      <c r="O28" s="30"/>
      <c r="P28" s="30"/>
      <c r="Q28" s="30"/>
      <c r="R28" s="30"/>
      <c r="S28" s="30"/>
      <c r="T28" s="30"/>
      <c r="U28" s="30"/>
      <c r="V28" s="31"/>
    </row>
    <row r="29" spans="1:22">
      <c r="A29" s="1" t="s">
        <v>50</v>
      </c>
      <c r="B29" s="29">
        <v>0</v>
      </c>
      <c r="C29" s="30">
        <v>0</v>
      </c>
      <c r="D29" s="30">
        <v>0</v>
      </c>
      <c r="E29" s="30">
        <v>0</v>
      </c>
      <c r="F29" s="30">
        <v>0</v>
      </c>
      <c r="G29" s="31">
        <f>SUM(MN_FINANCIAL)</f>
        <v>0</v>
      </c>
      <c r="H29" s="30"/>
      <c r="I29" s="30"/>
      <c r="J29" s="30"/>
      <c r="K29" s="30"/>
      <c r="L29" s="29"/>
      <c r="M29" s="30"/>
      <c r="N29" s="30"/>
      <c r="O29" s="30"/>
      <c r="P29" s="30"/>
      <c r="Q29" s="30"/>
      <c r="R29" s="30"/>
      <c r="S29" s="30"/>
      <c r="T29" s="30"/>
      <c r="U29" s="30"/>
      <c r="V29" s="31"/>
    </row>
    <row r="30" spans="1:22">
      <c r="A30" s="1" t="s">
        <v>51</v>
      </c>
      <c r="B30" s="29">
        <v>16005.0603011237</v>
      </c>
      <c r="C30" s="30">
        <v>34292.864470502202</v>
      </c>
      <c r="D30" s="30">
        <v>18899.663788428334</v>
      </c>
      <c r="E30" s="30">
        <v>0</v>
      </c>
      <c r="F30" s="30">
        <v>0</v>
      </c>
      <c r="G30" s="31">
        <f>SUM(MS_FINANCIAL)</f>
        <v>69197.588560054224</v>
      </c>
      <c r="H30" s="30"/>
      <c r="I30" s="30"/>
      <c r="J30" s="30"/>
      <c r="K30" s="30"/>
      <c r="L30" s="29"/>
      <c r="M30" s="30"/>
      <c r="N30" s="30"/>
      <c r="O30" s="30"/>
      <c r="P30" s="30"/>
      <c r="Q30" s="30"/>
      <c r="R30" s="30"/>
      <c r="S30" s="30"/>
      <c r="T30" s="30"/>
      <c r="U30" s="30"/>
      <c r="V30" s="31"/>
    </row>
    <row r="31" spans="1:22">
      <c r="A31" s="1" t="s">
        <v>52</v>
      </c>
      <c r="B31" s="29">
        <v>0</v>
      </c>
      <c r="C31" s="30">
        <v>0</v>
      </c>
      <c r="D31" s="30">
        <v>0</v>
      </c>
      <c r="E31" s="30">
        <v>0</v>
      </c>
      <c r="F31" s="30">
        <v>0</v>
      </c>
      <c r="G31" s="31">
        <f>SUM(MO_FINANCIAL)</f>
        <v>0</v>
      </c>
      <c r="H31" s="30"/>
      <c r="I31" s="30"/>
      <c r="J31" s="30"/>
      <c r="K31" s="30"/>
      <c r="L31" s="29"/>
      <c r="M31" s="30"/>
      <c r="N31" s="30"/>
      <c r="O31" s="30"/>
      <c r="P31" s="30"/>
      <c r="Q31" s="30"/>
      <c r="R31" s="30"/>
      <c r="S31" s="30"/>
      <c r="T31" s="30"/>
      <c r="U31" s="30"/>
      <c r="V31" s="31"/>
    </row>
    <row r="32" spans="1:22">
      <c r="A32" s="1" t="s">
        <v>53</v>
      </c>
      <c r="B32" s="29">
        <v>0</v>
      </c>
      <c r="C32" s="30">
        <v>0</v>
      </c>
      <c r="D32" s="30">
        <v>0</v>
      </c>
      <c r="E32" s="30">
        <v>0</v>
      </c>
      <c r="F32" s="30">
        <v>0</v>
      </c>
      <c r="G32" s="31">
        <f>SUM(MT_FINANCIAL)</f>
        <v>0</v>
      </c>
      <c r="H32" s="30"/>
      <c r="I32" s="30"/>
      <c r="J32" s="30"/>
      <c r="K32" s="30"/>
      <c r="L32" s="29"/>
      <c r="M32" s="30"/>
      <c r="N32" s="30"/>
      <c r="O32" s="30"/>
      <c r="P32" s="30"/>
      <c r="Q32" s="30"/>
      <c r="R32" s="30"/>
      <c r="S32" s="30"/>
      <c r="T32" s="30"/>
      <c r="U32" s="30"/>
      <c r="V32" s="31"/>
    </row>
    <row r="33" spans="1:22">
      <c r="A33" s="1" t="s">
        <v>54</v>
      </c>
      <c r="B33" s="29">
        <v>0</v>
      </c>
      <c r="C33" s="30">
        <v>0</v>
      </c>
      <c r="D33" s="30">
        <v>0</v>
      </c>
      <c r="E33" s="30">
        <v>0</v>
      </c>
      <c r="F33" s="30">
        <v>0</v>
      </c>
      <c r="G33" s="31">
        <f>SUM(NE_FINANCIAL)</f>
        <v>0</v>
      </c>
      <c r="H33" s="30"/>
      <c r="I33" s="30"/>
      <c r="J33" s="30"/>
      <c r="K33" s="30"/>
      <c r="L33" s="29"/>
      <c r="M33" s="30"/>
      <c r="N33" s="30"/>
      <c r="O33" s="30"/>
      <c r="P33" s="30"/>
      <c r="Q33" s="30"/>
      <c r="R33" s="30"/>
      <c r="S33" s="30"/>
      <c r="T33" s="30"/>
      <c r="U33" s="30"/>
      <c r="V33" s="31"/>
    </row>
    <row r="34" spans="1:22">
      <c r="A34" s="1" t="s">
        <v>55</v>
      </c>
      <c r="B34" s="29">
        <v>0</v>
      </c>
      <c r="C34" s="30">
        <v>0</v>
      </c>
      <c r="D34" s="30">
        <v>0</v>
      </c>
      <c r="E34" s="30">
        <v>0</v>
      </c>
      <c r="F34" s="30">
        <v>0</v>
      </c>
      <c r="G34" s="31">
        <f>SUM(NV_FINANCIAL)</f>
        <v>0</v>
      </c>
      <c r="H34" s="30"/>
      <c r="I34" s="30"/>
      <c r="J34" s="30"/>
      <c r="K34" s="30"/>
      <c r="L34" s="29"/>
      <c r="M34" s="30"/>
      <c r="N34" s="30"/>
      <c r="O34" s="30"/>
      <c r="P34" s="30"/>
      <c r="Q34" s="30"/>
      <c r="R34" s="30"/>
      <c r="S34" s="30"/>
      <c r="T34" s="30"/>
      <c r="U34" s="30"/>
      <c r="V34" s="31"/>
    </row>
    <row r="35" spans="1:22">
      <c r="A35" s="1" t="s">
        <v>56</v>
      </c>
      <c r="B35" s="29">
        <v>0</v>
      </c>
      <c r="C35" s="30">
        <v>0</v>
      </c>
      <c r="D35" s="30">
        <v>0</v>
      </c>
      <c r="E35" s="30">
        <v>0</v>
      </c>
      <c r="F35" s="30">
        <v>0</v>
      </c>
      <c r="G35" s="31">
        <f>SUM(NH_FINANCIAL)</f>
        <v>0</v>
      </c>
      <c r="H35" s="30"/>
      <c r="I35" s="30"/>
      <c r="J35" s="30"/>
      <c r="K35" s="30"/>
      <c r="L35" s="29"/>
      <c r="M35" s="30"/>
      <c r="N35" s="30"/>
      <c r="O35" s="30"/>
      <c r="P35" s="30"/>
      <c r="Q35" s="30"/>
      <c r="R35" s="30"/>
      <c r="S35" s="30"/>
      <c r="T35" s="30"/>
      <c r="U35" s="30"/>
      <c r="V35" s="31"/>
    </row>
    <row r="36" spans="1:22">
      <c r="A36" s="1" t="s">
        <v>57</v>
      </c>
      <c r="B36" s="29">
        <v>0</v>
      </c>
      <c r="C36" s="30">
        <v>0</v>
      </c>
      <c r="D36" s="30">
        <v>0</v>
      </c>
      <c r="E36" s="30">
        <v>0</v>
      </c>
      <c r="F36" s="30">
        <v>0</v>
      </c>
      <c r="G36" s="31">
        <f>SUM(NJ_FINANCIAL)</f>
        <v>0</v>
      </c>
      <c r="H36" s="30"/>
      <c r="I36" s="30"/>
      <c r="J36" s="30"/>
      <c r="K36" s="30"/>
      <c r="L36" s="29"/>
      <c r="M36" s="30"/>
      <c r="N36" s="30"/>
      <c r="O36" s="30"/>
      <c r="P36" s="30"/>
      <c r="Q36" s="30"/>
      <c r="R36" s="30"/>
      <c r="S36" s="30"/>
      <c r="T36" s="30"/>
      <c r="U36" s="30"/>
      <c r="V36" s="31"/>
    </row>
    <row r="37" spans="1:22">
      <c r="A37" s="1" t="s">
        <v>58</v>
      </c>
      <c r="B37" s="29">
        <v>0</v>
      </c>
      <c r="C37" s="30">
        <v>0</v>
      </c>
      <c r="D37" s="30">
        <v>0</v>
      </c>
      <c r="E37" s="30">
        <v>0</v>
      </c>
      <c r="F37" s="30">
        <v>0</v>
      </c>
      <c r="G37" s="31">
        <f>SUM(NM_FINANCIAL)</f>
        <v>0</v>
      </c>
      <c r="H37" s="30"/>
      <c r="I37" s="30"/>
      <c r="J37" s="30"/>
      <c r="K37" s="30"/>
      <c r="L37" s="29"/>
      <c r="M37" s="30"/>
      <c r="N37" s="30"/>
      <c r="O37" s="30"/>
      <c r="P37" s="30"/>
      <c r="Q37" s="30"/>
      <c r="R37" s="30"/>
      <c r="S37" s="30"/>
      <c r="T37" s="30"/>
      <c r="U37" s="30"/>
      <c r="V37" s="31"/>
    </row>
    <row r="38" spans="1:22">
      <c r="A38" s="1" t="s">
        <v>59</v>
      </c>
      <c r="B38" s="29">
        <v>0</v>
      </c>
      <c r="C38" s="30">
        <v>0</v>
      </c>
      <c r="D38" s="30">
        <v>0</v>
      </c>
      <c r="E38" s="30">
        <v>0</v>
      </c>
      <c r="F38" s="30">
        <v>0</v>
      </c>
      <c r="G38" s="31">
        <f>SUM(NY_FINANCIAL)</f>
        <v>0</v>
      </c>
      <c r="H38" s="30"/>
      <c r="I38" s="30"/>
      <c r="J38" s="30"/>
      <c r="K38" s="30"/>
      <c r="L38" s="29"/>
      <c r="M38" s="30"/>
      <c r="N38" s="30"/>
      <c r="O38" s="30"/>
      <c r="P38" s="30"/>
      <c r="Q38" s="30"/>
      <c r="R38" s="30"/>
      <c r="S38" s="30"/>
      <c r="T38" s="30"/>
      <c r="U38" s="30"/>
      <c r="V38" s="31"/>
    </row>
    <row r="39" spans="1:22">
      <c r="A39" s="1" t="s">
        <v>60</v>
      </c>
      <c r="B39" s="29">
        <v>0</v>
      </c>
      <c r="C39" s="30">
        <v>0</v>
      </c>
      <c r="D39" s="30">
        <v>0</v>
      </c>
      <c r="E39" s="30">
        <v>0</v>
      </c>
      <c r="F39" s="30">
        <v>0</v>
      </c>
      <c r="G39" s="31">
        <f>SUM(NC_FINANCIAL)</f>
        <v>0</v>
      </c>
      <c r="H39" s="30"/>
      <c r="I39" s="30"/>
      <c r="J39" s="30"/>
      <c r="K39" s="30"/>
      <c r="L39" s="29"/>
      <c r="M39" s="30"/>
      <c r="N39" s="30"/>
      <c r="O39" s="30"/>
      <c r="P39" s="30"/>
      <c r="Q39" s="30"/>
      <c r="R39" s="30"/>
      <c r="S39" s="30"/>
      <c r="T39" s="30"/>
      <c r="U39" s="30"/>
      <c r="V39" s="31"/>
    </row>
    <row r="40" spans="1:22">
      <c r="A40" s="1" t="s">
        <v>61</v>
      </c>
      <c r="B40" s="29">
        <v>0</v>
      </c>
      <c r="C40" s="30">
        <v>0</v>
      </c>
      <c r="D40" s="30">
        <v>0</v>
      </c>
      <c r="E40" s="30">
        <v>0</v>
      </c>
      <c r="F40" s="30">
        <v>0</v>
      </c>
      <c r="G40" s="31">
        <f>SUM(ND_FINANCIAL)</f>
        <v>0</v>
      </c>
      <c r="H40" s="30"/>
      <c r="I40" s="30"/>
      <c r="J40" s="30"/>
      <c r="K40" s="30"/>
      <c r="L40" s="29"/>
      <c r="M40" s="30"/>
      <c r="N40" s="30"/>
      <c r="O40" s="30"/>
      <c r="P40" s="30"/>
      <c r="Q40" s="30"/>
      <c r="R40" s="30"/>
      <c r="S40" s="30"/>
      <c r="T40" s="30"/>
      <c r="U40" s="30"/>
      <c r="V40" s="31"/>
    </row>
    <row r="41" spans="1:22">
      <c r="A41" s="1" t="s">
        <v>62</v>
      </c>
      <c r="B41" s="29">
        <v>0</v>
      </c>
      <c r="C41" s="30">
        <v>0</v>
      </c>
      <c r="D41" s="30">
        <v>0</v>
      </c>
      <c r="E41" s="30">
        <v>0</v>
      </c>
      <c r="F41" s="30">
        <v>0</v>
      </c>
      <c r="G41" s="31">
        <f>SUM(OH_FINANCIAL)</f>
        <v>0</v>
      </c>
      <c r="H41" s="30"/>
      <c r="I41" s="30"/>
      <c r="J41" s="30"/>
      <c r="K41" s="30"/>
      <c r="L41" s="29"/>
      <c r="M41" s="30"/>
      <c r="N41" s="30"/>
      <c r="O41" s="30"/>
      <c r="P41" s="30"/>
      <c r="Q41" s="30"/>
      <c r="R41" s="30"/>
      <c r="S41" s="30"/>
      <c r="T41" s="30"/>
      <c r="U41" s="30"/>
      <c r="V41" s="31"/>
    </row>
    <row r="42" spans="1:22">
      <c r="A42" s="1" t="s">
        <v>63</v>
      </c>
      <c r="B42" s="29">
        <v>0</v>
      </c>
      <c r="C42" s="30">
        <v>0</v>
      </c>
      <c r="D42" s="30">
        <v>0</v>
      </c>
      <c r="E42" s="30">
        <v>0</v>
      </c>
      <c r="F42" s="30">
        <v>0</v>
      </c>
      <c r="G42" s="31">
        <f>SUM(OK_FINANCIAL)</f>
        <v>0</v>
      </c>
      <c r="H42" s="30"/>
      <c r="I42" s="30"/>
      <c r="J42" s="30"/>
      <c r="K42" s="30"/>
      <c r="L42" s="29"/>
      <c r="M42" s="30"/>
      <c r="N42" s="30"/>
      <c r="O42" s="30"/>
      <c r="P42" s="30"/>
      <c r="Q42" s="30"/>
      <c r="R42" s="30"/>
      <c r="S42" s="30"/>
      <c r="T42" s="30"/>
      <c r="U42" s="30"/>
      <c r="V42" s="31"/>
    </row>
    <row r="43" spans="1:22">
      <c r="A43" s="1" t="s">
        <v>64</v>
      </c>
      <c r="B43" s="29">
        <v>0</v>
      </c>
      <c r="C43" s="30">
        <v>0</v>
      </c>
      <c r="D43" s="30">
        <v>0</v>
      </c>
      <c r="E43" s="30">
        <v>0</v>
      </c>
      <c r="F43" s="30">
        <v>0</v>
      </c>
      <c r="G43" s="31">
        <f>SUM(OR_FINANCIAL)</f>
        <v>0</v>
      </c>
      <c r="H43" s="30"/>
      <c r="I43" s="30"/>
      <c r="J43" s="30"/>
      <c r="K43" s="30"/>
      <c r="L43" s="29"/>
      <c r="M43" s="30"/>
      <c r="N43" s="30"/>
      <c r="O43" s="30"/>
      <c r="P43" s="30"/>
      <c r="Q43" s="30"/>
      <c r="R43" s="30"/>
      <c r="S43" s="30"/>
      <c r="T43" s="30"/>
      <c r="U43" s="30"/>
      <c r="V43" s="31"/>
    </row>
    <row r="44" spans="1:22">
      <c r="A44" s="1" t="s">
        <v>65</v>
      </c>
      <c r="B44" s="29">
        <v>0</v>
      </c>
      <c r="C44" s="30">
        <v>0</v>
      </c>
      <c r="D44" s="30">
        <v>0</v>
      </c>
      <c r="E44" s="30">
        <v>0</v>
      </c>
      <c r="F44" s="30">
        <v>0</v>
      </c>
      <c r="G44" s="31">
        <f>SUM(PA_FINANCIAL)</f>
        <v>0</v>
      </c>
      <c r="H44" s="30"/>
      <c r="I44" s="30"/>
      <c r="J44" s="30"/>
      <c r="K44" s="30"/>
      <c r="L44" s="29"/>
      <c r="M44" s="30"/>
      <c r="N44" s="30"/>
      <c r="O44" s="30"/>
      <c r="P44" s="30"/>
      <c r="Q44" s="30"/>
      <c r="R44" s="30"/>
      <c r="S44" s="30"/>
      <c r="T44" s="30"/>
      <c r="U44" s="30"/>
      <c r="V44" s="31"/>
    </row>
    <row r="45" spans="1:22">
      <c r="A45" s="1" t="s">
        <v>66</v>
      </c>
      <c r="B45" s="29">
        <v>0</v>
      </c>
      <c r="C45" s="30">
        <v>0</v>
      </c>
      <c r="D45" s="30">
        <v>0</v>
      </c>
      <c r="E45" s="30">
        <v>0</v>
      </c>
      <c r="F45" s="30">
        <v>0</v>
      </c>
      <c r="G45" s="31">
        <f>SUM(PR_FINANCIAL)</f>
        <v>0</v>
      </c>
      <c r="H45" s="30"/>
      <c r="I45" s="30"/>
      <c r="J45" s="30"/>
      <c r="K45" s="30"/>
      <c r="L45" s="29"/>
      <c r="M45" s="30"/>
      <c r="N45" s="30"/>
      <c r="O45" s="30"/>
      <c r="P45" s="30"/>
      <c r="Q45" s="30"/>
      <c r="R45" s="30"/>
      <c r="S45" s="30"/>
      <c r="T45" s="30"/>
      <c r="U45" s="30"/>
      <c r="V45" s="31"/>
    </row>
    <row r="46" spans="1:22">
      <c r="A46" s="1" t="s">
        <v>67</v>
      </c>
      <c r="B46" s="29">
        <v>0</v>
      </c>
      <c r="C46" s="30">
        <v>0</v>
      </c>
      <c r="D46" s="30">
        <v>0</v>
      </c>
      <c r="E46" s="30">
        <v>0</v>
      </c>
      <c r="F46" s="30">
        <v>0</v>
      </c>
      <c r="G46" s="31">
        <f>SUM(RI_FINANCIAL)</f>
        <v>0</v>
      </c>
      <c r="H46" s="30"/>
      <c r="I46" s="30"/>
      <c r="J46" s="30"/>
      <c r="K46" s="30"/>
      <c r="L46" s="29"/>
      <c r="M46" s="30"/>
      <c r="N46" s="30"/>
      <c r="O46" s="30"/>
      <c r="P46" s="30"/>
      <c r="Q46" s="30"/>
      <c r="R46" s="30"/>
      <c r="S46" s="30"/>
      <c r="T46" s="30"/>
      <c r="U46" s="30"/>
      <c r="V46" s="31"/>
    </row>
    <row r="47" spans="1:22">
      <c r="A47" s="1" t="s">
        <v>68</v>
      </c>
      <c r="B47" s="29">
        <v>0</v>
      </c>
      <c r="C47" s="30">
        <v>0</v>
      </c>
      <c r="D47" s="30">
        <v>0</v>
      </c>
      <c r="E47" s="30">
        <v>0</v>
      </c>
      <c r="F47" s="30">
        <v>0</v>
      </c>
      <c r="G47" s="31">
        <f>SUM(SC_FINANCIAL)</f>
        <v>0</v>
      </c>
      <c r="H47" s="30"/>
      <c r="I47" s="30"/>
      <c r="J47" s="30"/>
      <c r="K47" s="30"/>
      <c r="L47" s="29"/>
      <c r="M47" s="30"/>
      <c r="N47" s="30"/>
      <c r="O47" s="30"/>
      <c r="P47" s="30"/>
      <c r="Q47" s="30"/>
      <c r="R47" s="30"/>
      <c r="S47" s="30"/>
      <c r="T47" s="30"/>
      <c r="U47" s="30"/>
      <c r="V47" s="31"/>
    </row>
    <row r="48" spans="1:22">
      <c r="A48" s="1" t="s">
        <v>69</v>
      </c>
      <c r="B48" s="29">
        <v>0</v>
      </c>
      <c r="C48" s="30">
        <v>0</v>
      </c>
      <c r="D48" s="30">
        <v>0</v>
      </c>
      <c r="E48" s="30">
        <v>0</v>
      </c>
      <c r="F48" s="30">
        <v>0</v>
      </c>
      <c r="G48" s="31">
        <f>SUM(SD_FINANCIAL)</f>
        <v>0</v>
      </c>
      <c r="H48" s="30"/>
      <c r="I48" s="30"/>
      <c r="J48" s="30"/>
      <c r="K48" s="30"/>
      <c r="L48" s="29"/>
      <c r="M48" s="30"/>
      <c r="N48" s="30"/>
      <c r="O48" s="30"/>
      <c r="P48" s="30"/>
      <c r="Q48" s="30"/>
      <c r="R48" s="30"/>
      <c r="S48" s="30"/>
      <c r="T48" s="30"/>
      <c r="U48" s="30"/>
      <c r="V48" s="31"/>
    </row>
    <row r="49" spans="1:22">
      <c r="A49" s="1" t="s">
        <v>70</v>
      </c>
      <c r="B49" s="29">
        <v>0</v>
      </c>
      <c r="C49" s="30">
        <v>0</v>
      </c>
      <c r="D49" s="30">
        <v>0</v>
      </c>
      <c r="E49" s="30">
        <v>0</v>
      </c>
      <c r="F49" s="30">
        <v>0</v>
      </c>
      <c r="G49" s="31">
        <f>SUM(TN_FINANCIAL)</f>
        <v>0</v>
      </c>
      <c r="H49" s="30"/>
      <c r="I49" s="30"/>
      <c r="J49" s="30"/>
      <c r="K49" s="30"/>
      <c r="L49" s="29"/>
      <c r="M49" s="30"/>
      <c r="N49" s="30"/>
      <c r="O49" s="30"/>
      <c r="P49" s="30"/>
      <c r="Q49" s="30"/>
      <c r="R49" s="30"/>
      <c r="S49" s="30"/>
      <c r="T49" s="30"/>
      <c r="U49" s="30"/>
      <c r="V49" s="31"/>
    </row>
    <row r="50" spans="1:22">
      <c r="A50" s="1" t="s">
        <v>71</v>
      </c>
      <c r="B50" s="29">
        <v>0</v>
      </c>
      <c r="C50" s="30">
        <v>0</v>
      </c>
      <c r="D50" s="30">
        <v>0</v>
      </c>
      <c r="E50" s="30">
        <v>0</v>
      </c>
      <c r="F50" s="30">
        <v>0</v>
      </c>
      <c r="G50" s="31">
        <f>SUM(TX_FINANCIAL)</f>
        <v>0</v>
      </c>
      <c r="H50" s="30"/>
      <c r="I50" s="30"/>
      <c r="J50" s="30"/>
      <c r="K50" s="30"/>
      <c r="L50" s="29"/>
      <c r="M50" s="30"/>
      <c r="N50" s="30"/>
      <c r="O50" s="30"/>
      <c r="P50" s="30"/>
      <c r="Q50" s="30"/>
      <c r="R50" s="30"/>
      <c r="S50" s="30"/>
      <c r="T50" s="30"/>
      <c r="U50" s="30"/>
      <c r="V50" s="31"/>
    </row>
    <row r="51" spans="1:22">
      <c r="A51" s="1" t="s">
        <v>72</v>
      </c>
      <c r="B51" s="29">
        <v>0</v>
      </c>
      <c r="C51" s="30">
        <v>0</v>
      </c>
      <c r="D51" s="30">
        <v>0</v>
      </c>
      <c r="E51" s="30">
        <v>0</v>
      </c>
      <c r="F51" s="30">
        <v>0</v>
      </c>
      <c r="G51" s="31">
        <f>SUM(UT_FINANCIAL)</f>
        <v>0</v>
      </c>
      <c r="H51" s="30"/>
      <c r="I51" s="30"/>
      <c r="J51" s="30"/>
      <c r="K51" s="30"/>
      <c r="L51" s="29"/>
      <c r="M51" s="30"/>
      <c r="N51" s="30"/>
      <c r="O51" s="30"/>
      <c r="P51" s="30"/>
      <c r="Q51" s="30"/>
      <c r="R51" s="30"/>
      <c r="S51" s="30"/>
      <c r="T51" s="30"/>
      <c r="U51" s="30"/>
      <c r="V51" s="31"/>
    </row>
    <row r="52" spans="1:22">
      <c r="A52" s="1" t="s">
        <v>73</v>
      </c>
      <c r="B52" s="29">
        <v>0</v>
      </c>
      <c r="C52" s="30">
        <v>0</v>
      </c>
      <c r="D52" s="30">
        <v>0</v>
      </c>
      <c r="E52" s="30">
        <v>0</v>
      </c>
      <c r="F52" s="30">
        <v>0</v>
      </c>
      <c r="G52" s="31">
        <f>SUM(VT_FINANCIAL)</f>
        <v>0</v>
      </c>
      <c r="H52" s="30"/>
      <c r="I52" s="30"/>
      <c r="J52" s="30"/>
      <c r="K52" s="30"/>
      <c r="L52" s="29"/>
      <c r="M52" s="30"/>
      <c r="N52" s="30"/>
      <c r="O52" s="30"/>
      <c r="P52" s="30"/>
      <c r="Q52" s="30"/>
      <c r="R52" s="30"/>
      <c r="S52" s="30"/>
      <c r="T52" s="30"/>
      <c r="U52" s="30"/>
      <c r="V52" s="31"/>
    </row>
    <row r="53" spans="1:22">
      <c r="A53" s="1" t="s">
        <v>74</v>
      </c>
      <c r="B53" s="29">
        <v>0</v>
      </c>
      <c r="C53" s="30">
        <v>0</v>
      </c>
      <c r="D53" s="30">
        <v>0</v>
      </c>
      <c r="E53" s="30">
        <v>0</v>
      </c>
      <c r="F53" s="30">
        <v>0</v>
      </c>
      <c r="G53" s="31">
        <f>SUM(VA_FINANCIAL)</f>
        <v>0</v>
      </c>
      <c r="H53" s="30"/>
      <c r="I53" s="30"/>
      <c r="J53" s="30"/>
      <c r="K53" s="30"/>
      <c r="L53" s="29"/>
      <c r="M53" s="30"/>
      <c r="N53" s="30"/>
      <c r="O53" s="30"/>
      <c r="P53" s="30"/>
      <c r="Q53" s="30"/>
      <c r="R53" s="30"/>
      <c r="S53" s="30"/>
      <c r="T53" s="30"/>
      <c r="U53" s="30"/>
      <c r="V53" s="31"/>
    </row>
    <row r="54" spans="1:22">
      <c r="A54" s="1" t="s">
        <v>75</v>
      </c>
      <c r="B54" s="29">
        <v>0</v>
      </c>
      <c r="C54" s="30">
        <v>0</v>
      </c>
      <c r="D54" s="30">
        <v>0</v>
      </c>
      <c r="E54" s="30">
        <v>0</v>
      </c>
      <c r="F54" s="30">
        <v>0</v>
      </c>
      <c r="G54" s="31">
        <f>SUM(WA_FINANCIAL)</f>
        <v>0</v>
      </c>
      <c r="H54" s="30"/>
      <c r="I54" s="30"/>
      <c r="J54" s="30"/>
      <c r="K54" s="30"/>
      <c r="L54" s="29"/>
      <c r="M54" s="30"/>
      <c r="N54" s="30"/>
      <c r="O54" s="30"/>
      <c r="P54" s="30"/>
      <c r="Q54" s="30"/>
      <c r="R54" s="30"/>
      <c r="S54" s="30"/>
      <c r="T54" s="30"/>
      <c r="U54" s="30"/>
      <c r="V54" s="31"/>
    </row>
    <row r="55" spans="1:22">
      <c r="A55" s="1" t="s">
        <v>76</v>
      </c>
      <c r="B55" s="29">
        <v>0</v>
      </c>
      <c r="C55" s="30">
        <v>0</v>
      </c>
      <c r="D55" s="30">
        <v>0</v>
      </c>
      <c r="E55" s="30">
        <v>0</v>
      </c>
      <c r="F55" s="30">
        <v>0</v>
      </c>
      <c r="G55" s="31">
        <f>SUM(WV_FINANCIAL)</f>
        <v>0</v>
      </c>
      <c r="H55" s="30"/>
      <c r="I55" s="30"/>
      <c r="J55" s="30"/>
      <c r="K55" s="30"/>
      <c r="L55" s="29"/>
      <c r="M55" s="30"/>
      <c r="N55" s="30"/>
      <c r="O55" s="30"/>
      <c r="P55" s="30"/>
      <c r="Q55" s="30"/>
      <c r="R55" s="30"/>
      <c r="S55" s="30"/>
      <c r="T55" s="30"/>
      <c r="U55" s="30"/>
      <c r="V55" s="31"/>
    </row>
    <row r="56" spans="1:22">
      <c r="A56" s="1" t="s">
        <v>77</v>
      </c>
      <c r="B56" s="29">
        <v>0</v>
      </c>
      <c r="C56" s="30">
        <v>0</v>
      </c>
      <c r="D56" s="30">
        <v>0</v>
      </c>
      <c r="E56" s="30">
        <v>0</v>
      </c>
      <c r="F56" s="30">
        <v>0</v>
      </c>
      <c r="G56" s="31">
        <f>SUM(WI_FINANCIAL)</f>
        <v>0</v>
      </c>
      <c r="H56" s="30"/>
      <c r="I56" s="30"/>
      <c r="J56" s="30"/>
      <c r="K56" s="30"/>
      <c r="L56" s="29"/>
      <c r="M56" s="30"/>
      <c r="N56" s="30"/>
      <c r="O56" s="30"/>
      <c r="P56" s="30"/>
      <c r="Q56" s="30"/>
      <c r="R56" s="30"/>
      <c r="S56" s="30"/>
      <c r="T56" s="30"/>
      <c r="U56" s="30"/>
      <c r="V56" s="31"/>
    </row>
    <row r="57" spans="1:22">
      <c r="A57" s="1" t="s">
        <v>78</v>
      </c>
      <c r="B57" s="29">
        <v>0</v>
      </c>
      <c r="C57" s="30">
        <v>0</v>
      </c>
      <c r="D57" s="30">
        <v>0</v>
      </c>
      <c r="E57" s="30">
        <v>0</v>
      </c>
      <c r="F57" s="30">
        <v>0</v>
      </c>
      <c r="G57" s="31">
        <f>SUM(WY_FINANCIAL)</f>
        <v>0</v>
      </c>
      <c r="H57" s="30"/>
      <c r="I57" s="30"/>
      <c r="J57" s="30"/>
      <c r="K57" s="30"/>
      <c r="L57" s="29"/>
      <c r="M57" s="30"/>
      <c r="N57" s="30"/>
      <c r="O57" s="30"/>
      <c r="P57" s="30"/>
      <c r="Q57" s="30"/>
      <c r="R57" s="30"/>
      <c r="S57" s="30"/>
      <c r="T57" s="30"/>
      <c r="U57" s="30"/>
      <c r="V57" s="31"/>
    </row>
    <row r="58" spans="1:22">
      <c r="A58" s="1" t="s">
        <v>79</v>
      </c>
      <c r="B58" s="29">
        <v>0</v>
      </c>
      <c r="C58" s="30">
        <v>0</v>
      </c>
      <c r="D58" s="30">
        <v>0</v>
      </c>
      <c r="E58" s="30">
        <v>0</v>
      </c>
      <c r="F58" s="30">
        <v>0</v>
      </c>
      <c r="G58" s="31">
        <f>SUM(OT_FINANCIAL)</f>
        <v>0</v>
      </c>
      <c r="H58" s="30"/>
      <c r="I58" s="30"/>
      <c r="J58" s="30"/>
      <c r="K58" s="30"/>
      <c r="L58" s="29"/>
      <c r="M58" s="30"/>
      <c r="N58" s="30"/>
      <c r="O58" s="30"/>
      <c r="P58" s="30"/>
      <c r="Q58" s="30"/>
      <c r="R58" s="30"/>
      <c r="S58" s="30"/>
      <c r="T58" s="30"/>
      <c r="U58" s="30"/>
      <c r="V58" s="31"/>
    </row>
    <row r="59" spans="1:22">
      <c r="B59" s="29"/>
      <c r="C59" s="30"/>
      <c r="D59" s="30"/>
      <c r="E59" s="30"/>
      <c r="F59" s="30"/>
      <c r="G59" s="31"/>
      <c r="H59" s="30"/>
      <c r="I59" s="30"/>
      <c r="J59" s="30"/>
      <c r="K59" s="30"/>
      <c r="L59" s="29"/>
      <c r="M59" s="30"/>
      <c r="N59" s="30"/>
      <c r="O59" s="30"/>
      <c r="P59" s="30"/>
      <c r="Q59" s="30"/>
      <c r="R59" s="30"/>
      <c r="S59" s="30"/>
      <c r="T59" s="30"/>
      <c r="U59" s="30"/>
      <c r="V59" s="31"/>
    </row>
    <row r="60" spans="1:22">
      <c r="A60" s="1" t="s">
        <v>8</v>
      </c>
      <c r="B60" s="29">
        <f>SUM(LIFE)</f>
        <v>95497.661041522748</v>
      </c>
      <c r="C60" s="30">
        <f>SUM(ALLOCATED)</f>
        <v>855117.8363727564</v>
      </c>
      <c r="D60" s="30">
        <f>SUM(HEALTH)</f>
        <v>4435326.012585721</v>
      </c>
      <c r="E60" s="30">
        <f>SUM(UNALLOCATED)</f>
        <v>0</v>
      </c>
      <c r="F60" s="30">
        <f>SUM(LTC)</f>
        <v>0</v>
      </c>
      <c r="G60" s="31">
        <f>SUM(ALL_BLOCKS)</f>
        <v>5385941.5099999998</v>
      </c>
      <c r="H60" s="30"/>
      <c r="I60" s="30"/>
      <c r="J60" s="30"/>
      <c r="K60" s="30"/>
      <c r="L60" s="29">
        <f>SUM(LIFE_CALLED)</f>
        <v>10971</v>
      </c>
      <c r="M60" s="30">
        <f>SUM(LIFE_REFUNDED)</f>
        <v>0</v>
      </c>
      <c r="N60" s="30"/>
      <c r="O60" s="30">
        <f>SUM(ALLOC_CALLED)</f>
        <v>0</v>
      </c>
      <c r="P60" s="30">
        <f>SUM(ALLOC_REFUNDED)</f>
        <v>0</v>
      </c>
      <c r="Q60" s="30"/>
      <c r="R60" s="30">
        <f>SUM(HEALTH_CALLED)</f>
        <v>148029</v>
      </c>
      <c r="S60" s="30">
        <f>SUM(HEALTH_REFUNDED)</f>
        <v>0</v>
      </c>
      <c r="T60" s="30"/>
      <c r="U60" s="30">
        <f>SUM(UNALLOC_CALLED)</f>
        <v>0</v>
      </c>
      <c r="V60" s="31">
        <f>SUM(UNALLOC_REFUNDED)</f>
        <v>0</v>
      </c>
    </row>
    <row r="61" spans="1:22" ht="5.0999999999999996" customHeight="1">
      <c r="B61" s="8"/>
      <c r="G61" s="11"/>
      <c r="L61" s="8"/>
      <c r="V61" s="11"/>
    </row>
    <row r="62" spans="1:22">
      <c r="B62" s="8"/>
      <c r="G62" s="11"/>
      <c r="L62" s="122" t="s">
        <v>80</v>
      </c>
      <c r="M62" s="123"/>
      <c r="N62" s="123"/>
      <c r="O62" s="123"/>
      <c r="P62" s="123"/>
      <c r="Q62" s="123"/>
      <c r="R62" s="123"/>
      <c r="S62" s="123"/>
      <c r="T62" s="123"/>
      <c r="U62" s="123"/>
      <c r="V62" s="124"/>
    </row>
    <row r="63" spans="1:22">
      <c r="B63" s="8"/>
      <c r="G63" s="11"/>
      <c r="L63" s="125"/>
      <c r="M63" s="123"/>
      <c r="N63" s="123"/>
      <c r="O63" s="123"/>
      <c r="P63" s="123"/>
      <c r="Q63" s="123"/>
      <c r="R63" s="123"/>
      <c r="S63" s="123"/>
      <c r="T63" s="123"/>
      <c r="U63" s="123"/>
      <c r="V63" s="124"/>
    </row>
    <row r="64" spans="1:22">
      <c r="B64" s="10"/>
      <c r="C64" s="7"/>
      <c r="D64" s="7"/>
      <c r="E64" s="7"/>
      <c r="F64" s="7"/>
      <c r="G64" s="13"/>
      <c r="L64" s="126"/>
      <c r="M64" s="127"/>
      <c r="N64" s="127"/>
      <c r="O64" s="127"/>
      <c r="P64" s="127"/>
      <c r="Q64" s="127"/>
      <c r="R64" s="127"/>
      <c r="S64" s="127"/>
      <c r="T64" s="127"/>
      <c r="U64" s="127"/>
      <c r="V64" s="128"/>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pageSetUpPr fitToPage="1"/>
  </sheetPr>
  <dimension ref="A1:V64"/>
  <sheetViews>
    <sheetView zoomScale="75" workbookViewId="0">
      <selection sqref="A1:XFD1048576"/>
    </sheetView>
  </sheetViews>
  <sheetFormatPr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129" t="s">
        <v>139</v>
      </c>
      <c r="B1" s="123"/>
      <c r="C1" s="123"/>
      <c r="D1" s="123"/>
      <c r="E1" s="123"/>
      <c r="F1" s="123"/>
      <c r="G1" s="123"/>
    </row>
    <row r="3" spans="1:22">
      <c r="B3" s="130" t="s">
        <v>1</v>
      </c>
      <c r="C3" s="131"/>
      <c r="D3" s="131"/>
      <c r="E3" s="131"/>
      <c r="F3" s="131"/>
      <c r="G3" s="132"/>
      <c r="L3" s="133" t="s">
        <v>2</v>
      </c>
      <c r="M3" s="134"/>
      <c r="N3" s="134"/>
      <c r="O3" s="134"/>
      <c r="P3" s="134"/>
      <c r="Q3" s="134"/>
      <c r="R3" s="134"/>
      <c r="S3" s="134"/>
      <c r="T3" s="134"/>
      <c r="U3" s="134"/>
      <c r="V3" s="135"/>
    </row>
    <row r="4" spans="1:22">
      <c r="B4" s="8"/>
      <c r="G4" s="11"/>
      <c r="L4" s="136" t="s">
        <v>3</v>
      </c>
      <c r="M4" s="137"/>
      <c r="N4" s="4"/>
      <c r="O4" s="138" t="s">
        <v>4</v>
      </c>
      <c r="P4" s="137"/>
      <c r="Q4" s="4"/>
      <c r="R4" s="138" t="s">
        <v>5</v>
      </c>
      <c r="S4" s="137"/>
      <c r="T4" s="4"/>
      <c r="U4" s="138" t="s">
        <v>6</v>
      </c>
      <c r="V4" s="139"/>
    </row>
    <row r="5" spans="1:22" ht="60" customHeight="1">
      <c r="B5" s="9" t="s">
        <v>3</v>
      </c>
      <c r="C5" s="5" t="s">
        <v>4</v>
      </c>
      <c r="D5" s="5" t="s">
        <v>5</v>
      </c>
      <c r="E5" s="5" t="s">
        <v>6</v>
      </c>
      <c r="F5" s="5" t="s">
        <v>7</v>
      </c>
      <c r="G5" s="12" t="s">
        <v>8</v>
      </c>
      <c r="L5" s="15" t="s">
        <v>9</v>
      </c>
      <c r="M5" s="14" t="s">
        <v>10</v>
      </c>
      <c r="N5" s="14"/>
      <c r="O5" s="14" t="s">
        <v>9</v>
      </c>
      <c r="P5" s="14" t="s">
        <v>10</v>
      </c>
      <c r="Q5" s="14"/>
      <c r="R5" s="14" t="s">
        <v>9</v>
      </c>
      <c r="S5" s="14" t="s">
        <v>10</v>
      </c>
      <c r="T5" s="14"/>
      <c r="U5" s="14" t="s">
        <v>9</v>
      </c>
      <c r="V5" s="16" t="s">
        <v>10</v>
      </c>
    </row>
    <row r="6" spans="1:22">
      <c r="A6" s="1" t="s">
        <v>11</v>
      </c>
      <c r="B6" s="29">
        <v>4590.9032556664561</v>
      </c>
      <c r="C6" s="30">
        <v>0</v>
      </c>
      <c r="D6" s="30">
        <v>27.119196576942176</v>
      </c>
      <c r="E6" s="30">
        <v>0</v>
      </c>
      <c r="F6" s="30">
        <v>0</v>
      </c>
      <c r="G6" s="31">
        <f>SUM(AL_FINANCIAL)</f>
        <v>4618.0224522433982</v>
      </c>
      <c r="H6" s="30"/>
      <c r="I6" s="30"/>
      <c r="J6" s="30"/>
      <c r="K6" s="30"/>
      <c r="L6" s="29"/>
      <c r="M6" s="30"/>
      <c r="N6" s="30"/>
      <c r="O6" s="30"/>
      <c r="P6" s="30"/>
      <c r="Q6" s="30"/>
      <c r="R6" s="30"/>
      <c r="S6" s="30"/>
      <c r="T6" s="30"/>
      <c r="U6" s="30"/>
      <c r="V6" s="31"/>
    </row>
    <row r="7" spans="1:22">
      <c r="A7" s="1" t="s">
        <v>12</v>
      </c>
      <c r="B7" s="29">
        <v>0</v>
      </c>
      <c r="C7" s="30">
        <v>0</v>
      </c>
      <c r="D7" s="30">
        <v>0</v>
      </c>
      <c r="E7" s="30">
        <v>0</v>
      </c>
      <c r="F7" s="30">
        <v>0</v>
      </c>
      <c r="G7" s="31">
        <f>SUM(AK_FINANCIAL)</f>
        <v>0</v>
      </c>
      <c r="H7" s="30"/>
      <c r="I7" s="32"/>
      <c r="J7" s="33"/>
      <c r="K7" s="30"/>
      <c r="L7" s="29"/>
      <c r="M7" s="30"/>
      <c r="N7" s="30"/>
      <c r="O7" s="30"/>
      <c r="P7" s="30"/>
      <c r="Q7" s="30"/>
      <c r="R7" s="30"/>
      <c r="S7" s="30"/>
      <c r="T7" s="30"/>
      <c r="U7" s="30"/>
      <c r="V7" s="31"/>
    </row>
    <row r="8" spans="1:22">
      <c r="A8" s="1" t="s">
        <v>13</v>
      </c>
      <c r="B8" s="29">
        <v>7270.1855066050293</v>
      </c>
      <c r="C8" s="30">
        <v>2.3521937877232952</v>
      </c>
      <c r="D8" s="30">
        <v>4.4976796365254517</v>
      </c>
      <c r="E8" s="30">
        <v>0</v>
      </c>
      <c r="F8" s="30">
        <v>0</v>
      </c>
      <c r="G8" s="31">
        <f>SUM(AZ_FINANCIAL)</f>
        <v>7277.0353800292778</v>
      </c>
      <c r="H8" s="30"/>
      <c r="I8" s="34" t="s">
        <v>14</v>
      </c>
      <c r="J8" s="35"/>
      <c r="K8" s="30"/>
      <c r="L8" s="29"/>
      <c r="M8" s="30"/>
      <c r="N8" s="30"/>
      <c r="O8" s="30"/>
      <c r="P8" s="30"/>
      <c r="Q8" s="30"/>
      <c r="R8" s="30"/>
      <c r="S8" s="30"/>
      <c r="T8" s="30"/>
      <c r="U8" s="30"/>
      <c r="V8" s="31"/>
    </row>
    <row r="9" spans="1:22">
      <c r="A9" s="1" t="s">
        <v>15</v>
      </c>
      <c r="B9" s="29">
        <v>5605.6272918500235</v>
      </c>
      <c r="C9" s="30">
        <v>0</v>
      </c>
      <c r="D9" s="30">
        <v>3.3999785339563857</v>
      </c>
      <c r="E9" s="30">
        <v>0</v>
      </c>
      <c r="F9" s="30">
        <v>0</v>
      </c>
      <c r="G9" s="31">
        <f>SUM(AR_FINANCIAL)</f>
        <v>5609.0272703839801</v>
      </c>
      <c r="H9" s="30"/>
      <c r="I9" s="34"/>
      <c r="J9" s="35"/>
      <c r="K9" s="30"/>
      <c r="L9" s="29">
        <v>9571</v>
      </c>
      <c r="M9" s="30">
        <v>0</v>
      </c>
      <c r="N9" s="30"/>
      <c r="O9" s="30">
        <v>0</v>
      </c>
      <c r="P9" s="30">
        <v>0</v>
      </c>
      <c r="Q9" s="30"/>
      <c r="R9" s="30">
        <v>0</v>
      </c>
      <c r="S9" s="30">
        <v>0</v>
      </c>
      <c r="T9" s="30"/>
      <c r="U9" s="30">
        <v>0</v>
      </c>
      <c r="V9" s="31">
        <v>0</v>
      </c>
    </row>
    <row r="10" spans="1:22">
      <c r="A10" s="1" t="s">
        <v>16</v>
      </c>
      <c r="B10" s="29">
        <v>43641.52129052634</v>
      </c>
      <c r="C10" s="30">
        <v>0</v>
      </c>
      <c r="D10" s="30">
        <v>2.6909021351687188</v>
      </c>
      <c r="E10" s="30">
        <v>0</v>
      </c>
      <c r="F10" s="30">
        <v>0</v>
      </c>
      <c r="G10" s="31">
        <f>SUM(CA_FINANCIAL)</f>
        <v>43644.212192661507</v>
      </c>
      <c r="H10" s="30"/>
      <c r="I10" s="34" t="s">
        <v>17</v>
      </c>
      <c r="J10" s="35">
        <v>0</v>
      </c>
      <c r="K10" s="30"/>
      <c r="L10" s="29"/>
      <c r="M10" s="30"/>
      <c r="N10" s="30"/>
      <c r="O10" s="30"/>
      <c r="P10" s="30"/>
      <c r="Q10" s="30"/>
      <c r="R10" s="30"/>
      <c r="S10" s="30"/>
      <c r="T10" s="30"/>
      <c r="U10" s="30"/>
      <c r="V10" s="31"/>
    </row>
    <row r="11" spans="1:22">
      <c r="A11" s="1" t="s">
        <v>18</v>
      </c>
      <c r="B11" s="29">
        <v>15115.580143595094</v>
      </c>
      <c r="C11" s="30">
        <v>0</v>
      </c>
      <c r="D11" s="30">
        <v>1.4933537118440305</v>
      </c>
      <c r="E11" s="30">
        <v>0</v>
      </c>
      <c r="F11" s="30">
        <v>0</v>
      </c>
      <c r="G11" s="31">
        <f>SUM(CO_FINANCIAL)</f>
        <v>15117.073497306937</v>
      </c>
      <c r="H11" s="30"/>
      <c r="I11" s="34"/>
      <c r="J11" s="35"/>
      <c r="K11" s="30"/>
      <c r="L11" s="29"/>
      <c r="M11" s="30"/>
      <c r="N11" s="30"/>
      <c r="O11" s="30"/>
      <c r="P11" s="30"/>
      <c r="Q11" s="30"/>
      <c r="R11" s="30"/>
      <c r="S11" s="30"/>
      <c r="T11" s="30"/>
      <c r="U11" s="30"/>
      <c r="V11" s="31"/>
    </row>
    <row r="12" spans="1:22">
      <c r="A12" s="1" t="s">
        <v>19</v>
      </c>
      <c r="B12" s="29">
        <v>0</v>
      </c>
      <c r="C12" s="30">
        <v>0</v>
      </c>
      <c r="D12" s="30">
        <v>0</v>
      </c>
      <c r="E12" s="30">
        <v>0</v>
      </c>
      <c r="F12" s="30">
        <v>0</v>
      </c>
      <c r="G12" s="31">
        <f>SUM(CT_FINANCIAL)</f>
        <v>0</v>
      </c>
      <c r="H12" s="30"/>
      <c r="I12" s="34" t="s">
        <v>20</v>
      </c>
      <c r="J12" s="35"/>
      <c r="K12" s="30"/>
      <c r="L12" s="29"/>
      <c r="M12" s="30"/>
      <c r="N12" s="30"/>
      <c r="O12" s="30"/>
      <c r="P12" s="30"/>
      <c r="Q12" s="30"/>
      <c r="R12" s="30"/>
      <c r="S12" s="30"/>
      <c r="T12" s="30"/>
      <c r="U12" s="30"/>
      <c r="V12" s="31"/>
    </row>
    <row r="13" spans="1:22">
      <c r="A13" s="1" t="s">
        <v>21</v>
      </c>
      <c r="B13" s="29">
        <v>0</v>
      </c>
      <c r="C13" s="30">
        <v>0</v>
      </c>
      <c r="D13" s="30">
        <v>0</v>
      </c>
      <c r="E13" s="30">
        <v>0</v>
      </c>
      <c r="F13" s="30">
        <v>0</v>
      </c>
      <c r="G13" s="31">
        <f>SUM(DE_FINANCIAL)</f>
        <v>0</v>
      </c>
      <c r="H13" s="30"/>
      <c r="I13" s="34" t="s">
        <v>22</v>
      </c>
      <c r="J13" s="35">
        <v>0</v>
      </c>
      <c r="K13" s="30"/>
      <c r="L13" s="29"/>
      <c r="M13" s="30"/>
      <c r="N13" s="30"/>
      <c r="O13" s="30"/>
      <c r="P13" s="30"/>
      <c r="Q13" s="30"/>
      <c r="R13" s="30"/>
      <c r="S13" s="30"/>
      <c r="T13" s="30"/>
      <c r="U13" s="30"/>
      <c r="V13" s="31"/>
    </row>
    <row r="14" spans="1:22">
      <c r="A14" s="1" t="s">
        <v>23</v>
      </c>
      <c r="B14" s="29">
        <v>0</v>
      </c>
      <c r="C14" s="30">
        <v>0</v>
      </c>
      <c r="D14" s="30">
        <v>0</v>
      </c>
      <c r="E14" s="30">
        <v>0</v>
      </c>
      <c r="F14" s="30">
        <v>0</v>
      </c>
      <c r="G14" s="31">
        <f>SUM(DC_FINANCIAL)</f>
        <v>0</v>
      </c>
      <c r="H14" s="30"/>
      <c r="I14" s="34" t="s">
        <v>24</v>
      </c>
      <c r="J14" s="35">
        <v>0</v>
      </c>
      <c r="K14" s="30"/>
      <c r="L14" s="29"/>
      <c r="M14" s="30"/>
      <c r="N14" s="30"/>
      <c r="O14" s="30"/>
      <c r="P14" s="30"/>
      <c r="Q14" s="30"/>
      <c r="R14" s="30"/>
      <c r="S14" s="30"/>
      <c r="T14" s="30"/>
      <c r="U14" s="30"/>
      <c r="V14" s="31"/>
    </row>
    <row r="15" spans="1:22">
      <c r="A15" s="1" t="s">
        <v>25</v>
      </c>
      <c r="B15" s="29">
        <v>23745.612867917898</v>
      </c>
      <c r="C15" s="30">
        <v>67.00394291873215</v>
      </c>
      <c r="D15" s="30">
        <v>0.49896553237353736</v>
      </c>
      <c r="E15" s="30">
        <v>0</v>
      </c>
      <c r="F15" s="30">
        <v>0</v>
      </c>
      <c r="G15" s="31">
        <f>SUM(FL_FINANCIAL)</f>
        <v>23813.115776369003</v>
      </c>
      <c r="H15" s="30"/>
      <c r="I15" s="34" t="s">
        <v>26</v>
      </c>
      <c r="J15" s="35">
        <v>368170.78999999992</v>
      </c>
      <c r="K15" s="30"/>
      <c r="L15" s="29"/>
      <c r="M15" s="30"/>
      <c r="N15" s="30"/>
      <c r="O15" s="30"/>
      <c r="P15" s="30"/>
      <c r="Q15" s="30"/>
      <c r="R15" s="30"/>
      <c r="S15" s="30"/>
      <c r="T15" s="30"/>
      <c r="U15" s="30"/>
      <c r="V15" s="31"/>
    </row>
    <row r="16" spans="1:22">
      <c r="A16" s="1" t="s">
        <v>27</v>
      </c>
      <c r="B16" s="29">
        <v>14699.036369696247</v>
      </c>
      <c r="C16" s="30">
        <v>0</v>
      </c>
      <c r="D16" s="30">
        <v>2.0351050612658153</v>
      </c>
      <c r="E16" s="30">
        <v>0</v>
      </c>
      <c r="F16" s="30">
        <v>0</v>
      </c>
      <c r="G16" s="31">
        <f>SUM(GA_FINANCIAL)</f>
        <v>14701.071474757513</v>
      </c>
      <c r="H16" s="30"/>
      <c r="I16" s="34" t="s">
        <v>28</v>
      </c>
      <c r="J16" s="35">
        <v>0</v>
      </c>
      <c r="K16" s="30"/>
      <c r="L16" s="29"/>
      <c r="M16" s="30"/>
      <c r="N16" s="30"/>
      <c r="O16" s="30"/>
      <c r="P16" s="30"/>
      <c r="Q16" s="30"/>
      <c r="R16" s="30"/>
      <c r="S16" s="30"/>
      <c r="T16" s="30"/>
      <c r="U16" s="30"/>
      <c r="V16" s="31"/>
    </row>
    <row r="17" spans="1:22">
      <c r="A17" s="1" t="s">
        <v>29</v>
      </c>
      <c r="B17" s="29">
        <v>0</v>
      </c>
      <c r="C17" s="30">
        <v>0</v>
      </c>
      <c r="D17" s="30">
        <v>0</v>
      </c>
      <c r="E17" s="30">
        <v>0</v>
      </c>
      <c r="F17" s="30">
        <v>0</v>
      </c>
      <c r="G17" s="31">
        <f>SUM(HI_FINANCIAL)</f>
        <v>0</v>
      </c>
      <c r="H17" s="30"/>
      <c r="I17" s="34"/>
      <c r="J17" s="35"/>
      <c r="K17" s="30"/>
      <c r="L17" s="29"/>
      <c r="M17" s="30"/>
      <c r="N17" s="30"/>
      <c r="O17" s="30"/>
      <c r="P17" s="30"/>
      <c r="Q17" s="30"/>
      <c r="R17" s="30"/>
      <c r="S17" s="30"/>
      <c r="T17" s="30"/>
      <c r="U17" s="30"/>
      <c r="V17" s="31"/>
    </row>
    <row r="18" spans="1:22">
      <c r="A18" s="1" t="s">
        <v>30</v>
      </c>
      <c r="B18" s="29">
        <v>141.0006855275702</v>
      </c>
      <c r="C18" s="30">
        <v>0</v>
      </c>
      <c r="D18" s="30">
        <v>0</v>
      </c>
      <c r="E18" s="30">
        <v>0</v>
      </c>
      <c r="F18" s="30">
        <v>0</v>
      </c>
      <c r="G18" s="31">
        <f>SUM(ID_FINANCIAL)</f>
        <v>141.0006855275702</v>
      </c>
      <c r="H18" s="30"/>
      <c r="I18" s="34" t="s">
        <v>31</v>
      </c>
      <c r="J18" s="35"/>
      <c r="K18" s="30"/>
      <c r="L18" s="29"/>
      <c r="M18" s="30"/>
      <c r="N18" s="30"/>
      <c r="O18" s="30"/>
      <c r="P18" s="30"/>
      <c r="Q18" s="30"/>
      <c r="R18" s="30"/>
      <c r="S18" s="30"/>
      <c r="T18" s="30"/>
      <c r="U18" s="30"/>
      <c r="V18" s="31"/>
    </row>
    <row r="19" spans="1:22">
      <c r="A19" s="1" t="s">
        <v>32</v>
      </c>
      <c r="B19" s="29">
        <v>2385.0115956259215</v>
      </c>
      <c r="C19" s="30">
        <v>0</v>
      </c>
      <c r="D19" s="30">
        <v>0</v>
      </c>
      <c r="E19" s="30">
        <v>0</v>
      </c>
      <c r="F19" s="30">
        <v>0</v>
      </c>
      <c r="G19" s="31">
        <f>SUM(IL_FINANCIAL)</f>
        <v>2385.0115956259215</v>
      </c>
      <c r="H19" s="30"/>
      <c r="I19" s="34" t="s">
        <v>33</v>
      </c>
      <c r="J19" s="35">
        <v>0</v>
      </c>
      <c r="K19" s="30"/>
      <c r="L19" s="29"/>
      <c r="M19" s="30"/>
      <c r="N19" s="30"/>
      <c r="O19" s="30"/>
      <c r="P19" s="30"/>
      <c r="Q19" s="30"/>
      <c r="R19" s="30"/>
      <c r="S19" s="30"/>
      <c r="T19" s="30"/>
      <c r="U19" s="30"/>
      <c r="V19" s="31"/>
    </row>
    <row r="20" spans="1:22">
      <c r="A20" s="1" t="s">
        <v>34</v>
      </c>
      <c r="B20" s="29">
        <v>2080.7249368805496</v>
      </c>
      <c r="C20" s="30">
        <v>0</v>
      </c>
      <c r="D20" s="30">
        <v>0.28518072848302778</v>
      </c>
      <c r="E20" s="30">
        <v>0</v>
      </c>
      <c r="F20" s="30">
        <v>0</v>
      </c>
      <c r="G20" s="31">
        <f>SUM(IN_FINANCIAL)</f>
        <v>2081.0101176090325</v>
      </c>
      <c r="H20" s="30"/>
      <c r="I20" s="34" t="s">
        <v>35</v>
      </c>
      <c r="J20" s="35">
        <v>0</v>
      </c>
      <c r="K20" s="30"/>
      <c r="L20" s="29"/>
      <c r="M20" s="30"/>
      <c r="N20" s="30"/>
      <c r="O20" s="30"/>
      <c r="P20" s="30"/>
      <c r="Q20" s="30"/>
      <c r="R20" s="30"/>
      <c r="S20" s="30"/>
      <c r="T20" s="30"/>
      <c r="U20" s="30"/>
      <c r="V20" s="31"/>
    </row>
    <row r="21" spans="1:22">
      <c r="A21" s="1" t="s">
        <v>36</v>
      </c>
      <c r="B21" s="29">
        <v>358.00174055936259</v>
      </c>
      <c r="C21" s="30">
        <v>0</v>
      </c>
      <c r="D21" s="30">
        <v>0</v>
      </c>
      <c r="E21" s="30">
        <v>0</v>
      </c>
      <c r="F21" s="30">
        <v>0</v>
      </c>
      <c r="G21" s="31">
        <f>SUM(IA_FINANCIAL)</f>
        <v>358.00174055936259</v>
      </c>
      <c r="H21" s="30"/>
      <c r="I21" s="34" t="s">
        <v>37</v>
      </c>
      <c r="J21" s="35"/>
      <c r="K21" s="30"/>
      <c r="L21" s="29"/>
      <c r="M21" s="30"/>
      <c r="N21" s="30"/>
      <c r="O21" s="30"/>
      <c r="P21" s="30"/>
      <c r="Q21" s="30"/>
      <c r="R21" s="30"/>
      <c r="S21" s="30"/>
      <c r="T21" s="30"/>
      <c r="U21" s="30"/>
      <c r="V21" s="31"/>
    </row>
    <row r="22" spans="1:22">
      <c r="A22" s="1" t="s">
        <v>38</v>
      </c>
      <c r="B22" s="29">
        <v>9066.7324998194326</v>
      </c>
      <c r="C22" s="30">
        <v>0</v>
      </c>
      <c r="D22" s="30">
        <v>1.3115878685555531</v>
      </c>
      <c r="E22" s="30">
        <v>0</v>
      </c>
      <c r="F22" s="30">
        <v>0</v>
      </c>
      <c r="G22" s="31">
        <f>SUM(KS_FINANCIAL)</f>
        <v>9068.0440876879875</v>
      </c>
      <c r="H22" s="30"/>
      <c r="I22" s="34" t="s">
        <v>39</v>
      </c>
      <c r="J22" s="35">
        <v>0</v>
      </c>
      <c r="K22" s="30"/>
      <c r="L22" s="29"/>
      <c r="M22" s="30"/>
      <c r="N22" s="30"/>
      <c r="O22" s="30"/>
      <c r="P22" s="30"/>
      <c r="Q22" s="30"/>
      <c r="R22" s="30"/>
      <c r="S22" s="30"/>
      <c r="T22" s="30"/>
      <c r="U22" s="30"/>
      <c r="V22" s="31"/>
    </row>
    <row r="23" spans="1:22">
      <c r="A23" s="1" t="s">
        <v>40</v>
      </c>
      <c r="B23" s="29">
        <v>2444.0118824778833</v>
      </c>
      <c r="C23" s="30">
        <v>0</v>
      </c>
      <c r="D23" s="30">
        <v>0</v>
      </c>
      <c r="E23" s="30">
        <v>0</v>
      </c>
      <c r="F23" s="30">
        <v>0</v>
      </c>
      <c r="G23" s="31">
        <f>SUM(KY_FINANCIAL)</f>
        <v>2444.0118824778833</v>
      </c>
      <c r="H23" s="30"/>
      <c r="I23" s="34" t="s">
        <v>41</v>
      </c>
      <c r="J23" s="35"/>
      <c r="K23" s="30"/>
      <c r="L23" s="29"/>
      <c r="M23" s="30"/>
      <c r="N23" s="30"/>
      <c r="O23" s="30"/>
      <c r="P23" s="30"/>
      <c r="Q23" s="30"/>
      <c r="R23" s="30"/>
      <c r="S23" s="30"/>
      <c r="T23" s="30"/>
      <c r="U23" s="30"/>
      <c r="V23" s="31"/>
    </row>
    <row r="24" spans="1:22">
      <c r="A24" s="1" t="s">
        <v>42</v>
      </c>
      <c r="B24" s="29">
        <v>9564.7628670302474</v>
      </c>
      <c r="C24" s="30">
        <v>0</v>
      </c>
      <c r="D24" s="30">
        <v>6.2836661922646888</v>
      </c>
      <c r="E24" s="30">
        <v>0</v>
      </c>
      <c r="F24" s="30">
        <v>0</v>
      </c>
      <c r="G24" s="31">
        <f>SUM(LA_FINANCIAL)</f>
        <v>9571.0465332225122</v>
      </c>
      <c r="H24" s="30"/>
      <c r="I24" s="34" t="s">
        <v>43</v>
      </c>
      <c r="J24" s="35">
        <v>0</v>
      </c>
      <c r="K24" s="30"/>
      <c r="L24" s="29"/>
      <c r="M24" s="30"/>
      <c r="N24" s="30"/>
      <c r="O24" s="30"/>
      <c r="P24" s="30"/>
      <c r="Q24" s="30"/>
      <c r="R24" s="30"/>
      <c r="S24" s="30"/>
      <c r="T24" s="30"/>
      <c r="U24" s="30"/>
      <c r="V24" s="31"/>
    </row>
    <row r="25" spans="1:22">
      <c r="A25" s="1" t="s">
        <v>44</v>
      </c>
      <c r="B25" s="29">
        <v>0</v>
      </c>
      <c r="C25" s="30">
        <v>0</v>
      </c>
      <c r="D25" s="30">
        <v>0</v>
      </c>
      <c r="E25" s="30">
        <v>0</v>
      </c>
      <c r="F25" s="30">
        <v>0</v>
      </c>
      <c r="G25" s="31">
        <f>SUM(ME_FINANCIAL)</f>
        <v>0</v>
      </c>
      <c r="H25" s="30"/>
      <c r="I25" s="34"/>
      <c r="J25" s="35"/>
      <c r="K25" s="30"/>
      <c r="L25" s="29"/>
      <c r="M25" s="30"/>
      <c r="N25" s="30"/>
      <c r="O25" s="30"/>
      <c r="P25" s="30"/>
      <c r="Q25" s="30"/>
      <c r="R25" s="30"/>
      <c r="S25" s="30"/>
      <c r="T25" s="30"/>
      <c r="U25" s="30"/>
      <c r="V25" s="31"/>
    </row>
    <row r="26" spans="1:22">
      <c r="A26" s="1" t="s">
        <v>45</v>
      </c>
      <c r="B26" s="29">
        <v>0</v>
      </c>
      <c r="C26" s="30">
        <v>0</v>
      </c>
      <c r="D26" s="30">
        <v>0</v>
      </c>
      <c r="E26" s="30">
        <v>0</v>
      </c>
      <c r="F26" s="30">
        <v>0</v>
      </c>
      <c r="G26" s="31">
        <f>SUM(MD_FINANCIAL)</f>
        <v>0</v>
      </c>
      <c r="H26" s="30"/>
      <c r="I26" s="34" t="s">
        <v>46</v>
      </c>
      <c r="J26" s="35">
        <f>SUM(ADD_FINANCIAL)-SUM(LESS_FINANCIAL)</f>
        <v>368170.78999999992</v>
      </c>
      <c r="K26" s="30"/>
      <c r="L26" s="29"/>
      <c r="M26" s="30"/>
      <c r="N26" s="30"/>
      <c r="O26" s="30"/>
      <c r="P26" s="30"/>
      <c r="Q26" s="30"/>
      <c r="R26" s="30"/>
      <c r="S26" s="30"/>
      <c r="T26" s="30"/>
      <c r="U26" s="30"/>
      <c r="V26" s="31"/>
    </row>
    <row r="27" spans="1:22">
      <c r="A27" s="1" t="s">
        <v>47</v>
      </c>
      <c r="B27" s="29">
        <v>0</v>
      </c>
      <c r="C27" s="30">
        <v>0</v>
      </c>
      <c r="D27" s="30">
        <v>0</v>
      </c>
      <c r="E27" s="30">
        <v>0</v>
      </c>
      <c r="F27" s="30">
        <v>0</v>
      </c>
      <c r="G27" s="31">
        <f>SUM(MA_FINANCIAL)</f>
        <v>0</v>
      </c>
      <c r="H27" s="30"/>
      <c r="I27" s="34" t="s">
        <v>48</v>
      </c>
      <c r="J27" s="35">
        <f>SUM(ALL_BLOCKS)</f>
        <v>368170.78999999992</v>
      </c>
      <c r="K27" s="30"/>
      <c r="L27" s="29"/>
      <c r="M27" s="30"/>
      <c r="N27" s="30"/>
      <c r="O27" s="30"/>
      <c r="P27" s="30"/>
      <c r="Q27" s="30"/>
      <c r="R27" s="30"/>
      <c r="S27" s="30"/>
      <c r="T27" s="30"/>
      <c r="U27" s="30"/>
      <c r="V27" s="31"/>
    </row>
    <row r="28" spans="1:22">
      <c r="A28" s="1" t="s">
        <v>49</v>
      </c>
      <c r="B28" s="29">
        <v>589.40386273680508</v>
      </c>
      <c r="C28" s="30">
        <v>0</v>
      </c>
      <c r="D28" s="30">
        <v>0.59900578281490346</v>
      </c>
      <c r="E28" s="30">
        <v>0</v>
      </c>
      <c r="F28" s="30">
        <v>0</v>
      </c>
      <c r="G28" s="31">
        <f>SUM(MI_FINANCIAL)</f>
        <v>590.00286851961994</v>
      </c>
      <c r="H28" s="30"/>
      <c r="I28" s="36"/>
      <c r="J28" s="37"/>
      <c r="K28" s="30"/>
      <c r="L28" s="29"/>
      <c r="M28" s="30"/>
      <c r="N28" s="30"/>
      <c r="O28" s="30"/>
      <c r="P28" s="30"/>
      <c r="Q28" s="30"/>
      <c r="R28" s="30"/>
      <c r="S28" s="30"/>
      <c r="T28" s="30"/>
      <c r="U28" s="30"/>
      <c r="V28" s="31"/>
    </row>
    <row r="29" spans="1:22">
      <c r="A29" s="1" t="s">
        <v>50</v>
      </c>
      <c r="B29" s="29">
        <v>201.00097724142987</v>
      </c>
      <c r="C29" s="30">
        <v>0</v>
      </c>
      <c r="D29" s="30">
        <v>0</v>
      </c>
      <c r="E29" s="30">
        <v>0</v>
      </c>
      <c r="F29" s="30">
        <v>0</v>
      </c>
      <c r="G29" s="31">
        <f>SUM(MN_FINANCIAL)</f>
        <v>201.00097724142987</v>
      </c>
      <c r="H29" s="30"/>
      <c r="I29" s="30"/>
      <c r="J29" s="30"/>
      <c r="K29" s="30"/>
      <c r="L29" s="29"/>
      <c r="M29" s="30"/>
      <c r="N29" s="30"/>
      <c r="O29" s="30"/>
      <c r="P29" s="30"/>
      <c r="Q29" s="30"/>
      <c r="R29" s="30"/>
      <c r="S29" s="30"/>
      <c r="T29" s="30"/>
      <c r="U29" s="30"/>
      <c r="V29" s="31"/>
    </row>
    <row r="30" spans="1:22">
      <c r="A30" s="1" t="s">
        <v>51</v>
      </c>
      <c r="B30" s="29">
        <v>2399.0116636924886</v>
      </c>
      <c r="C30" s="30">
        <v>0</v>
      </c>
      <c r="D30" s="30">
        <v>0</v>
      </c>
      <c r="E30" s="30">
        <v>0</v>
      </c>
      <c r="F30" s="30">
        <v>0</v>
      </c>
      <c r="G30" s="31">
        <f>SUM(MS_FINANCIAL)</f>
        <v>2399.0116636924886</v>
      </c>
      <c r="H30" s="30"/>
      <c r="I30" s="30"/>
      <c r="J30" s="30"/>
      <c r="K30" s="30"/>
      <c r="L30" s="29"/>
      <c r="M30" s="30"/>
      <c r="N30" s="30"/>
      <c r="O30" s="30"/>
      <c r="P30" s="30"/>
      <c r="Q30" s="30"/>
      <c r="R30" s="30"/>
      <c r="S30" s="30"/>
      <c r="T30" s="30"/>
      <c r="U30" s="30"/>
      <c r="V30" s="31"/>
    </row>
    <row r="31" spans="1:22">
      <c r="A31" s="1" t="s">
        <v>52</v>
      </c>
      <c r="B31" s="29">
        <v>11042.834355701316</v>
      </c>
      <c r="C31" s="30">
        <v>2.8797969237811851</v>
      </c>
      <c r="D31" s="30">
        <v>3.3395664821571418</v>
      </c>
      <c r="E31" s="30">
        <v>0</v>
      </c>
      <c r="F31" s="30">
        <v>0</v>
      </c>
      <c r="G31" s="31">
        <f>SUM(MO_FINANCIAL)</f>
        <v>11049.053719107253</v>
      </c>
      <c r="H31" s="30"/>
      <c r="I31" s="30"/>
      <c r="J31" s="30"/>
      <c r="K31" s="30"/>
      <c r="L31" s="29"/>
      <c r="M31" s="30"/>
      <c r="N31" s="30"/>
      <c r="O31" s="30"/>
      <c r="P31" s="30"/>
      <c r="Q31" s="30"/>
      <c r="R31" s="30"/>
      <c r="S31" s="30"/>
      <c r="T31" s="30"/>
      <c r="U31" s="30"/>
      <c r="V31" s="31"/>
    </row>
    <row r="32" spans="1:22">
      <c r="A32" s="1" t="s">
        <v>53</v>
      </c>
      <c r="B32" s="29">
        <v>100.00048618976608</v>
      </c>
      <c r="C32" s="30">
        <v>0</v>
      </c>
      <c r="D32" s="30">
        <v>0</v>
      </c>
      <c r="E32" s="30">
        <v>0</v>
      </c>
      <c r="F32" s="30">
        <v>0</v>
      </c>
      <c r="G32" s="31">
        <f>SUM(MT_FINANCIAL)</f>
        <v>100.00048618976608</v>
      </c>
      <c r="H32" s="30"/>
      <c r="I32" s="30"/>
      <c r="J32" s="30"/>
      <c r="K32" s="30"/>
      <c r="L32" s="29"/>
      <c r="M32" s="30"/>
      <c r="N32" s="30"/>
      <c r="O32" s="30"/>
      <c r="P32" s="30"/>
      <c r="Q32" s="30"/>
      <c r="R32" s="30"/>
      <c r="S32" s="30"/>
      <c r="T32" s="30"/>
      <c r="U32" s="30"/>
      <c r="V32" s="31"/>
    </row>
    <row r="33" spans="1:22">
      <c r="A33" s="1" t="s">
        <v>54</v>
      </c>
      <c r="B33" s="29">
        <v>439.00213437307309</v>
      </c>
      <c r="C33" s="30">
        <v>0</v>
      </c>
      <c r="D33" s="30">
        <v>0</v>
      </c>
      <c r="E33" s="30">
        <v>0</v>
      </c>
      <c r="F33" s="30">
        <v>0</v>
      </c>
      <c r="G33" s="31">
        <f>SUM(NE_FINANCIAL)</f>
        <v>439.00213437307309</v>
      </c>
      <c r="H33" s="30"/>
      <c r="I33" s="30"/>
      <c r="J33" s="30"/>
      <c r="K33" s="30"/>
      <c r="L33" s="29"/>
      <c r="M33" s="30"/>
      <c r="N33" s="30"/>
      <c r="O33" s="30"/>
      <c r="P33" s="30"/>
      <c r="Q33" s="30"/>
      <c r="R33" s="30"/>
      <c r="S33" s="30"/>
      <c r="T33" s="30"/>
      <c r="U33" s="30"/>
      <c r="V33" s="31"/>
    </row>
    <row r="34" spans="1:22">
      <c r="A34" s="1" t="s">
        <v>55</v>
      </c>
      <c r="B34" s="29">
        <v>1572.483643395401</v>
      </c>
      <c r="C34" s="30">
        <v>0</v>
      </c>
      <c r="D34" s="30">
        <v>0.52400436961980523</v>
      </c>
      <c r="E34" s="30">
        <v>0</v>
      </c>
      <c r="F34" s="30">
        <v>0</v>
      </c>
      <c r="G34" s="31">
        <f>SUM(NV_FINANCIAL)</f>
        <v>1573.0076477650209</v>
      </c>
      <c r="H34" s="30"/>
      <c r="I34" s="30"/>
      <c r="J34" s="30"/>
      <c r="K34" s="30"/>
      <c r="L34" s="29"/>
      <c r="M34" s="30"/>
      <c r="N34" s="30"/>
      <c r="O34" s="30"/>
      <c r="P34" s="30"/>
      <c r="Q34" s="30"/>
      <c r="R34" s="30"/>
      <c r="S34" s="30"/>
      <c r="T34" s="30"/>
      <c r="U34" s="30"/>
      <c r="V34" s="31"/>
    </row>
    <row r="35" spans="1:22">
      <c r="A35" s="1" t="s">
        <v>56</v>
      </c>
      <c r="B35" s="29">
        <v>0</v>
      </c>
      <c r="C35" s="30">
        <v>0</v>
      </c>
      <c r="D35" s="30">
        <v>0</v>
      </c>
      <c r="E35" s="30">
        <v>0</v>
      </c>
      <c r="F35" s="30">
        <v>0</v>
      </c>
      <c r="G35" s="31">
        <f>SUM(NH_FINANCIAL)</f>
        <v>0</v>
      </c>
      <c r="H35" s="30"/>
      <c r="I35" s="30"/>
      <c r="J35" s="30"/>
      <c r="K35" s="30"/>
      <c r="L35" s="29"/>
      <c r="M35" s="30"/>
      <c r="N35" s="30"/>
      <c r="O35" s="30"/>
      <c r="P35" s="30"/>
      <c r="Q35" s="30"/>
      <c r="R35" s="30"/>
      <c r="S35" s="30"/>
      <c r="T35" s="30"/>
      <c r="U35" s="30"/>
      <c r="V35" s="31"/>
    </row>
    <row r="36" spans="1:22">
      <c r="A36" s="1" t="s">
        <v>57</v>
      </c>
      <c r="B36" s="29">
        <v>0</v>
      </c>
      <c r="C36" s="30">
        <v>0</v>
      </c>
      <c r="D36" s="30">
        <v>0</v>
      </c>
      <c r="E36" s="30">
        <v>0</v>
      </c>
      <c r="F36" s="30">
        <v>0</v>
      </c>
      <c r="G36" s="31">
        <f>SUM(NJ_FINANCIAL)</f>
        <v>0</v>
      </c>
      <c r="H36" s="30"/>
      <c r="I36" s="30"/>
      <c r="J36" s="30"/>
      <c r="K36" s="30"/>
      <c r="L36" s="29"/>
      <c r="M36" s="30"/>
      <c r="N36" s="30"/>
      <c r="O36" s="30"/>
      <c r="P36" s="30"/>
      <c r="Q36" s="30"/>
      <c r="R36" s="30"/>
      <c r="S36" s="30"/>
      <c r="T36" s="30"/>
      <c r="U36" s="30"/>
      <c r="V36" s="31"/>
    </row>
    <row r="37" spans="1:22">
      <c r="A37" s="1" t="s">
        <v>58</v>
      </c>
      <c r="B37" s="29">
        <v>3027.0147169642196</v>
      </c>
      <c r="C37" s="30">
        <v>0</v>
      </c>
      <c r="D37" s="30">
        <v>0</v>
      </c>
      <c r="E37" s="30">
        <v>0</v>
      </c>
      <c r="F37" s="30">
        <v>0</v>
      </c>
      <c r="G37" s="31">
        <f>SUM(NM_FINANCIAL)</f>
        <v>3027.0147169642196</v>
      </c>
      <c r="H37" s="30"/>
      <c r="I37" s="30"/>
      <c r="J37" s="30"/>
      <c r="K37" s="30"/>
      <c r="L37" s="29"/>
      <c r="M37" s="30"/>
      <c r="N37" s="30"/>
      <c r="O37" s="30"/>
      <c r="P37" s="30"/>
      <c r="Q37" s="30"/>
      <c r="R37" s="30"/>
      <c r="S37" s="30"/>
      <c r="T37" s="30"/>
      <c r="U37" s="30"/>
      <c r="V37" s="31"/>
    </row>
    <row r="38" spans="1:22">
      <c r="A38" s="1" t="s">
        <v>59</v>
      </c>
      <c r="B38" s="29">
        <v>0</v>
      </c>
      <c r="C38" s="30">
        <v>0</v>
      </c>
      <c r="D38" s="30">
        <v>0</v>
      </c>
      <c r="E38" s="30">
        <v>0</v>
      </c>
      <c r="F38" s="30">
        <v>0</v>
      </c>
      <c r="G38" s="31">
        <f>SUM(NY_FINANCIAL)</f>
        <v>0</v>
      </c>
      <c r="H38" s="30"/>
      <c r="I38" s="30"/>
      <c r="J38" s="30"/>
      <c r="K38" s="30"/>
      <c r="L38" s="29"/>
      <c r="M38" s="30"/>
      <c r="N38" s="30"/>
      <c r="O38" s="30"/>
      <c r="P38" s="30"/>
      <c r="Q38" s="30"/>
      <c r="R38" s="30"/>
      <c r="S38" s="30"/>
      <c r="T38" s="30"/>
      <c r="U38" s="30"/>
      <c r="V38" s="31"/>
    </row>
    <row r="39" spans="1:22">
      <c r="A39" s="1" t="s">
        <v>60</v>
      </c>
      <c r="B39" s="29">
        <v>9935.6099327737338</v>
      </c>
      <c r="C39" s="30">
        <v>0</v>
      </c>
      <c r="D39" s="30">
        <v>0.43837504142450701</v>
      </c>
      <c r="E39" s="30">
        <v>0</v>
      </c>
      <c r="F39" s="30">
        <v>0</v>
      </c>
      <c r="G39" s="31">
        <f>SUM(NC_FINANCIAL)</f>
        <v>9936.0483078151592</v>
      </c>
      <c r="H39" s="30"/>
      <c r="I39" s="30"/>
      <c r="J39" s="30"/>
      <c r="K39" s="30"/>
      <c r="L39" s="29"/>
      <c r="M39" s="30"/>
      <c r="N39" s="30"/>
      <c r="O39" s="30"/>
      <c r="P39" s="30"/>
      <c r="Q39" s="30"/>
      <c r="R39" s="30"/>
      <c r="S39" s="30"/>
      <c r="T39" s="30"/>
      <c r="U39" s="30"/>
      <c r="V39" s="31"/>
    </row>
    <row r="40" spans="1:22">
      <c r="A40" s="1" t="s">
        <v>61</v>
      </c>
      <c r="B40" s="29">
        <v>35.00017016641813</v>
      </c>
      <c r="C40" s="30">
        <v>0</v>
      </c>
      <c r="D40" s="30">
        <v>0</v>
      </c>
      <c r="E40" s="30">
        <v>0</v>
      </c>
      <c r="F40" s="30">
        <v>0</v>
      </c>
      <c r="G40" s="31">
        <f>SUM(ND_FINANCIAL)</f>
        <v>35.00017016641813</v>
      </c>
      <c r="H40" s="30"/>
      <c r="I40" s="30"/>
      <c r="J40" s="30"/>
      <c r="K40" s="30"/>
      <c r="L40" s="29"/>
      <c r="M40" s="30"/>
      <c r="N40" s="30"/>
      <c r="O40" s="30"/>
      <c r="P40" s="30"/>
      <c r="Q40" s="30"/>
      <c r="R40" s="30"/>
      <c r="S40" s="30"/>
      <c r="T40" s="30"/>
      <c r="U40" s="30"/>
      <c r="V40" s="31"/>
    </row>
    <row r="41" spans="1:22">
      <c r="A41" s="1" t="s">
        <v>62</v>
      </c>
      <c r="B41" s="29">
        <v>3475.0168950943716</v>
      </c>
      <c r="C41" s="30">
        <v>0</v>
      </c>
      <c r="D41" s="30">
        <v>0</v>
      </c>
      <c r="E41" s="30">
        <v>0</v>
      </c>
      <c r="F41" s="30">
        <v>0</v>
      </c>
      <c r="G41" s="31">
        <f>SUM(OH_FINANCIAL)</f>
        <v>3475.0168950943716</v>
      </c>
      <c r="H41" s="30"/>
      <c r="I41" s="30"/>
      <c r="J41" s="30"/>
      <c r="K41" s="30"/>
      <c r="L41" s="29"/>
      <c r="M41" s="30"/>
      <c r="N41" s="30"/>
      <c r="O41" s="30"/>
      <c r="P41" s="30"/>
      <c r="Q41" s="30"/>
      <c r="R41" s="30"/>
      <c r="S41" s="30"/>
      <c r="T41" s="30"/>
      <c r="U41" s="30"/>
      <c r="V41" s="31"/>
    </row>
    <row r="42" spans="1:22">
      <c r="A42" s="1" t="s">
        <v>63</v>
      </c>
      <c r="B42" s="29">
        <v>41484.50253202497</v>
      </c>
      <c r="C42" s="30">
        <v>1065.5543501819723</v>
      </c>
      <c r="D42" s="30">
        <v>195.15093960857055</v>
      </c>
      <c r="E42" s="30">
        <v>0</v>
      </c>
      <c r="F42" s="30">
        <v>0</v>
      </c>
      <c r="G42" s="31">
        <f>SUM(OK_FINANCIAL)</f>
        <v>42745.207821815507</v>
      </c>
      <c r="H42" s="30"/>
      <c r="I42" s="30"/>
      <c r="J42" s="30"/>
      <c r="K42" s="30"/>
      <c r="L42" s="29"/>
      <c r="M42" s="30"/>
      <c r="N42" s="30"/>
      <c r="O42" s="30"/>
      <c r="P42" s="30"/>
      <c r="Q42" s="30"/>
      <c r="R42" s="30"/>
      <c r="S42" s="30"/>
      <c r="T42" s="30"/>
      <c r="U42" s="30"/>
      <c r="V42" s="31"/>
    </row>
    <row r="43" spans="1:22">
      <c r="A43" s="1" t="s">
        <v>64</v>
      </c>
      <c r="B43" s="29">
        <v>655.60778358575601</v>
      </c>
      <c r="C43" s="30">
        <v>0</v>
      </c>
      <c r="D43" s="30">
        <v>0.39540581910955969</v>
      </c>
      <c r="E43" s="30">
        <v>0</v>
      </c>
      <c r="F43" s="30">
        <v>0</v>
      </c>
      <c r="G43" s="31">
        <f>SUM(OR_FINANCIAL)</f>
        <v>656.00318940486557</v>
      </c>
      <c r="H43" s="30"/>
      <c r="I43" s="30"/>
      <c r="J43" s="30"/>
      <c r="K43" s="30"/>
      <c r="L43" s="29"/>
      <c r="M43" s="30"/>
      <c r="N43" s="30"/>
      <c r="O43" s="30"/>
      <c r="P43" s="30"/>
      <c r="Q43" s="30"/>
      <c r="R43" s="30"/>
      <c r="S43" s="30"/>
      <c r="T43" s="30"/>
      <c r="U43" s="30"/>
      <c r="V43" s="31"/>
    </row>
    <row r="44" spans="1:22">
      <c r="A44" s="1" t="s">
        <v>65</v>
      </c>
      <c r="B44" s="29">
        <v>0</v>
      </c>
      <c r="C44" s="30">
        <v>0</v>
      </c>
      <c r="D44" s="30">
        <v>0</v>
      </c>
      <c r="E44" s="30">
        <v>0</v>
      </c>
      <c r="F44" s="30">
        <v>0</v>
      </c>
      <c r="G44" s="31">
        <f>SUM(PA_FINANCIAL)</f>
        <v>0</v>
      </c>
      <c r="H44" s="30"/>
      <c r="I44" s="30"/>
      <c r="J44" s="30"/>
      <c r="K44" s="30"/>
      <c r="L44" s="29"/>
      <c r="M44" s="30"/>
      <c r="N44" s="30"/>
      <c r="O44" s="30"/>
      <c r="P44" s="30"/>
      <c r="Q44" s="30"/>
      <c r="R44" s="30"/>
      <c r="S44" s="30"/>
      <c r="T44" s="30"/>
      <c r="U44" s="30"/>
      <c r="V44" s="31"/>
    </row>
    <row r="45" spans="1:22">
      <c r="A45" s="1" t="s">
        <v>66</v>
      </c>
      <c r="B45" s="29">
        <v>0</v>
      </c>
      <c r="C45" s="30">
        <v>0</v>
      </c>
      <c r="D45" s="30">
        <v>0</v>
      </c>
      <c r="E45" s="30">
        <v>0</v>
      </c>
      <c r="F45" s="30">
        <v>0</v>
      </c>
      <c r="G45" s="31">
        <f>SUM(PR_FINANCIAL)</f>
        <v>0</v>
      </c>
      <c r="H45" s="30"/>
      <c r="I45" s="30"/>
      <c r="J45" s="30"/>
      <c r="K45" s="30"/>
      <c r="L45" s="29"/>
      <c r="M45" s="30"/>
      <c r="N45" s="30"/>
      <c r="O45" s="30"/>
      <c r="P45" s="30"/>
      <c r="Q45" s="30"/>
      <c r="R45" s="30"/>
      <c r="S45" s="30"/>
      <c r="T45" s="30"/>
      <c r="U45" s="30"/>
      <c r="V45" s="31"/>
    </row>
    <row r="46" spans="1:22">
      <c r="A46" s="1" t="s">
        <v>67</v>
      </c>
      <c r="B46" s="29">
        <v>0</v>
      </c>
      <c r="C46" s="30">
        <v>0</v>
      </c>
      <c r="D46" s="30">
        <v>0</v>
      </c>
      <c r="E46" s="30">
        <v>0</v>
      </c>
      <c r="F46" s="30">
        <v>0</v>
      </c>
      <c r="G46" s="31">
        <f>SUM(RI_FINANCIAL)</f>
        <v>0</v>
      </c>
      <c r="H46" s="30"/>
      <c r="I46" s="30"/>
      <c r="J46" s="30"/>
      <c r="K46" s="30"/>
      <c r="L46" s="29"/>
      <c r="M46" s="30"/>
      <c r="N46" s="30"/>
      <c r="O46" s="30"/>
      <c r="P46" s="30"/>
      <c r="Q46" s="30"/>
      <c r="R46" s="30"/>
      <c r="S46" s="30"/>
      <c r="T46" s="30"/>
      <c r="U46" s="30"/>
      <c r="V46" s="31"/>
    </row>
    <row r="47" spans="1:22">
      <c r="A47" s="1" t="s">
        <v>68</v>
      </c>
      <c r="B47" s="29">
        <v>3525.0171381892551</v>
      </c>
      <c r="C47" s="30">
        <v>0</v>
      </c>
      <c r="D47" s="30">
        <v>0</v>
      </c>
      <c r="E47" s="30">
        <v>0</v>
      </c>
      <c r="F47" s="30">
        <v>0</v>
      </c>
      <c r="G47" s="31">
        <f>SUM(SC_FINANCIAL)</f>
        <v>3525.0171381892551</v>
      </c>
      <c r="H47" s="30"/>
      <c r="I47" s="30"/>
      <c r="J47" s="30"/>
      <c r="K47" s="30"/>
      <c r="L47" s="29"/>
      <c r="M47" s="30"/>
      <c r="N47" s="30"/>
      <c r="O47" s="30"/>
      <c r="P47" s="30"/>
      <c r="Q47" s="30"/>
      <c r="R47" s="30"/>
      <c r="S47" s="30"/>
      <c r="T47" s="30"/>
      <c r="U47" s="30"/>
      <c r="V47" s="31"/>
    </row>
    <row r="48" spans="1:22">
      <c r="A48" s="1" t="s">
        <v>69</v>
      </c>
      <c r="B48" s="29">
        <v>99.000481327868442</v>
      </c>
      <c r="C48" s="30">
        <v>0</v>
      </c>
      <c r="D48" s="30">
        <v>0</v>
      </c>
      <c r="E48" s="30">
        <v>0</v>
      </c>
      <c r="F48" s="30">
        <v>0</v>
      </c>
      <c r="G48" s="31">
        <f>SUM(SD_FINANCIAL)</f>
        <v>99.000481327868442</v>
      </c>
      <c r="H48" s="30"/>
      <c r="I48" s="30"/>
      <c r="J48" s="30"/>
      <c r="K48" s="30"/>
      <c r="L48" s="29"/>
      <c r="M48" s="30"/>
      <c r="N48" s="30"/>
      <c r="O48" s="30"/>
      <c r="P48" s="30"/>
      <c r="Q48" s="30"/>
      <c r="R48" s="30"/>
      <c r="S48" s="30"/>
      <c r="T48" s="30"/>
      <c r="U48" s="30"/>
      <c r="V48" s="31"/>
    </row>
    <row r="49" spans="1:22">
      <c r="A49" s="1" t="s">
        <v>70</v>
      </c>
      <c r="B49" s="29">
        <v>13670.331400836434</v>
      </c>
      <c r="C49" s="30">
        <v>0.26730062634891516</v>
      </c>
      <c r="D49" s="30">
        <v>3.4677801258332588</v>
      </c>
      <c r="E49" s="30">
        <v>0</v>
      </c>
      <c r="F49" s="30">
        <v>0</v>
      </c>
      <c r="G49" s="31">
        <f>SUM(TN_FINANCIAL)</f>
        <v>13674.066481588616</v>
      </c>
      <c r="H49" s="30"/>
      <c r="I49" s="30"/>
      <c r="J49" s="30"/>
      <c r="K49" s="30"/>
      <c r="L49" s="29"/>
      <c r="M49" s="30"/>
      <c r="N49" s="30"/>
      <c r="O49" s="30"/>
      <c r="P49" s="30"/>
      <c r="Q49" s="30"/>
      <c r="R49" s="30"/>
      <c r="S49" s="30"/>
      <c r="T49" s="30"/>
      <c r="U49" s="30"/>
      <c r="V49" s="31"/>
    </row>
    <row r="50" spans="1:22">
      <c r="A50" s="1" t="s">
        <v>71</v>
      </c>
      <c r="B50" s="29">
        <v>129830.82300573394</v>
      </c>
      <c r="C50" s="30">
        <v>289.67642319397896</v>
      </c>
      <c r="D50" s="30">
        <v>152.13394020418073</v>
      </c>
      <c r="E50" s="30">
        <v>0</v>
      </c>
      <c r="F50" s="30">
        <v>0</v>
      </c>
      <c r="G50" s="31">
        <f>SUM(TX_FINANCIAL)</f>
        <v>130272.63336913209</v>
      </c>
      <c r="H50" s="30"/>
      <c r="I50" s="30"/>
      <c r="J50" s="30"/>
      <c r="K50" s="30"/>
      <c r="L50" s="29"/>
      <c r="M50" s="30"/>
      <c r="N50" s="30"/>
      <c r="O50" s="30"/>
      <c r="P50" s="30"/>
      <c r="Q50" s="30"/>
      <c r="R50" s="30"/>
      <c r="S50" s="30"/>
      <c r="T50" s="30"/>
      <c r="U50" s="30"/>
      <c r="V50" s="31"/>
    </row>
    <row r="51" spans="1:22">
      <c r="A51" s="1" t="s">
        <v>72</v>
      </c>
      <c r="B51" s="29">
        <v>557.00270807699712</v>
      </c>
      <c r="C51" s="30">
        <v>0</v>
      </c>
      <c r="D51" s="30">
        <v>0</v>
      </c>
      <c r="E51" s="30">
        <v>0</v>
      </c>
      <c r="F51" s="30">
        <v>0</v>
      </c>
      <c r="G51" s="31">
        <f>SUM(UT_FINANCIAL)</f>
        <v>557.00270807699712</v>
      </c>
      <c r="H51" s="30"/>
      <c r="I51" s="30"/>
      <c r="J51" s="30"/>
      <c r="K51" s="30"/>
      <c r="L51" s="29"/>
      <c r="M51" s="30"/>
      <c r="N51" s="30"/>
      <c r="O51" s="30"/>
      <c r="P51" s="30"/>
      <c r="Q51" s="30"/>
      <c r="R51" s="30"/>
      <c r="S51" s="30"/>
      <c r="T51" s="30"/>
      <c r="U51" s="30"/>
      <c r="V51" s="31"/>
    </row>
    <row r="52" spans="1:22">
      <c r="A52" s="1" t="s">
        <v>73</v>
      </c>
      <c r="B52" s="29">
        <v>0</v>
      </c>
      <c r="C52" s="30">
        <v>0</v>
      </c>
      <c r="D52" s="30">
        <v>0</v>
      </c>
      <c r="E52" s="30">
        <v>0</v>
      </c>
      <c r="F52" s="30">
        <v>0</v>
      </c>
      <c r="G52" s="31">
        <f>SUM(VT_FINANCIAL)</f>
        <v>0</v>
      </c>
      <c r="H52" s="30"/>
      <c r="I52" s="30"/>
      <c r="J52" s="30"/>
      <c r="K52" s="30"/>
      <c r="L52" s="29"/>
      <c r="M52" s="30"/>
      <c r="N52" s="30"/>
      <c r="O52" s="30"/>
      <c r="P52" s="30"/>
      <c r="Q52" s="30"/>
      <c r="R52" s="30"/>
      <c r="S52" s="30"/>
      <c r="T52" s="30"/>
      <c r="U52" s="30"/>
      <c r="V52" s="31"/>
    </row>
    <row r="53" spans="1:22">
      <c r="A53" s="1" t="s">
        <v>74</v>
      </c>
      <c r="B53" s="29">
        <v>1846.7970991362488</v>
      </c>
      <c r="C53" s="30">
        <v>4.2119002363214877</v>
      </c>
      <c r="D53" s="30">
        <v>0</v>
      </c>
      <c r="E53" s="30">
        <v>0</v>
      </c>
      <c r="F53" s="30">
        <v>0</v>
      </c>
      <c r="G53" s="31">
        <f>SUM(VA_FINANCIAL)</f>
        <v>1851.0089993725703</v>
      </c>
      <c r="H53" s="30"/>
      <c r="I53" s="30"/>
      <c r="J53" s="30"/>
      <c r="K53" s="30"/>
      <c r="L53" s="29"/>
      <c r="M53" s="30"/>
      <c r="N53" s="30"/>
      <c r="O53" s="30"/>
      <c r="P53" s="30"/>
      <c r="Q53" s="30"/>
      <c r="R53" s="30"/>
      <c r="S53" s="30"/>
      <c r="T53" s="30"/>
      <c r="U53" s="30"/>
      <c r="V53" s="31"/>
    </row>
    <row r="54" spans="1:22">
      <c r="A54" s="1" t="s">
        <v>75</v>
      </c>
      <c r="B54" s="29">
        <v>667.00324288573984</v>
      </c>
      <c r="C54" s="30">
        <v>0</v>
      </c>
      <c r="D54" s="30">
        <v>0</v>
      </c>
      <c r="E54" s="30">
        <v>0</v>
      </c>
      <c r="F54" s="30">
        <v>0</v>
      </c>
      <c r="G54" s="31">
        <f>SUM(WA_FINANCIAL)</f>
        <v>667.00324288573984</v>
      </c>
      <c r="H54" s="30"/>
      <c r="I54" s="30"/>
      <c r="J54" s="30"/>
      <c r="K54" s="30"/>
      <c r="L54" s="29"/>
      <c r="M54" s="30"/>
      <c r="N54" s="30"/>
      <c r="O54" s="30"/>
      <c r="P54" s="30"/>
      <c r="Q54" s="30"/>
      <c r="R54" s="30"/>
      <c r="S54" s="30"/>
      <c r="T54" s="30"/>
      <c r="U54" s="30"/>
      <c r="V54" s="31"/>
    </row>
    <row r="55" spans="1:22">
      <c r="A55" s="1" t="s">
        <v>76</v>
      </c>
      <c r="B55" s="29">
        <v>153.00074387034212</v>
      </c>
      <c r="C55" s="30">
        <v>0</v>
      </c>
      <c r="D55" s="30">
        <v>0</v>
      </c>
      <c r="E55" s="30">
        <v>0</v>
      </c>
      <c r="F55" s="30">
        <v>0</v>
      </c>
      <c r="G55" s="31">
        <f>SUM(WV_FINANCIAL)</f>
        <v>153.00074387034212</v>
      </c>
      <c r="H55" s="30"/>
      <c r="I55" s="30"/>
      <c r="J55" s="30"/>
      <c r="K55" s="30"/>
      <c r="L55" s="29"/>
      <c r="M55" s="30"/>
      <c r="N55" s="30"/>
      <c r="O55" s="30"/>
      <c r="P55" s="30"/>
      <c r="Q55" s="30"/>
      <c r="R55" s="30"/>
      <c r="S55" s="30"/>
      <c r="T55" s="30"/>
      <c r="U55" s="30"/>
      <c r="V55" s="31"/>
    </row>
    <row r="56" spans="1:22">
      <c r="A56" s="1" t="s">
        <v>77</v>
      </c>
      <c r="B56" s="29">
        <v>187.00090917486261</v>
      </c>
      <c r="C56" s="30">
        <v>0</v>
      </c>
      <c r="D56" s="30">
        <v>0</v>
      </c>
      <c r="E56" s="30">
        <v>0</v>
      </c>
      <c r="F56" s="30">
        <v>0</v>
      </c>
      <c r="G56" s="31">
        <f>SUM(WI_FINANCIAL)</f>
        <v>187.00090917486261</v>
      </c>
      <c r="H56" s="30"/>
      <c r="I56" s="30"/>
      <c r="J56" s="30"/>
      <c r="K56" s="30"/>
      <c r="L56" s="29"/>
      <c r="M56" s="30"/>
      <c r="N56" s="30"/>
      <c r="O56" s="30"/>
      <c r="P56" s="30"/>
      <c r="Q56" s="30"/>
      <c r="R56" s="30"/>
      <c r="S56" s="30"/>
      <c r="T56" s="30"/>
      <c r="U56" s="30"/>
      <c r="V56" s="31"/>
    </row>
    <row r="57" spans="1:22">
      <c r="A57" s="1" t="s">
        <v>78</v>
      </c>
      <c r="B57" s="29">
        <v>132.00064177049123</v>
      </c>
      <c r="C57" s="30">
        <v>0</v>
      </c>
      <c r="D57" s="30">
        <v>0</v>
      </c>
      <c r="E57" s="30">
        <v>0</v>
      </c>
      <c r="F57" s="30">
        <v>0</v>
      </c>
      <c r="G57" s="31">
        <f>SUM(WY_FINANCIAL)</f>
        <v>132.00064177049123</v>
      </c>
      <c r="H57" s="30"/>
      <c r="I57" s="30"/>
      <c r="J57" s="30"/>
      <c r="K57" s="30"/>
      <c r="L57" s="29"/>
      <c r="M57" s="30"/>
      <c r="N57" s="30"/>
      <c r="O57" s="30"/>
      <c r="P57" s="30"/>
      <c r="Q57" s="30"/>
      <c r="R57" s="30"/>
      <c r="S57" s="30"/>
      <c r="T57" s="30"/>
      <c r="U57" s="30"/>
      <c r="V57" s="31"/>
    </row>
    <row r="58" spans="1:22">
      <c r="A58" s="1" t="s">
        <v>79</v>
      </c>
      <c r="B58" s="29">
        <v>0</v>
      </c>
      <c r="C58" s="30">
        <v>0</v>
      </c>
      <c r="D58" s="30">
        <v>0</v>
      </c>
      <c r="E58" s="30">
        <v>0</v>
      </c>
      <c r="F58" s="30">
        <v>0</v>
      </c>
      <c r="G58" s="31">
        <f>SUM(OT_FINANCIAL)</f>
        <v>0</v>
      </c>
      <c r="H58" s="30"/>
      <c r="I58" s="30"/>
      <c r="J58" s="30"/>
      <c r="K58" s="30"/>
      <c r="L58" s="29"/>
      <c r="M58" s="30"/>
      <c r="N58" s="30"/>
      <c r="O58" s="30"/>
      <c r="P58" s="30"/>
      <c r="Q58" s="30"/>
      <c r="R58" s="30"/>
      <c r="S58" s="30"/>
      <c r="T58" s="30"/>
      <c r="U58" s="30"/>
      <c r="V58" s="31"/>
    </row>
    <row r="59" spans="1:22">
      <c r="B59" s="29"/>
      <c r="C59" s="30"/>
      <c r="D59" s="30"/>
      <c r="E59" s="30"/>
      <c r="F59" s="30"/>
      <c r="G59" s="31"/>
      <c r="H59" s="30"/>
      <c r="I59" s="30"/>
      <c r="J59" s="30"/>
      <c r="K59" s="30"/>
      <c r="L59" s="29"/>
      <c r="M59" s="30"/>
      <c r="N59" s="30"/>
      <c r="O59" s="30"/>
      <c r="P59" s="30"/>
      <c r="Q59" s="30"/>
      <c r="R59" s="30"/>
      <c r="S59" s="30"/>
      <c r="T59" s="30"/>
      <c r="U59" s="30"/>
      <c r="V59" s="31"/>
    </row>
    <row r="60" spans="1:22">
      <c r="A60" s="1" t="s">
        <v>8</v>
      </c>
      <c r="B60" s="29">
        <f>SUM(LIFE)</f>
        <v>366333.17945871997</v>
      </c>
      <c r="C60" s="30">
        <f>SUM(ALLOCATED)</f>
        <v>1431.9459078688583</v>
      </c>
      <c r="D60" s="30">
        <f>SUM(HEALTH)</f>
        <v>405.66463341108988</v>
      </c>
      <c r="E60" s="30">
        <f>SUM(UNALLOCATED)</f>
        <v>0</v>
      </c>
      <c r="F60" s="30">
        <f>SUM(LTC)</f>
        <v>0</v>
      </c>
      <c r="G60" s="31">
        <f>SUM(ALL_BLOCKS)</f>
        <v>368170.78999999992</v>
      </c>
      <c r="H60" s="30"/>
      <c r="I60" s="30"/>
      <c r="J60" s="30"/>
      <c r="K60" s="30"/>
      <c r="L60" s="29">
        <f>SUM(LIFE_CALLED)</f>
        <v>9571</v>
      </c>
      <c r="M60" s="30">
        <f>SUM(LIFE_REFUNDED)</f>
        <v>0</v>
      </c>
      <c r="N60" s="30"/>
      <c r="O60" s="30">
        <f>SUM(ALLOC_CALLED)</f>
        <v>0</v>
      </c>
      <c r="P60" s="30">
        <f>SUM(ALLOC_REFUNDED)</f>
        <v>0</v>
      </c>
      <c r="Q60" s="30"/>
      <c r="R60" s="30">
        <f>SUM(HEALTH_CALLED)</f>
        <v>0</v>
      </c>
      <c r="S60" s="30">
        <f>SUM(HEALTH_REFUNDED)</f>
        <v>0</v>
      </c>
      <c r="T60" s="30"/>
      <c r="U60" s="30">
        <f>SUM(UNALLOC_CALLED)</f>
        <v>0</v>
      </c>
      <c r="V60" s="31">
        <f>SUM(UNALLOC_REFUNDED)</f>
        <v>0</v>
      </c>
    </row>
    <row r="61" spans="1:22" ht="5.0999999999999996" customHeight="1">
      <c r="B61" s="8"/>
      <c r="G61" s="11"/>
      <c r="L61" s="8"/>
      <c r="V61" s="11"/>
    </row>
    <row r="62" spans="1:22">
      <c r="B62" s="8"/>
      <c r="G62" s="11"/>
      <c r="L62" s="122" t="s">
        <v>80</v>
      </c>
      <c r="M62" s="123"/>
      <c r="N62" s="123"/>
      <c r="O62" s="123"/>
      <c r="P62" s="123"/>
      <c r="Q62" s="123"/>
      <c r="R62" s="123"/>
      <c r="S62" s="123"/>
      <c r="T62" s="123"/>
      <c r="U62" s="123"/>
      <c r="V62" s="124"/>
    </row>
    <row r="63" spans="1:22">
      <c r="B63" s="8"/>
      <c r="G63" s="11"/>
      <c r="L63" s="125"/>
      <c r="M63" s="123"/>
      <c r="N63" s="123"/>
      <c r="O63" s="123"/>
      <c r="P63" s="123"/>
      <c r="Q63" s="123"/>
      <c r="R63" s="123"/>
      <c r="S63" s="123"/>
      <c r="T63" s="123"/>
      <c r="U63" s="123"/>
      <c r="V63" s="124"/>
    </row>
    <row r="64" spans="1:22">
      <c r="B64" s="10"/>
      <c r="C64" s="7"/>
      <c r="D64" s="7"/>
      <c r="E64" s="7"/>
      <c r="F64" s="7"/>
      <c r="G64" s="13"/>
      <c r="L64" s="126"/>
      <c r="M64" s="127"/>
      <c r="N64" s="127"/>
      <c r="O64" s="127"/>
      <c r="P64" s="127"/>
      <c r="Q64" s="127"/>
      <c r="R64" s="127"/>
      <c r="S64" s="127"/>
      <c r="T64" s="127"/>
      <c r="U64" s="127"/>
      <c r="V64" s="128"/>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pageSetUpPr fitToPage="1"/>
  </sheetPr>
  <dimension ref="A1:V64"/>
  <sheetViews>
    <sheetView zoomScale="75" workbookViewId="0">
      <selection sqref="A1:XFD1048576"/>
    </sheetView>
  </sheetViews>
  <sheetFormatPr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129" t="s">
        <v>140</v>
      </c>
      <c r="B1" s="123"/>
      <c r="C1" s="123"/>
      <c r="D1" s="123"/>
      <c r="E1" s="123"/>
      <c r="F1" s="123"/>
      <c r="G1" s="123"/>
    </row>
    <row r="3" spans="1:22">
      <c r="B3" s="130" t="s">
        <v>1</v>
      </c>
      <c r="C3" s="131"/>
      <c r="D3" s="131"/>
      <c r="E3" s="131"/>
      <c r="F3" s="131"/>
      <c r="G3" s="132"/>
      <c r="L3" s="133" t="s">
        <v>2</v>
      </c>
      <c r="M3" s="134"/>
      <c r="N3" s="134"/>
      <c r="O3" s="134"/>
      <c r="P3" s="134"/>
      <c r="Q3" s="134"/>
      <c r="R3" s="134"/>
      <c r="S3" s="134"/>
      <c r="T3" s="134"/>
      <c r="U3" s="134"/>
      <c r="V3" s="135"/>
    </row>
    <row r="4" spans="1:22">
      <c r="B4" s="8"/>
      <c r="G4" s="11"/>
      <c r="L4" s="136" t="s">
        <v>3</v>
      </c>
      <c r="M4" s="137"/>
      <c r="N4" s="4"/>
      <c r="O4" s="138" t="s">
        <v>4</v>
      </c>
      <c r="P4" s="137"/>
      <c r="Q4" s="4"/>
      <c r="R4" s="138" t="s">
        <v>5</v>
      </c>
      <c r="S4" s="137"/>
      <c r="T4" s="4"/>
      <c r="U4" s="138" t="s">
        <v>6</v>
      </c>
      <c r="V4" s="139"/>
    </row>
    <row r="5" spans="1:22" ht="60" customHeight="1">
      <c r="B5" s="9" t="s">
        <v>3</v>
      </c>
      <c r="C5" s="5" t="s">
        <v>4</v>
      </c>
      <c r="D5" s="5" t="s">
        <v>5</v>
      </c>
      <c r="E5" s="5" t="s">
        <v>6</v>
      </c>
      <c r="F5" s="5" t="s">
        <v>7</v>
      </c>
      <c r="G5" s="12" t="s">
        <v>8</v>
      </c>
      <c r="L5" s="15" t="s">
        <v>9</v>
      </c>
      <c r="M5" s="14" t="s">
        <v>10</v>
      </c>
      <c r="N5" s="14"/>
      <c r="O5" s="14" t="s">
        <v>9</v>
      </c>
      <c r="P5" s="14" t="s">
        <v>10</v>
      </c>
      <c r="Q5" s="14"/>
      <c r="R5" s="14" t="s">
        <v>9</v>
      </c>
      <c r="S5" s="14" t="s">
        <v>10</v>
      </c>
      <c r="T5" s="14"/>
      <c r="U5" s="14" t="s">
        <v>9</v>
      </c>
      <c r="V5" s="16" t="s">
        <v>10</v>
      </c>
    </row>
    <row r="6" spans="1:22">
      <c r="A6" s="1" t="s">
        <v>11</v>
      </c>
      <c r="B6" s="29">
        <v>0</v>
      </c>
      <c r="C6" s="30">
        <v>71298.435572609887</v>
      </c>
      <c r="D6" s="30">
        <v>0</v>
      </c>
      <c r="E6" s="30">
        <v>0</v>
      </c>
      <c r="F6" s="30">
        <v>0</v>
      </c>
      <c r="G6" s="31">
        <f>SUM(AL_FINANCIAL)</f>
        <v>71298.435572609887</v>
      </c>
      <c r="H6" s="30"/>
      <c r="I6" s="30"/>
      <c r="J6" s="30"/>
      <c r="K6" s="30"/>
      <c r="L6" s="29">
        <v>0</v>
      </c>
      <c r="M6" s="30">
        <v>0</v>
      </c>
      <c r="N6" s="30"/>
      <c r="O6" s="30">
        <v>0</v>
      </c>
      <c r="P6" s="30">
        <v>0</v>
      </c>
      <c r="Q6" s="30"/>
      <c r="R6" s="30">
        <v>102000</v>
      </c>
      <c r="S6" s="30">
        <v>0</v>
      </c>
      <c r="T6" s="30"/>
      <c r="U6" s="30">
        <v>0</v>
      </c>
      <c r="V6" s="31">
        <v>0</v>
      </c>
    </row>
    <row r="7" spans="1:22">
      <c r="A7" s="1" t="s">
        <v>12</v>
      </c>
      <c r="B7" s="29">
        <v>0</v>
      </c>
      <c r="C7" s="30">
        <v>0</v>
      </c>
      <c r="D7" s="30">
        <v>0</v>
      </c>
      <c r="E7" s="30">
        <v>0</v>
      </c>
      <c r="F7" s="30">
        <v>0</v>
      </c>
      <c r="G7" s="31">
        <f>SUM(AK_FINANCIAL)</f>
        <v>0</v>
      </c>
      <c r="H7" s="30"/>
      <c r="I7" s="32"/>
      <c r="J7" s="33"/>
      <c r="K7" s="30"/>
      <c r="L7" s="29"/>
      <c r="M7" s="30"/>
      <c r="N7" s="30"/>
      <c r="O7" s="30"/>
      <c r="P7" s="30"/>
      <c r="Q7" s="30"/>
      <c r="R7" s="30"/>
      <c r="S7" s="30"/>
      <c r="T7" s="30"/>
      <c r="U7" s="30"/>
      <c r="V7" s="31"/>
    </row>
    <row r="8" spans="1:22">
      <c r="A8" s="1" t="s">
        <v>13</v>
      </c>
      <c r="B8" s="29">
        <v>40109.724149901391</v>
      </c>
      <c r="C8" s="30">
        <v>920013.1476465069</v>
      </c>
      <c r="D8" s="30">
        <v>42795.433960229857</v>
      </c>
      <c r="E8" s="30">
        <v>0</v>
      </c>
      <c r="F8" s="30">
        <v>0</v>
      </c>
      <c r="G8" s="31">
        <f>SUM(AZ_FINANCIAL)</f>
        <v>1002918.3057566382</v>
      </c>
      <c r="H8" s="30"/>
      <c r="I8" s="34" t="s">
        <v>14</v>
      </c>
      <c r="J8" s="35"/>
      <c r="K8" s="30"/>
      <c r="L8" s="29">
        <v>281955</v>
      </c>
      <c r="M8" s="30">
        <v>0</v>
      </c>
      <c r="N8" s="30"/>
      <c r="O8" s="30">
        <v>921320</v>
      </c>
      <c r="P8" s="30">
        <v>0</v>
      </c>
      <c r="Q8" s="30"/>
      <c r="R8" s="30">
        <v>0</v>
      </c>
      <c r="S8" s="30">
        <v>0</v>
      </c>
      <c r="T8" s="30"/>
      <c r="U8" s="30">
        <v>0</v>
      </c>
      <c r="V8" s="31">
        <v>0</v>
      </c>
    </row>
    <row r="9" spans="1:22">
      <c r="A9" s="1" t="s">
        <v>15</v>
      </c>
      <c r="B9" s="29">
        <v>0</v>
      </c>
      <c r="C9" s="30">
        <v>0</v>
      </c>
      <c r="D9" s="30">
        <v>0</v>
      </c>
      <c r="E9" s="30">
        <v>0</v>
      </c>
      <c r="F9" s="30">
        <v>0</v>
      </c>
      <c r="G9" s="31">
        <f>SUM(AR_FINANCIAL)</f>
        <v>0</v>
      </c>
      <c r="H9" s="30"/>
      <c r="I9" s="34"/>
      <c r="J9" s="35"/>
      <c r="K9" s="30"/>
      <c r="L9" s="29"/>
      <c r="M9" s="30"/>
      <c r="N9" s="30"/>
      <c r="O9" s="30"/>
      <c r="P9" s="30"/>
      <c r="Q9" s="30"/>
      <c r="R9" s="30"/>
      <c r="S9" s="30"/>
      <c r="T9" s="30"/>
      <c r="U9" s="30"/>
      <c r="V9" s="31"/>
    </row>
    <row r="10" spans="1:22">
      <c r="A10" s="1" t="s">
        <v>16</v>
      </c>
      <c r="B10" s="29">
        <v>393037.33948592714</v>
      </c>
      <c r="C10" s="30">
        <v>327180.31843990006</v>
      </c>
      <c r="D10" s="30">
        <v>0</v>
      </c>
      <c r="E10" s="30">
        <v>0</v>
      </c>
      <c r="F10" s="30">
        <v>0</v>
      </c>
      <c r="G10" s="31">
        <f>SUM(CA_FINANCIAL)</f>
        <v>720217.6579258272</v>
      </c>
      <c r="H10" s="30"/>
      <c r="I10" s="34" t="s">
        <v>17</v>
      </c>
      <c r="J10" s="35">
        <v>68990674</v>
      </c>
      <c r="K10" s="30"/>
      <c r="L10" s="29">
        <v>250000</v>
      </c>
      <c r="M10" s="30">
        <v>1100000</v>
      </c>
      <c r="N10" s="30"/>
      <c r="O10" s="30">
        <v>1200000</v>
      </c>
      <c r="P10" s="30">
        <v>0</v>
      </c>
      <c r="Q10" s="30"/>
      <c r="R10" s="30">
        <v>74000</v>
      </c>
      <c r="S10" s="30">
        <v>0</v>
      </c>
      <c r="T10" s="30"/>
      <c r="U10" s="30">
        <v>0</v>
      </c>
      <c r="V10" s="31">
        <v>0</v>
      </c>
    </row>
    <row r="11" spans="1:22">
      <c r="A11" s="1" t="s">
        <v>18</v>
      </c>
      <c r="B11" s="29">
        <v>0</v>
      </c>
      <c r="C11" s="30">
        <v>707176.26141965762</v>
      </c>
      <c r="D11" s="30">
        <v>0</v>
      </c>
      <c r="E11" s="30">
        <v>0</v>
      </c>
      <c r="F11" s="30">
        <v>0</v>
      </c>
      <c r="G11" s="31">
        <f>SUM(CO_FINANCIAL)</f>
        <v>707176.26141965762</v>
      </c>
      <c r="H11" s="30"/>
      <c r="I11" s="34"/>
      <c r="J11" s="35"/>
      <c r="K11" s="30"/>
      <c r="L11" s="29">
        <v>0</v>
      </c>
      <c r="M11" s="30">
        <v>0</v>
      </c>
      <c r="N11" s="30"/>
      <c r="O11" s="30">
        <v>9207039</v>
      </c>
      <c r="P11" s="30">
        <v>860000</v>
      </c>
      <c r="Q11" s="30"/>
      <c r="R11" s="30">
        <v>0</v>
      </c>
      <c r="S11" s="30">
        <v>215835</v>
      </c>
      <c r="T11" s="30"/>
      <c r="U11" s="30">
        <v>0</v>
      </c>
      <c r="V11" s="31">
        <v>0</v>
      </c>
    </row>
    <row r="12" spans="1:22">
      <c r="A12" s="1" t="s">
        <v>19</v>
      </c>
      <c r="B12" s="29">
        <v>0</v>
      </c>
      <c r="C12" s="30">
        <v>0</v>
      </c>
      <c r="D12" s="30">
        <v>0</v>
      </c>
      <c r="E12" s="30">
        <v>0</v>
      </c>
      <c r="F12" s="30">
        <v>0</v>
      </c>
      <c r="G12" s="31">
        <f>SUM(CT_FINANCIAL)</f>
        <v>0</v>
      </c>
      <c r="H12" s="30"/>
      <c r="I12" s="34" t="s">
        <v>20</v>
      </c>
      <c r="J12" s="35"/>
      <c r="K12" s="30"/>
      <c r="L12" s="29"/>
      <c r="M12" s="30"/>
      <c r="N12" s="30"/>
      <c r="O12" s="30"/>
      <c r="P12" s="30"/>
      <c r="Q12" s="30"/>
      <c r="R12" s="30"/>
      <c r="S12" s="30"/>
      <c r="T12" s="30"/>
      <c r="U12" s="30"/>
      <c r="V12" s="31"/>
    </row>
    <row r="13" spans="1:22">
      <c r="A13" s="1" t="s">
        <v>21</v>
      </c>
      <c r="B13" s="29">
        <v>0</v>
      </c>
      <c r="C13" s="30">
        <v>0</v>
      </c>
      <c r="D13" s="30">
        <v>0</v>
      </c>
      <c r="E13" s="30">
        <v>0</v>
      </c>
      <c r="F13" s="30">
        <v>0</v>
      </c>
      <c r="G13" s="31">
        <f>SUM(DE_FINANCIAL)</f>
        <v>0</v>
      </c>
      <c r="H13" s="30"/>
      <c r="I13" s="34" t="s">
        <v>22</v>
      </c>
      <c r="J13" s="35">
        <v>48880235</v>
      </c>
      <c r="K13" s="30"/>
      <c r="L13" s="29"/>
      <c r="M13" s="30"/>
      <c r="N13" s="30"/>
      <c r="O13" s="30"/>
      <c r="P13" s="30"/>
      <c r="Q13" s="30"/>
      <c r="R13" s="30"/>
      <c r="S13" s="30"/>
      <c r="T13" s="30"/>
      <c r="U13" s="30"/>
      <c r="V13" s="31"/>
    </row>
    <row r="14" spans="1:22">
      <c r="A14" s="1" t="s">
        <v>23</v>
      </c>
      <c r="B14" s="29">
        <v>0</v>
      </c>
      <c r="C14" s="30">
        <v>0</v>
      </c>
      <c r="D14" s="30">
        <v>0</v>
      </c>
      <c r="E14" s="30">
        <v>0</v>
      </c>
      <c r="F14" s="30">
        <v>0</v>
      </c>
      <c r="G14" s="31">
        <f>SUM(DC_FINANCIAL)</f>
        <v>0</v>
      </c>
      <c r="H14" s="30"/>
      <c r="I14" s="34" t="s">
        <v>24</v>
      </c>
      <c r="J14" s="35">
        <v>2934120.9999999995</v>
      </c>
      <c r="K14" s="30"/>
      <c r="L14" s="29"/>
      <c r="M14" s="30"/>
      <c r="N14" s="30"/>
      <c r="O14" s="30"/>
      <c r="P14" s="30"/>
      <c r="Q14" s="30"/>
      <c r="R14" s="30"/>
      <c r="S14" s="30"/>
      <c r="T14" s="30"/>
      <c r="U14" s="30"/>
      <c r="V14" s="31"/>
    </row>
    <row r="15" spans="1:22">
      <c r="A15" s="1" t="s">
        <v>25</v>
      </c>
      <c r="B15" s="29">
        <v>2461.8202614291167</v>
      </c>
      <c r="C15" s="30">
        <v>1484008.6299242985</v>
      </c>
      <c r="D15" s="30">
        <v>0</v>
      </c>
      <c r="E15" s="30">
        <v>0</v>
      </c>
      <c r="F15" s="30">
        <v>0</v>
      </c>
      <c r="G15" s="31">
        <f>SUM(FL_FINANCIAL)</f>
        <v>1486470.4501857276</v>
      </c>
      <c r="H15" s="30"/>
      <c r="I15" s="34" t="s">
        <v>26</v>
      </c>
      <c r="J15" s="35">
        <v>776590.49000000046</v>
      </c>
      <c r="K15" s="30"/>
      <c r="L15" s="29">
        <v>100000</v>
      </c>
      <c r="M15" s="30">
        <v>0</v>
      </c>
      <c r="N15" s="30"/>
      <c r="O15" s="30">
        <v>2900000</v>
      </c>
      <c r="P15" s="30">
        <v>0</v>
      </c>
      <c r="Q15" s="30"/>
      <c r="R15" s="30">
        <v>0</v>
      </c>
      <c r="S15" s="30">
        <v>0</v>
      </c>
      <c r="T15" s="30"/>
      <c r="U15" s="30">
        <v>0</v>
      </c>
      <c r="V15" s="31">
        <v>0</v>
      </c>
    </row>
    <row r="16" spans="1:22">
      <c r="A16" s="1" t="s">
        <v>27</v>
      </c>
      <c r="B16" s="29">
        <v>0</v>
      </c>
      <c r="C16" s="30">
        <v>0</v>
      </c>
      <c r="D16" s="30">
        <v>0</v>
      </c>
      <c r="E16" s="30">
        <v>0</v>
      </c>
      <c r="F16" s="30">
        <v>0</v>
      </c>
      <c r="G16" s="31">
        <f>SUM(GA_FINANCIAL)</f>
        <v>0</v>
      </c>
      <c r="H16" s="30"/>
      <c r="I16" s="34" t="s">
        <v>28</v>
      </c>
      <c r="J16" s="35">
        <v>0</v>
      </c>
      <c r="K16" s="30"/>
      <c r="L16" s="29"/>
      <c r="M16" s="30"/>
      <c r="N16" s="30"/>
      <c r="O16" s="30"/>
      <c r="P16" s="30"/>
      <c r="Q16" s="30"/>
      <c r="R16" s="30"/>
      <c r="S16" s="30"/>
      <c r="T16" s="30"/>
      <c r="U16" s="30"/>
      <c r="V16" s="31"/>
    </row>
    <row r="17" spans="1:22">
      <c r="A17" s="1" t="s">
        <v>29</v>
      </c>
      <c r="B17" s="29">
        <v>0</v>
      </c>
      <c r="C17" s="30">
        <v>5029</v>
      </c>
      <c r="D17" s="30">
        <v>0</v>
      </c>
      <c r="E17" s="30">
        <v>0</v>
      </c>
      <c r="F17" s="30">
        <v>0</v>
      </c>
      <c r="G17" s="31">
        <f>SUM(HI_FINANCIAL)</f>
        <v>5029</v>
      </c>
      <c r="H17" s="30"/>
      <c r="I17" s="34"/>
      <c r="J17" s="35"/>
      <c r="K17" s="30"/>
      <c r="L17" s="29">
        <v>7301</v>
      </c>
      <c r="M17" s="30">
        <v>0</v>
      </c>
      <c r="N17" s="30"/>
      <c r="O17" s="30">
        <v>0</v>
      </c>
      <c r="P17" s="30">
        <v>0</v>
      </c>
      <c r="Q17" s="30"/>
      <c r="R17" s="30">
        <v>0</v>
      </c>
      <c r="S17" s="30">
        <v>0</v>
      </c>
      <c r="T17" s="30"/>
      <c r="U17" s="30">
        <v>0</v>
      </c>
      <c r="V17" s="31">
        <v>0</v>
      </c>
    </row>
    <row r="18" spans="1:22">
      <c r="A18" s="1" t="s">
        <v>30</v>
      </c>
      <c r="B18" s="29">
        <v>0</v>
      </c>
      <c r="C18" s="30">
        <v>117959.60160849406</v>
      </c>
      <c r="D18" s="30">
        <v>0</v>
      </c>
      <c r="E18" s="30">
        <v>0</v>
      </c>
      <c r="F18" s="30">
        <v>0</v>
      </c>
      <c r="G18" s="31">
        <f>SUM(ID_FINANCIAL)</f>
        <v>117959.60160849406</v>
      </c>
      <c r="H18" s="30"/>
      <c r="I18" s="34" t="s">
        <v>31</v>
      </c>
      <c r="J18" s="35"/>
      <c r="K18" s="30"/>
      <c r="L18" s="29">
        <v>0</v>
      </c>
      <c r="M18" s="30">
        <v>0</v>
      </c>
      <c r="N18" s="30"/>
      <c r="O18" s="30">
        <v>113900</v>
      </c>
      <c r="P18" s="30">
        <v>0</v>
      </c>
      <c r="Q18" s="30"/>
      <c r="R18" s="30">
        <v>56100</v>
      </c>
      <c r="S18" s="30">
        <v>0</v>
      </c>
      <c r="T18" s="30"/>
      <c r="U18" s="30">
        <v>0</v>
      </c>
      <c r="V18" s="31">
        <v>0</v>
      </c>
    </row>
    <row r="19" spans="1:22">
      <c r="A19" s="1" t="s">
        <v>32</v>
      </c>
      <c r="B19" s="29">
        <v>190.24533267491901</v>
      </c>
      <c r="C19" s="30">
        <v>1060653.8615281815</v>
      </c>
      <c r="D19" s="30">
        <v>39214.134851365088</v>
      </c>
      <c r="E19" s="30">
        <v>0</v>
      </c>
      <c r="F19" s="30">
        <v>0</v>
      </c>
      <c r="G19" s="31">
        <f>SUM(IL_FINANCIAL)</f>
        <v>1100058.2417122214</v>
      </c>
      <c r="H19" s="30"/>
      <c r="I19" s="34" t="s">
        <v>33</v>
      </c>
      <c r="J19" s="35">
        <v>0</v>
      </c>
      <c r="K19" s="30"/>
      <c r="L19" s="29">
        <v>0</v>
      </c>
      <c r="M19" s="30">
        <v>0</v>
      </c>
      <c r="N19" s="30"/>
      <c r="O19" s="30">
        <v>1700000</v>
      </c>
      <c r="P19" s="30">
        <v>750000</v>
      </c>
      <c r="Q19" s="30"/>
      <c r="R19" s="30">
        <v>70000</v>
      </c>
      <c r="S19" s="30">
        <v>51000</v>
      </c>
      <c r="T19" s="30"/>
      <c r="U19" s="30">
        <v>0</v>
      </c>
      <c r="V19" s="31">
        <v>0</v>
      </c>
    </row>
    <row r="20" spans="1:22">
      <c r="A20" s="1" t="s">
        <v>34</v>
      </c>
      <c r="B20" s="29">
        <v>401.82730433282302</v>
      </c>
      <c r="C20" s="30">
        <v>167920.86427822936</v>
      </c>
      <c r="D20" s="30">
        <v>0</v>
      </c>
      <c r="E20" s="30">
        <v>0</v>
      </c>
      <c r="F20" s="30">
        <v>0</v>
      </c>
      <c r="G20" s="31">
        <f>SUM(IN_FINANCIAL)</f>
        <v>168322.6915825622</v>
      </c>
      <c r="H20" s="30"/>
      <c r="I20" s="34" t="s">
        <v>35</v>
      </c>
      <c r="J20" s="35">
        <v>46699950.450000003</v>
      </c>
      <c r="K20" s="30"/>
      <c r="L20" s="29">
        <v>0</v>
      </c>
      <c r="M20" s="30">
        <v>0</v>
      </c>
      <c r="N20" s="30"/>
      <c r="O20" s="30">
        <v>0</v>
      </c>
      <c r="P20" s="30">
        <v>0</v>
      </c>
      <c r="Q20" s="30"/>
      <c r="R20" s="30">
        <v>69378</v>
      </c>
      <c r="S20" s="30">
        <v>0</v>
      </c>
      <c r="T20" s="30"/>
      <c r="U20" s="30">
        <v>0</v>
      </c>
      <c r="V20" s="31">
        <v>0</v>
      </c>
    </row>
    <row r="21" spans="1:22">
      <c r="A21" s="1" t="s">
        <v>36</v>
      </c>
      <c r="B21" s="29">
        <v>62353.300412474011</v>
      </c>
      <c r="C21" s="30">
        <v>2199634.3777108765</v>
      </c>
      <c r="D21" s="30">
        <v>0</v>
      </c>
      <c r="E21" s="30">
        <v>0</v>
      </c>
      <c r="F21" s="30">
        <v>0</v>
      </c>
      <c r="G21" s="31">
        <f>SUM(IA_FINANCIAL)</f>
        <v>2261987.6781233507</v>
      </c>
      <c r="H21" s="30"/>
      <c r="I21" s="34" t="s">
        <v>37</v>
      </c>
      <c r="J21" s="35"/>
      <c r="K21" s="30"/>
      <c r="L21" s="29">
        <v>0</v>
      </c>
      <c r="M21" s="30">
        <v>0</v>
      </c>
      <c r="N21" s="30"/>
      <c r="O21" s="30">
        <v>6136927</v>
      </c>
      <c r="P21" s="30">
        <v>0</v>
      </c>
      <c r="Q21" s="30"/>
      <c r="R21" s="30">
        <v>16840</v>
      </c>
      <c r="S21" s="30">
        <v>0</v>
      </c>
      <c r="T21" s="30"/>
      <c r="U21" s="30">
        <v>0</v>
      </c>
      <c r="V21" s="31">
        <v>0</v>
      </c>
    </row>
    <row r="22" spans="1:22">
      <c r="A22" s="1" t="s">
        <v>38</v>
      </c>
      <c r="B22" s="29">
        <v>0</v>
      </c>
      <c r="C22" s="30">
        <v>1137325</v>
      </c>
      <c r="D22" s="30">
        <v>0</v>
      </c>
      <c r="E22" s="30">
        <v>0</v>
      </c>
      <c r="F22" s="30">
        <v>0</v>
      </c>
      <c r="G22" s="31">
        <f>SUM(KS_FINANCIAL)</f>
        <v>1137325</v>
      </c>
      <c r="H22" s="30"/>
      <c r="I22" s="34" t="s">
        <v>39</v>
      </c>
      <c r="J22" s="35">
        <v>301656</v>
      </c>
      <c r="K22" s="30"/>
      <c r="L22" s="29">
        <v>0</v>
      </c>
      <c r="M22" s="30">
        <v>0</v>
      </c>
      <c r="N22" s="30"/>
      <c r="O22" s="30">
        <v>1700000</v>
      </c>
      <c r="P22" s="30">
        <v>0</v>
      </c>
      <c r="Q22" s="30"/>
      <c r="R22" s="30">
        <v>0</v>
      </c>
      <c r="S22" s="30">
        <v>0</v>
      </c>
      <c r="T22" s="30"/>
      <c r="U22" s="30">
        <v>0</v>
      </c>
      <c r="V22" s="31">
        <v>0</v>
      </c>
    </row>
    <row r="23" spans="1:22">
      <c r="A23" s="1" t="s">
        <v>40</v>
      </c>
      <c r="B23" s="29">
        <v>0</v>
      </c>
      <c r="C23" s="30">
        <v>41350</v>
      </c>
      <c r="D23" s="30">
        <v>0</v>
      </c>
      <c r="E23" s="30">
        <v>0</v>
      </c>
      <c r="F23" s="30">
        <v>0</v>
      </c>
      <c r="G23" s="31">
        <f>SUM(KY_FINANCIAL)</f>
        <v>41350</v>
      </c>
      <c r="H23" s="30"/>
      <c r="I23" s="34" t="s">
        <v>41</v>
      </c>
      <c r="J23" s="35"/>
      <c r="K23" s="30"/>
      <c r="L23" s="29">
        <v>0</v>
      </c>
      <c r="M23" s="30">
        <v>0</v>
      </c>
      <c r="N23" s="30"/>
      <c r="O23" s="30">
        <v>48000</v>
      </c>
      <c r="P23" s="30">
        <v>11348</v>
      </c>
      <c r="Q23" s="30"/>
      <c r="R23" s="30">
        <v>32000</v>
      </c>
      <c r="S23" s="30">
        <v>17073</v>
      </c>
      <c r="T23" s="30"/>
      <c r="U23" s="30">
        <v>0</v>
      </c>
      <c r="V23" s="31">
        <v>0</v>
      </c>
    </row>
    <row r="24" spans="1:22">
      <c r="A24" s="1" t="s">
        <v>42</v>
      </c>
      <c r="B24" s="29">
        <v>0</v>
      </c>
      <c r="C24" s="30">
        <v>0</v>
      </c>
      <c r="D24" s="30">
        <v>0</v>
      </c>
      <c r="E24" s="30">
        <v>0</v>
      </c>
      <c r="F24" s="30">
        <v>0</v>
      </c>
      <c r="G24" s="31">
        <f>SUM(LA_FINANCIAL)</f>
        <v>0</v>
      </c>
      <c r="H24" s="30"/>
      <c r="I24" s="34" t="s">
        <v>43</v>
      </c>
      <c r="J24" s="35">
        <v>41563304</v>
      </c>
      <c r="K24" s="30"/>
      <c r="L24" s="29"/>
      <c r="M24" s="30"/>
      <c r="N24" s="30"/>
      <c r="O24" s="30"/>
      <c r="P24" s="30"/>
      <c r="Q24" s="30"/>
      <c r="R24" s="30"/>
      <c r="S24" s="30"/>
      <c r="T24" s="30"/>
      <c r="U24" s="30"/>
      <c r="V24" s="31"/>
    </row>
    <row r="25" spans="1:22">
      <c r="A25" s="1" t="s">
        <v>44</v>
      </c>
      <c r="B25" s="29">
        <v>0</v>
      </c>
      <c r="C25" s="30">
        <v>0</v>
      </c>
      <c r="D25" s="30">
        <v>0</v>
      </c>
      <c r="E25" s="30">
        <v>0</v>
      </c>
      <c r="F25" s="30">
        <v>0</v>
      </c>
      <c r="G25" s="31">
        <f>SUM(ME_FINANCIAL)</f>
        <v>0</v>
      </c>
      <c r="H25" s="30"/>
      <c r="I25" s="34"/>
      <c r="J25" s="35"/>
      <c r="K25" s="30"/>
      <c r="L25" s="29"/>
      <c r="M25" s="30"/>
      <c r="N25" s="30"/>
      <c r="O25" s="30"/>
      <c r="P25" s="30"/>
      <c r="Q25" s="30"/>
      <c r="R25" s="30"/>
      <c r="S25" s="30"/>
      <c r="T25" s="30"/>
      <c r="U25" s="30"/>
      <c r="V25" s="31"/>
    </row>
    <row r="26" spans="1:22">
      <c r="A26" s="1" t="s">
        <v>45</v>
      </c>
      <c r="B26" s="29">
        <v>0</v>
      </c>
      <c r="C26" s="30">
        <v>0</v>
      </c>
      <c r="D26" s="30">
        <v>0</v>
      </c>
      <c r="E26" s="30">
        <v>0</v>
      </c>
      <c r="F26" s="30">
        <v>0</v>
      </c>
      <c r="G26" s="31">
        <f>SUM(MD_FINANCIAL)</f>
        <v>0</v>
      </c>
      <c r="H26" s="30"/>
      <c r="I26" s="34" t="s">
        <v>46</v>
      </c>
      <c r="J26" s="35">
        <f>SUM(ADD_FINANCIAL)-SUM(LESS_FINANCIAL)</f>
        <v>33016710.039999992</v>
      </c>
      <c r="K26" s="30"/>
      <c r="L26" s="29"/>
      <c r="M26" s="30"/>
      <c r="N26" s="30"/>
      <c r="O26" s="30"/>
      <c r="P26" s="30"/>
      <c r="Q26" s="30"/>
      <c r="R26" s="30"/>
      <c r="S26" s="30"/>
      <c r="T26" s="30"/>
      <c r="U26" s="30"/>
      <c r="V26" s="31"/>
    </row>
    <row r="27" spans="1:22">
      <c r="A27" s="1" t="s">
        <v>47</v>
      </c>
      <c r="B27" s="29">
        <v>0</v>
      </c>
      <c r="C27" s="30">
        <v>0</v>
      </c>
      <c r="D27" s="30">
        <v>0</v>
      </c>
      <c r="E27" s="30">
        <v>0</v>
      </c>
      <c r="F27" s="30">
        <v>0</v>
      </c>
      <c r="G27" s="31">
        <f>SUM(MA_FINANCIAL)</f>
        <v>0</v>
      </c>
      <c r="H27" s="30"/>
      <c r="I27" s="34" t="s">
        <v>48</v>
      </c>
      <c r="J27" s="35">
        <f>SUM(ALL_BLOCKS)</f>
        <v>33016710.039999999</v>
      </c>
      <c r="K27" s="30"/>
      <c r="L27" s="29"/>
      <c r="M27" s="30"/>
      <c r="N27" s="30"/>
      <c r="O27" s="30"/>
      <c r="P27" s="30"/>
      <c r="Q27" s="30"/>
      <c r="R27" s="30"/>
      <c r="S27" s="30"/>
      <c r="T27" s="30"/>
      <c r="U27" s="30"/>
      <c r="V27" s="31"/>
    </row>
    <row r="28" spans="1:22">
      <c r="A28" s="1" t="s">
        <v>49</v>
      </c>
      <c r="B28" s="29">
        <v>0</v>
      </c>
      <c r="C28" s="30">
        <v>0</v>
      </c>
      <c r="D28" s="30">
        <v>0</v>
      </c>
      <c r="E28" s="30">
        <v>0</v>
      </c>
      <c r="F28" s="30">
        <v>0</v>
      </c>
      <c r="G28" s="31">
        <f>SUM(MI_FINANCIAL)</f>
        <v>0</v>
      </c>
      <c r="H28" s="30"/>
      <c r="I28" s="36"/>
      <c r="J28" s="37"/>
      <c r="K28" s="30"/>
      <c r="L28" s="29"/>
      <c r="M28" s="30"/>
      <c r="N28" s="30"/>
      <c r="O28" s="30"/>
      <c r="P28" s="30"/>
      <c r="Q28" s="30"/>
      <c r="R28" s="30"/>
      <c r="S28" s="30"/>
      <c r="T28" s="30"/>
      <c r="U28" s="30"/>
      <c r="V28" s="31"/>
    </row>
    <row r="29" spans="1:22">
      <c r="A29" s="1" t="s">
        <v>50</v>
      </c>
      <c r="B29" s="29">
        <v>351389.37608616956</v>
      </c>
      <c r="C29" s="30">
        <v>14838876.478022888</v>
      </c>
      <c r="D29" s="30">
        <v>0</v>
      </c>
      <c r="E29" s="30">
        <v>0</v>
      </c>
      <c r="F29" s="30">
        <v>0</v>
      </c>
      <c r="G29" s="31">
        <f>SUM(MN_FINANCIAL)</f>
        <v>15190265.854109058</v>
      </c>
      <c r="H29" s="30"/>
      <c r="I29" s="30"/>
      <c r="J29" s="30"/>
      <c r="K29" s="30"/>
      <c r="L29" s="29">
        <v>1500000</v>
      </c>
      <c r="M29" s="30">
        <v>120000</v>
      </c>
      <c r="N29" s="30"/>
      <c r="O29" s="30">
        <v>35000000</v>
      </c>
      <c r="P29" s="30">
        <v>8480000</v>
      </c>
      <c r="Q29" s="30"/>
      <c r="R29" s="30">
        <v>7000</v>
      </c>
      <c r="S29" s="30">
        <v>0</v>
      </c>
      <c r="T29" s="30"/>
      <c r="U29" s="30">
        <v>0</v>
      </c>
      <c r="V29" s="31">
        <v>0</v>
      </c>
    </row>
    <row r="30" spans="1:22">
      <c r="A30" s="1" t="s">
        <v>51</v>
      </c>
      <c r="B30" s="29">
        <v>0</v>
      </c>
      <c r="C30" s="30">
        <v>0</v>
      </c>
      <c r="D30" s="30">
        <v>0</v>
      </c>
      <c r="E30" s="30">
        <v>0</v>
      </c>
      <c r="F30" s="30">
        <v>0</v>
      </c>
      <c r="G30" s="31">
        <f>SUM(MS_FINANCIAL)</f>
        <v>0</v>
      </c>
      <c r="H30" s="30"/>
      <c r="I30" s="30"/>
      <c r="J30" s="30"/>
      <c r="K30" s="30"/>
      <c r="L30" s="29"/>
      <c r="M30" s="30"/>
      <c r="N30" s="30"/>
      <c r="O30" s="30"/>
      <c r="P30" s="30"/>
      <c r="Q30" s="30"/>
      <c r="R30" s="30"/>
      <c r="S30" s="30"/>
      <c r="T30" s="30"/>
      <c r="U30" s="30"/>
      <c r="V30" s="31"/>
    </row>
    <row r="31" spans="1:22">
      <c r="A31" s="1" t="s">
        <v>52</v>
      </c>
      <c r="B31" s="29">
        <v>908.16302721447641</v>
      </c>
      <c r="C31" s="30">
        <v>118771.50941911849</v>
      </c>
      <c r="D31" s="30">
        <v>0</v>
      </c>
      <c r="E31" s="30">
        <v>0</v>
      </c>
      <c r="F31" s="30">
        <v>0</v>
      </c>
      <c r="G31" s="31">
        <f>SUM(MO_FINANCIAL)</f>
        <v>119679.67244633297</v>
      </c>
      <c r="H31" s="30"/>
      <c r="I31" s="30"/>
      <c r="J31" s="30"/>
      <c r="K31" s="30"/>
      <c r="L31" s="29">
        <v>40000</v>
      </c>
      <c r="M31" s="30">
        <v>0</v>
      </c>
      <c r="N31" s="30"/>
      <c r="O31" s="30">
        <v>60000</v>
      </c>
      <c r="P31" s="30">
        <v>0</v>
      </c>
      <c r="Q31" s="30"/>
      <c r="R31" s="30">
        <v>100000</v>
      </c>
      <c r="S31" s="30">
        <v>0</v>
      </c>
      <c r="T31" s="30"/>
      <c r="U31" s="30">
        <v>0</v>
      </c>
      <c r="V31" s="31">
        <v>0</v>
      </c>
    </row>
    <row r="32" spans="1:22">
      <c r="A32" s="1" t="s">
        <v>53</v>
      </c>
      <c r="B32" s="29">
        <v>7731.1517478010501</v>
      </c>
      <c r="C32" s="30">
        <v>1592136.4363289096</v>
      </c>
      <c r="D32" s="30">
        <v>0</v>
      </c>
      <c r="E32" s="30">
        <v>0</v>
      </c>
      <c r="F32" s="30">
        <v>0</v>
      </c>
      <c r="G32" s="31">
        <f>SUM(MT_FINANCIAL)</f>
        <v>1599867.5880767107</v>
      </c>
      <c r="H32" s="30"/>
      <c r="I32" s="30"/>
      <c r="J32" s="30"/>
      <c r="K32" s="30"/>
      <c r="L32" s="29">
        <v>0</v>
      </c>
      <c r="M32" s="30">
        <v>0</v>
      </c>
      <c r="N32" s="30"/>
      <c r="O32" s="30">
        <v>3803133</v>
      </c>
      <c r="P32" s="30">
        <v>0</v>
      </c>
      <c r="Q32" s="30"/>
      <c r="R32" s="30">
        <v>0</v>
      </c>
      <c r="S32" s="30">
        <v>0</v>
      </c>
      <c r="T32" s="30"/>
      <c r="U32" s="30">
        <v>0</v>
      </c>
      <c r="V32" s="31">
        <v>0</v>
      </c>
    </row>
    <row r="33" spans="1:22">
      <c r="A33" s="1" t="s">
        <v>54</v>
      </c>
      <c r="B33" s="29">
        <v>0</v>
      </c>
      <c r="C33" s="30">
        <v>1562241.3695081882</v>
      </c>
      <c r="D33" s="30">
        <v>0</v>
      </c>
      <c r="E33" s="30">
        <v>0</v>
      </c>
      <c r="F33" s="30">
        <v>0</v>
      </c>
      <c r="G33" s="31">
        <f>SUM(NE_FINANCIAL)</f>
        <v>1562241.3695081882</v>
      </c>
      <c r="H33" s="30"/>
      <c r="I33" s="30"/>
      <c r="J33" s="30"/>
      <c r="K33" s="30"/>
      <c r="L33" s="29">
        <v>0</v>
      </c>
      <c r="M33" s="30">
        <v>0</v>
      </c>
      <c r="N33" s="30"/>
      <c r="O33" s="30">
        <v>1746686</v>
      </c>
      <c r="P33" s="30">
        <v>0</v>
      </c>
      <c r="Q33" s="30"/>
      <c r="R33" s="30">
        <v>500000</v>
      </c>
      <c r="S33" s="30">
        <v>400000</v>
      </c>
      <c r="T33" s="30"/>
      <c r="U33" s="30">
        <v>0</v>
      </c>
      <c r="V33" s="31">
        <v>0</v>
      </c>
    </row>
    <row r="34" spans="1:22">
      <c r="A34" s="1" t="s">
        <v>55</v>
      </c>
      <c r="B34" s="29">
        <v>0</v>
      </c>
      <c r="C34" s="30">
        <v>115000.84841954004</v>
      </c>
      <c r="D34" s="30">
        <v>0</v>
      </c>
      <c r="E34" s="30">
        <v>0</v>
      </c>
      <c r="F34" s="30">
        <v>0</v>
      </c>
      <c r="G34" s="31">
        <f>SUM(NV_FINANCIAL)</f>
        <v>115000.84841954004</v>
      </c>
      <c r="H34" s="30"/>
      <c r="I34" s="30"/>
      <c r="J34" s="30"/>
      <c r="K34" s="30"/>
      <c r="L34" s="29">
        <v>0</v>
      </c>
      <c r="M34" s="30">
        <v>0</v>
      </c>
      <c r="N34" s="30"/>
      <c r="O34" s="30">
        <v>154836</v>
      </c>
      <c r="P34" s="30">
        <v>14630</v>
      </c>
      <c r="Q34" s="30"/>
      <c r="R34" s="30">
        <v>0</v>
      </c>
      <c r="S34" s="30">
        <v>0</v>
      </c>
      <c r="T34" s="30"/>
      <c r="U34" s="30">
        <v>0</v>
      </c>
      <c r="V34" s="31">
        <v>0</v>
      </c>
    </row>
    <row r="35" spans="1:22">
      <c r="A35" s="1" t="s">
        <v>56</v>
      </c>
      <c r="B35" s="29">
        <v>0</v>
      </c>
      <c r="C35" s="30">
        <v>0</v>
      </c>
      <c r="D35" s="30">
        <v>0</v>
      </c>
      <c r="E35" s="30">
        <v>0</v>
      </c>
      <c r="F35" s="30">
        <v>0</v>
      </c>
      <c r="G35" s="31">
        <f>SUM(NH_FINANCIAL)</f>
        <v>0</v>
      </c>
      <c r="H35" s="30"/>
      <c r="I35" s="30"/>
      <c r="J35" s="30"/>
      <c r="K35" s="30"/>
      <c r="L35" s="29"/>
      <c r="M35" s="30"/>
      <c r="N35" s="30"/>
      <c r="O35" s="30"/>
      <c r="P35" s="30"/>
      <c r="Q35" s="30"/>
      <c r="R35" s="30"/>
      <c r="S35" s="30"/>
      <c r="T35" s="30"/>
      <c r="U35" s="30"/>
      <c r="V35" s="31"/>
    </row>
    <row r="36" spans="1:22">
      <c r="A36" s="1" t="s">
        <v>57</v>
      </c>
      <c r="B36" s="29">
        <v>0</v>
      </c>
      <c r="C36" s="30">
        <v>0</v>
      </c>
      <c r="D36" s="30">
        <v>0</v>
      </c>
      <c r="E36" s="30">
        <v>0</v>
      </c>
      <c r="F36" s="30">
        <v>0</v>
      </c>
      <c r="G36" s="31">
        <f>SUM(NJ_FINANCIAL)</f>
        <v>0</v>
      </c>
      <c r="H36" s="30"/>
      <c r="I36" s="30"/>
      <c r="J36" s="30"/>
      <c r="K36" s="30"/>
      <c r="L36" s="29"/>
      <c r="M36" s="30"/>
      <c r="N36" s="30"/>
      <c r="O36" s="30"/>
      <c r="P36" s="30"/>
      <c r="Q36" s="30"/>
      <c r="R36" s="30"/>
      <c r="S36" s="30"/>
      <c r="T36" s="30"/>
      <c r="U36" s="30"/>
      <c r="V36" s="31"/>
    </row>
    <row r="37" spans="1:22">
      <c r="A37" s="1" t="s">
        <v>58</v>
      </c>
      <c r="B37" s="29">
        <v>0</v>
      </c>
      <c r="C37" s="30">
        <v>119300.2408161115</v>
      </c>
      <c r="D37" s="30">
        <v>0</v>
      </c>
      <c r="E37" s="30">
        <v>0</v>
      </c>
      <c r="F37" s="30">
        <v>0</v>
      </c>
      <c r="G37" s="31">
        <f>SUM(NM_FINANCIAL)</f>
        <v>119300.2408161115</v>
      </c>
      <c r="H37" s="30"/>
      <c r="I37" s="30"/>
      <c r="J37" s="30"/>
      <c r="K37" s="30"/>
      <c r="L37" s="29">
        <v>0</v>
      </c>
      <c r="M37" s="30">
        <v>0</v>
      </c>
      <c r="N37" s="30"/>
      <c r="O37" s="30">
        <v>100532</v>
      </c>
      <c r="P37" s="30">
        <v>0</v>
      </c>
      <c r="Q37" s="30"/>
      <c r="R37" s="30">
        <v>0</v>
      </c>
      <c r="S37" s="30">
        <v>0</v>
      </c>
      <c r="T37" s="30"/>
      <c r="U37" s="30">
        <v>0</v>
      </c>
      <c r="V37" s="31">
        <v>0</v>
      </c>
    </row>
    <row r="38" spans="1:22">
      <c r="A38" s="1" t="s">
        <v>59</v>
      </c>
      <c r="B38" s="29">
        <v>0</v>
      </c>
      <c r="C38" s="30">
        <v>0</v>
      </c>
      <c r="D38" s="30">
        <v>0</v>
      </c>
      <c r="E38" s="30">
        <v>0</v>
      </c>
      <c r="F38" s="30">
        <v>0</v>
      </c>
      <c r="G38" s="31">
        <f>SUM(NY_FINANCIAL)</f>
        <v>0</v>
      </c>
      <c r="H38" s="30"/>
      <c r="I38" s="30"/>
      <c r="J38" s="30"/>
      <c r="K38" s="30"/>
      <c r="L38" s="29"/>
      <c r="M38" s="30"/>
      <c r="N38" s="30"/>
      <c r="O38" s="30"/>
      <c r="P38" s="30"/>
      <c r="Q38" s="30"/>
      <c r="R38" s="30"/>
      <c r="S38" s="30"/>
      <c r="T38" s="30"/>
      <c r="U38" s="30"/>
      <c r="V38" s="31"/>
    </row>
    <row r="39" spans="1:22">
      <c r="A39" s="1" t="s">
        <v>60</v>
      </c>
      <c r="B39" s="29">
        <v>0</v>
      </c>
      <c r="C39" s="30">
        <v>0</v>
      </c>
      <c r="D39" s="30">
        <v>0</v>
      </c>
      <c r="E39" s="30">
        <v>0</v>
      </c>
      <c r="F39" s="30">
        <v>0</v>
      </c>
      <c r="G39" s="31">
        <f>SUM(NC_FINANCIAL)</f>
        <v>0</v>
      </c>
      <c r="H39" s="30"/>
      <c r="I39" s="30"/>
      <c r="J39" s="30"/>
      <c r="K39" s="30"/>
      <c r="L39" s="29"/>
      <c r="M39" s="30"/>
      <c r="N39" s="30"/>
      <c r="O39" s="30"/>
      <c r="P39" s="30"/>
      <c r="Q39" s="30"/>
      <c r="R39" s="30"/>
      <c r="S39" s="30"/>
      <c r="T39" s="30"/>
      <c r="U39" s="30"/>
      <c r="V39" s="31"/>
    </row>
    <row r="40" spans="1:22">
      <c r="A40" s="1" t="s">
        <v>61</v>
      </c>
      <c r="B40" s="29">
        <v>16766.193853573728</v>
      </c>
      <c r="C40" s="30">
        <v>923974.75732338103</v>
      </c>
      <c r="D40" s="30">
        <v>0</v>
      </c>
      <c r="E40" s="30">
        <v>0</v>
      </c>
      <c r="F40" s="30">
        <v>0</v>
      </c>
      <c r="G40" s="31">
        <f>SUM(ND_FINANCIAL)</f>
        <v>940740.95117695478</v>
      </c>
      <c r="H40" s="30"/>
      <c r="I40" s="30"/>
      <c r="J40" s="30"/>
      <c r="K40" s="30"/>
      <c r="L40" s="29">
        <v>29200</v>
      </c>
      <c r="M40" s="30">
        <v>0</v>
      </c>
      <c r="N40" s="30"/>
      <c r="O40" s="30">
        <v>2132196</v>
      </c>
      <c r="P40" s="30">
        <v>0</v>
      </c>
      <c r="Q40" s="30"/>
      <c r="R40" s="30">
        <v>31540</v>
      </c>
      <c r="S40" s="30">
        <v>0</v>
      </c>
      <c r="T40" s="30"/>
      <c r="U40" s="30">
        <v>0</v>
      </c>
      <c r="V40" s="31">
        <v>0</v>
      </c>
    </row>
    <row r="41" spans="1:22">
      <c r="A41" s="1" t="s">
        <v>62</v>
      </c>
      <c r="B41" s="29">
        <v>0</v>
      </c>
      <c r="C41" s="30">
        <v>133289.07378649502</v>
      </c>
      <c r="D41" s="30">
        <v>0</v>
      </c>
      <c r="E41" s="30">
        <v>0</v>
      </c>
      <c r="F41" s="30">
        <v>0</v>
      </c>
      <c r="G41" s="31">
        <f>SUM(OH_FINANCIAL)</f>
        <v>133289.07378649502</v>
      </c>
      <c r="H41" s="30"/>
      <c r="I41" s="30"/>
      <c r="J41" s="30"/>
      <c r="K41" s="30"/>
      <c r="L41" s="29">
        <v>0</v>
      </c>
      <c r="M41" s="30">
        <v>0</v>
      </c>
      <c r="N41" s="30"/>
      <c r="O41" s="30">
        <v>100000</v>
      </c>
      <c r="P41" s="30">
        <v>0</v>
      </c>
      <c r="Q41" s="30"/>
      <c r="R41" s="30">
        <v>50000</v>
      </c>
      <c r="S41" s="30">
        <v>0</v>
      </c>
      <c r="T41" s="30"/>
      <c r="U41" s="30">
        <v>0</v>
      </c>
      <c r="V41" s="31">
        <v>0</v>
      </c>
    </row>
    <row r="42" spans="1:22">
      <c r="A42" s="1" t="s">
        <v>63</v>
      </c>
      <c r="B42" s="29">
        <v>6811.4970673146536</v>
      </c>
      <c r="C42" s="30">
        <v>357432.48639217438</v>
      </c>
      <c r="D42" s="30">
        <v>0</v>
      </c>
      <c r="E42" s="30">
        <v>0</v>
      </c>
      <c r="F42" s="30">
        <v>0</v>
      </c>
      <c r="G42" s="31">
        <f>SUM(OK_FINANCIAL)</f>
        <v>364243.98345948901</v>
      </c>
      <c r="H42" s="30"/>
      <c r="I42" s="30"/>
      <c r="J42" s="30"/>
      <c r="K42" s="30"/>
      <c r="L42" s="29">
        <v>1347500</v>
      </c>
      <c r="M42" s="30">
        <v>24000</v>
      </c>
      <c r="N42" s="30"/>
      <c r="O42" s="30">
        <v>828850</v>
      </c>
      <c r="P42" s="30">
        <v>134000</v>
      </c>
      <c r="Q42" s="30"/>
      <c r="R42" s="30">
        <v>2018650</v>
      </c>
      <c r="S42" s="30">
        <v>42000</v>
      </c>
      <c r="T42" s="30"/>
      <c r="U42" s="30">
        <v>0</v>
      </c>
      <c r="V42" s="31">
        <v>0</v>
      </c>
    </row>
    <row r="43" spans="1:22">
      <c r="A43" s="1" t="s">
        <v>64</v>
      </c>
      <c r="B43" s="29">
        <v>0</v>
      </c>
      <c r="C43" s="30">
        <v>193706.35931554943</v>
      </c>
      <c r="D43" s="30">
        <v>0</v>
      </c>
      <c r="E43" s="30">
        <v>0</v>
      </c>
      <c r="F43" s="30">
        <v>0</v>
      </c>
      <c r="G43" s="31">
        <f>SUM(OR_FINANCIAL)</f>
        <v>193706.35931554943</v>
      </c>
      <c r="H43" s="30"/>
      <c r="I43" s="30"/>
      <c r="J43" s="30"/>
      <c r="K43" s="30"/>
      <c r="L43" s="29">
        <v>0</v>
      </c>
      <c r="M43" s="30">
        <v>0</v>
      </c>
      <c r="N43" s="30"/>
      <c r="O43" s="30">
        <v>537486</v>
      </c>
      <c r="P43" s="30">
        <v>0</v>
      </c>
      <c r="Q43" s="30"/>
      <c r="R43" s="30">
        <v>0</v>
      </c>
      <c r="S43" s="30">
        <v>0</v>
      </c>
      <c r="T43" s="30"/>
      <c r="U43" s="30">
        <v>0</v>
      </c>
      <c r="V43" s="31">
        <v>0</v>
      </c>
    </row>
    <row r="44" spans="1:22">
      <c r="A44" s="1" t="s">
        <v>65</v>
      </c>
      <c r="B44" s="29">
        <v>0</v>
      </c>
      <c r="C44" s="30">
        <v>0</v>
      </c>
      <c r="D44" s="30">
        <v>0</v>
      </c>
      <c r="E44" s="30">
        <v>0</v>
      </c>
      <c r="F44" s="30">
        <v>0</v>
      </c>
      <c r="G44" s="31">
        <f>SUM(PA_FINANCIAL)</f>
        <v>0</v>
      </c>
      <c r="H44" s="30"/>
      <c r="I44" s="30"/>
      <c r="J44" s="30"/>
      <c r="K44" s="30"/>
      <c r="L44" s="29"/>
      <c r="M44" s="30"/>
      <c r="N44" s="30"/>
      <c r="O44" s="30"/>
      <c r="P44" s="30"/>
      <c r="Q44" s="30"/>
      <c r="R44" s="30"/>
      <c r="S44" s="30"/>
      <c r="T44" s="30"/>
      <c r="U44" s="30"/>
      <c r="V44" s="31"/>
    </row>
    <row r="45" spans="1:22">
      <c r="A45" s="1" t="s">
        <v>66</v>
      </c>
      <c r="B45" s="29">
        <v>0</v>
      </c>
      <c r="C45" s="30">
        <v>0</v>
      </c>
      <c r="D45" s="30">
        <v>0</v>
      </c>
      <c r="E45" s="30">
        <v>0</v>
      </c>
      <c r="F45" s="30">
        <v>0</v>
      </c>
      <c r="G45" s="31">
        <f>SUM(PR_FINANCIAL)</f>
        <v>0</v>
      </c>
      <c r="H45" s="30"/>
      <c r="I45" s="30"/>
      <c r="J45" s="30"/>
      <c r="K45" s="30"/>
      <c r="L45" s="29"/>
      <c r="M45" s="30"/>
      <c r="N45" s="30"/>
      <c r="O45" s="30"/>
      <c r="P45" s="30"/>
      <c r="Q45" s="30"/>
      <c r="R45" s="30"/>
      <c r="S45" s="30"/>
      <c r="T45" s="30"/>
      <c r="U45" s="30"/>
      <c r="V45" s="31"/>
    </row>
    <row r="46" spans="1:22">
      <c r="A46" s="1" t="s">
        <v>67</v>
      </c>
      <c r="B46" s="29">
        <v>0</v>
      </c>
      <c r="C46" s="30">
        <v>0</v>
      </c>
      <c r="D46" s="30">
        <v>0</v>
      </c>
      <c r="E46" s="30">
        <v>0</v>
      </c>
      <c r="F46" s="30">
        <v>0</v>
      </c>
      <c r="G46" s="31">
        <f>SUM(RI_FINANCIAL)</f>
        <v>0</v>
      </c>
      <c r="H46" s="30"/>
      <c r="I46" s="30"/>
      <c r="J46" s="30"/>
      <c r="K46" s="30"/>
      <c r="L46" s="29"/>
      <c r="M46" s="30"/>
      <c r="N46" s="30"/>
      <c r="O46" s="30"/>
      <c r="P46" s="30"/>
      <c r="Q46" s="30"/>
      <c r="R46" s="30"/>
      <c r="S46" s="30"/>
      <c r="T46" s="30"/>
      <c r="U46" s="30"/>
      <c r="V46" s="31"/>
    </row>
    <row r="47" spans="1:22">
      <c r="A47" s="1" t="s">
        <v>68</v>
      </c>
      <c r="B47" s="29">
        <v>0</v>
      </c>
      <c r="C47" s="30">
        <v>0</v>
      </c>
      <c r="D47" s="30">
        <v>0</v>
      </c>
      <c r="E47" s="30">
        <v>0</v>
      </c>
      <c r="F47" s="30">
        <v>0</v>
      </c>
      <c r="G47" s="31">
        <f>SUM(SC_FINANCIAL)</f>
        <v>0</v>
      </c>
      <c r="H47" s="30"/>
      <c r="I47" s="30"/>
      <c r="J47" s="30"/>
      <c r="K47" s="30"/>
      <c r="L47" s="29"/>
      <c r="M47" s="30"/>
      <c r="N47" s="30"/>
      <c r="O47" s="30"/>
      <c r="P47" s="30"/>
      <c r="Q47" s="30"/>
      <c r="R47" s="30"/>
      <c r="S47" s="30"/>
      <c r="T47" s="30"/>
      <c r="U47" s="30"/>
      <c r="V47" s="31"/>
    </row>
    <row r="48" spans="1:22">
      <c r="A48" s="1" t="s">
        <v>69</v>
      </c>
      <c r="B48" s="29">
        <v>0</v>
      </c>
      <c r="C48" s="30">
        <v>1121802.9466913943</v>
      </c>
      <c r="D48" s="30">
        <v>0</v>
      </c>
      <c r="E48" s="30">
        <v>0</v>
      </c>
      <c r="F48" s="30">
        <v>0</v>
      </c>
      <c r="G48" s="31">
        <f>SUM(SD_FINANCIAL)</f>
        <v>1121802.9466913943</v>
      </c>
      <c r="H48" s="30"/>
      <c r="I48" s="30"/>
      <c r="J48" s="30"/>
      <c r="K48" s="30"/>
      <c r="L48" s="29">
        <v>200000</v>
      </c>
      <c r="M48" s="30">
        <v>0</v>
      </c>
      <c r="N48" s="30"/>
      <c r="O48" s="30">
        <v>2109508</v>
      </c>
      <c r="P48" s="30">
        <v>403631</v>
      </c>
      <c r="Q48" s="30"/>
      <c r="R48" s="30">
        <v>100000</v>
      </c>
      <c r="S48" s="30">
        <v>0</v>
      </c>
      <c r="T48" s="30"/>
      <c r="U48" s="30">
        <v>0</v>
      </c>
      <c r="V48" s="31">
        <v>0</v>
      </c>
    </row>
    <row r="49" spans="1:22">
      <c r="A49" s="1" t="s">
        <v>70</v>
      </c>
      <c r="B49" s="29">
        <v>3868.3358401074493</v>
      </c>
      <c r="C49" s="30">
        <v>341218.80240381334</v>
      </c>
      <c r="D49" s="30">
        <v>0</v>
      </c>
      <c r="E49" s="30">
        <v>0</v>
      </c>
      <c r="F49" s="30">
        <v>0</v>
      </c>
      <c r="G49" s="31">
        <f>SUM(TN_FINANCIAL)</f>
        <v>345087.13824392081</v>
      </c>
      <c r="H49" s="30"/>
      <c r="I49" s="30"/>
      <c r="J49" s="30"/>
      <c r="K49" s="30"/>
      <c r="L49" s="29">
        <v>25000</v>
      </c>
      <c r="M49" s="30">
        <v>0</v>
      </c>
      <c r="N49" s="30"/>
      <c r="O49" s="30">
        <v>275000</v>
      </c>
      <c r="P49" s="30">
        <v>0</v>
      </c>
      <c r="Q49" s="30"/>
      <c r="R49" s="30">
        <v>165000</v>
      </c>
      <c r="S49" s="30">
        <v>0</v>
      </c>
      <c r="T49" s="30"/>
      <c r="U49" s="30">
        <v>0</v>
      </c>
      <c r="V49" s="31">
        <v>0</v>
      </c>
    </row>
    <row r="50" spans="1:22">
      <c r="A50" s="1" t="s">
        <v>71</v>
      </c>
      <c r="B50" s="29">
        <v>0</v>
      </c>
      <c r="C50" s="30">
        <v>0</v>
      </c>
      <c r="D50" s="30">
        <v>0</v>
      </c>
      <c r="E50" s="30">
        <v>0</v>
      </c>
      <c r="F50" s="30">
        <v>0</v>
      </c>
      <c r="G50" s="31">
        <f>SUM(TX_FINANCIAL)</f>
        <v>0</v>
      </c>
      <c r="H50" s="30"/>
      <c r="I50" s="30"/>
      <c r="J50" s="30"/>
      <c r="K50" s="30"/>
      <c r="L50" s="29">
        <v>7602</v>
      </c>
      <c r="M50" s="30">
        <v>0</v>
      </c>
      <c r="N50" s="30"/>
      <c r="O50" s="30">
        <v>21182</v>
      </c>
      <c r="P50" s="30">
        <v>0</v>
      </c>
      <c r="Q50" s="30"/>
      <c r="R50" s="30">
        <v>1053560</v>
      </c>
      <c r="S50" s="30">
        <v>0</v>
      </c>
      <c r="T50" s="30"/>
      <c r="U50" s="30">
        <v>0</v>
      </c>
      <c r="V50" s="31">
        <v>0</v>
      </c>
    </row>
    <row r="51" spans="1:22">
      <c r="A51" s="1" t="s">
        <v>72</v>
      </c>
      <c r="B51" s="29">
        <v>0</v>
      </c>
      <c r="C51" s="30">
        <v>116080.26193980532</v>
      </c>
      <c r="D51" s="30">
        <v>0</v>
      </c>
      <c r="E51" s="30">
        <v>0</v>
      </c>
      <c r="F51" s="30">
        <v>0</v>
      </c>
      <c r="G51" s="31">
        <f>SUM(UT_FINANCIAL)</f>
        <v>116080.26193980532</v>
      </c>
      <c r="H51" s="30"/>
      <c r="I51" s="30"/>
      <c r="J51" s="30"/>
      <c r="K51" s="30"/>
      <c r="L51" s="29">
        <v>10000</v>
      </c>
      <c r="M51" s="30">
        <v>0</v>
      </c>
      <c r="N51" s="30"/>
      <c r="O51" s="30">
        <v>140000</v>
      </c>
      <c r="P51" s="30">
        <v>0</v>
      </c>
      <c r="Q51" s="30"/>
      <c r="R51" s="30">
        <v>89700</v>
      </c>
      <c r="S51" s="30">
        <v>0</v>
      </c>
      <c r="T51" s="30"/>
      <c r="U51" s="30">
        <v>0</v>
      </c>
      <c r="V51" s="31">
        <v>0</v>
      </c>
    </row>
    <row r="52" spans="1:22">
      <c r="A52" s="1" t="s">
        <v>73</v>
      </c>
      <c r="B52" s="29">
        <v>0</v>
      </c>
      <c r="C52" s="30">
        <v>0</v>
      </c>
      <c r="D52" s="30">
        <v>0</v>
      </c>
      <c r="E52" s="30">
        <v>0</v>
      </c>
      <c r="F52" s="30">
        <v>0</v>
      </c>
      <c r="G52" s="31">
        <f>SUM(VT_FINANCIAL)</f>
        <v>0</v>
      </c>
      <c r="H52" s="30"/>
      <c r="I52" s="30"/>
      <c r="J52" s="30"/>
      <c r="K52" s="30"/>
      <c r="L52" s="29"/>
      <c r="M52" s="30"/>
      <c r="N52" s="30"/>
      <c r="O52" s="30"/>
      <c r="P52" s="30"/>
      <c r="Q52" s="30"/>
      <c r="R52" s="30"/>
      <c r="S52" s="30"/>
      <c r="T52" s="30"/>
      <c r="U52" s="30"/>
      <c r="V52" s="31"/>
    </row>
    <row r="53" spans="1:22">
      <c r="A53" s="1" t="s">
        <v>74</v>
      </c>
      <c r="B53" s="29">
        <v>0</v>
      </c>
      <c r="C53" s="30">
        <v>0</v>
      </c>
      <c r="D53" s="30">
        <v>0</v>
      </c>
      <c r="E53" s="30">
        <v>0</v>
      </c>
      <c r="F53" s="30">
        <v>0</v>
      </c>
      <c r="G53" s="31">
        <f>SUM(VA_FINANCIAL)</f>
        <v>0</v>
      </c>
      <c r="H53" s="30"/>
      <c r="I53" s="30"/>
      <c r="J53" s="30"/>
      <c r="K53" s="30"/>
      <c r="L53" s="29"/>
      <c r="M53" s="30"/>
      <c r="N53" s="30"/>
      <c r="O53" s="30"/>
      <c r="P53" s="30"/>
      <c r="Q53" s="30"/>
      <c r="R53" s="30"/>
      <c r="S53" s="30"/>
      <c r="T53" s="30"/>
      <c r="U53" s="30"/>
      <c r="V53" s="31"/>
    </row>
    <row r="54" spans="1:22">
      <c r="A54" s="1" t="s">
        <v>75</v>
      </c>
      <c r="B54" s="29">
        <v>0</v>
      </c>
      <c r="C54" s="30">
        <v>853142.97649835283</v>
      </c>
      <c r="D54" s="30">
        <v>0</v>
      </c>
      <c r="E54" s="30">
        <v>0</v>
      </c>
      <c r="F54" s="30">
        <v>0</v>
      </c>
      <c r="G54" s="31">
        <f>SUM(WA_FINANCIAL)</f>
        <v>853142.97649835283</v>
      </c>
      <c r="H54" s="30"/>
      <c r="I54" s="30"/>
      <c r="J54" s="30"/>
      <c r="K54" s="30"/>
      <c r="L54" s="29">
        <v>0</v>
      </c>
      <c r="M54" s="30">
        <v>0</v>
      </c>
      <c r="N54" s="30"/>
      <c r="O54" s="30">
        <v>2000000</v>
      </c>
      <c r="P54" s="30">
        <v>0</v>
      </c>
      <c r="Q54" s="30"/>
      <c r="R54" s="30">
        <v>0</v>
      </c>
      <c r="S54" s="30">
        <v>0</v>
      </c>
      <c r="T54" s="30"/>
      <c r="U54" s="30">
        <v>0</v>
      </c>
      <c r="V54" s="31">
        <v>0</v>
      </c>
    </row>
    <row r="55" spans="1:22">
      <c r="A55" s="1" t="s">
        <v>76</v>
      </c>
      <c r="B55" s="29">
        <v>0</v>
      </c>
      <c r="C55" s="30">
        <v>0</v>
      </c>
      <c r="D55" s="30">
        <v>0</v>
      </c>
      <c r="E55" s="30">
        <v>0</v>
      </c>
      <c r="F55" s="30">
        <v>0</v>
      </c>
      <c r="G55" s="31">
        <f>SUM(WV_FINANCIAL)</f>
        <v>0</v>
      </c>
      <c r="H55" s="30"/>
      <c r="I55" s="30"/>
      <c r="J55" s="30"/>
      <c r="K55" s="30"/>
      <c r="L55" s="29"/>
      <c r="M55" s="30"/>
      <c r="N55" s="30"/>
      <c r="O55" s="30"/>
      <c r="P55" s="30"/>
      <c r="Q55" s="30"/>
      <c r="R55" s="30"/>
      <c r="S55" s="30"/>
      <c r="T55" s="30"/>
      <c r="U55" s="30"/>
      <c r="V55" s="31"/>
    </row>
    <row r="56" spans="1:22">
      <c r="A56" s="1" t="s">
        <v>77</v>
      </c>
      <c r="B56" s="29">
        <v>0</v>
      </c>
      <c r="C56" s="30">
        <v>0</v>
      </c>
      <c r="D56" s="30">
        <v>0</v>
      </c>
      <c r="E56" s="30">
        <v>0</v>
      </c>
      <c r="F56" s="30">
        <v>0</v>
      </c>
      <c r="G56" s="31">
        <f>SUM(WI_FINANCIAL)</f>
        <v>0</v>
      </c>
      <c r="H56" s="30"/>
      <c r="I56" s="30"/>
      <c r="J56" s="30"/>
      <c r="K56" s="30"/>
      <c r="L56" s="29"/>
      <c r="M56" s="30"/>
      <c r="N56" s="30"/>
      <c r="O56" s="30"/>
      <c r="P56" s="30"/>
      <c r="Q56" s="30"/>
      <c r="R56" s="30"/>
      <c r="S56" s="30"/>
      <c r="T56" s="30"/>
      <c r="U56" s="30"/>
      <c r="V56" s="31"/>
    </row>
    <row r="57" spans="1:22">
      <c r="A57" s="1" t="s">
        <v>78</v>
      </c>
      <c r="B57" s="29">
        <v>0</v>
      </c>
      <c r="C57" s="30">
        <v>1422147.45162501</v>
      </c>
      <c r="D57" s="30">
        <v>0</v>
      </c>
      <c r="E57" s="30">
        <v>0</v>
      </c>
      <c r="F57" s="30">
        <v>0</v>
      </c>
      <c r="G57" s="31">
        <f>SUM(WY_FINANCIAL)</f>
        <v>1422147.45162501</v>
      </c>
      <c r="H57" s="30"/>
      <c r="I57" s="30"/>
      <c r="J57" s="30"/>
      <c r="K57" s="30"/>
      <c r="L57" s="29">
        <v>0</v>
      </c>
      <c r="M57" s="30">
        <v>0</v>
      </c>
      <c r="N57" s="30"/>
      <c r="O57" s="30">
        <v>2300000</v>
      </c>
      <c r="P57" s="30">
        <v>2337876</v>
      </c>
      <c r="Q57" s="30"/>
      <c r="R57" s="30">
        <v>0</v>
      </c>
      <c r="S57" s="30">
        <v>0</v>
      </c>
      <c r="T57" s="30"/>
      <c r="U57" s="30">
        <v>0</v>
      </c>
      <c r="V57" s="31">
        <v>0</v>
      </c>
    </row>
    <row r="58" spans="1:22">
      <c r="A58" s="1" t="s">
        <v>79</v>
      </c>
      <c r="B58" s="29">
        <v>0</v>
      </c>
      <c r="C58" s="30">
        <v>0</v>
      </c>
      <c r="D58" s="30">
        <v>0</v>
      </c>
      <c r="E58" s="30">
        <v>0</v>
      </c>
      <c r="F58" s="30">
        <v>0</v>
      </c>
      <c r="G58" s="31">
        <f>SUM(OT_FINANCIAL)</f>
        <v>0</v>
      </c>
      <c r="H58" s="30"/>
      <c r="I58" s="30"/>
      <c r="J58" s="30"/>
      <c r="K58" s="30"/>
      <c r="L58" s="29"/>
      <c r="M58" s="30"/>
      <c r="N58" s="30"/>
      <c r="O58" s="30"/>
      <c r="P58" s="30"/>
      <c r="Q58" s="30"/>
      <c r="R58" s="30"/>
      <c r="S58" s="30"/>
      <c r="T58" s="30"/>
      <c r="U58" s="30"/>
      <c r="V58" s="31"/>
    </row>
    <row r="59" spans="1:22">
      <c r="B59" s="29"/>
      <c r="C59" s="30"/>
      <c r="D59" s="30"/>
      <c r="E59" s="30"/>
      <c r="F59" s="30"/>
      <c r="G59" s="31"/>
      <c r="H59" s="30"/>
      <c r="I59" s="30"/>
      <c r="J59" s="30"/>
      <c r="K59" s="30"/>
      <c r="L59" s="29"/>
      <c r="M59" s="30"/>
      <c r="N59" s="30"/>
      <c r="O59" s="30"/>
      <c r="P59" s="30"/>
      <c r="Q59" s="30"/>
      <c r="R59" s="30"/>
      <c r="S59" s="30"/>
      <c r="T59" s="30"/>
      <c r="U59" s="30"/>
      <c r="V59" s="31"/>
    </row>
    <row r="60" spans="1:22">
      <c r="A60" s="1" t="s">
        <v>8</v>
      </c>
      <c r="B60" s="29">
        <f>SUM(LIFE)</f>
        <v>886028.97456892044</v>
      </c>
      <c r="C60" s="30">
        <f>SUM(ALLOCATED)</f>
        <v>32048671.496619485</v>
      </c>
      <c r="D60" s="30">
        <f>SUM(HEALTH)</f>
        <v>82009.568811594945</v>
      </c>
      <c r="E60" s="30">
        <f>SUM(UNALLOCATED)</f>
        <v>0</v>
      </c>
      <c r="F60" s="30">
        <f>SUM(LTC)</f>
        <v>0</v>
      </c>
      <c r="G60" s="31">
        <f>SUM(ALL_BLOCKS)</f>
        <v>33016710.039999999</v>
      </c>
      <c r="H60" s="30"/>
      <c r="I60" s="30"/>
      <c r="J60" s="30"/>
      <c r="K60" s="30"/>
      <c r="L60" s="29">
        <f>SUM(LIFE_CALLED)</f>
        <v>3798558</v>
      </c>
      <c r="M60" s="30">
        <f>SUM(LIFE_REFUNDED)</f>
        <v>1244000</v>
      </c>
      <c r="N60" s="30"/>
      <c r="O60" s="30">
        <f>SUM(ALLOC_CALLED)</f>
        <v>75236595</v>
      </c>
      <c r="P60" s="30">
        <f>SUM(ALLOC_REFUNDED)</f>
        <v>12991485</v>
      </c>
      <c r="Q60" s="30"/>
      <c r="R60" s="30">
        <f>SUM(HEALTH_CALLED)</f>
        <v>4535768</v>
      </c>
      <c r="S60" s="30">
        <f>SUM(HEALTH_REFUNDED)</f>
        <v>725908</v>
      </c>
      <c r="T60" s="30"/>
      <c r="U60" s="30">
        <f>SUM(UNALLOC_CALLED)</f>
        <v>0</v>
      </c>
      <c r="V60" s="31">
        <f>SUM(UNALLOC_REFUNDED)</f>
        <v>0</v>
      </c>
    </row>
    <row r="61" spans="1:22" ht="5.0999999999999996" customHeight="1">
      <c r="B61" s="8"/>
      <c r="G61" s="11"/>
      <c r="L61" s="8"/>
      <c r="V61" s="11"/>
    </row>
    <row r="62" spans="1:22">
      <c r="B62" s="8"/>
      <c r="G62" s="11"/>
      <c r="L62" s="122" t="s">
        <v>80</v>
      </c>
      <c r="M62" s="123"/>
      <c r="N62" s="123"/>
      <c r="O62" s="123"/>
      <c r="P62" s="123"/>
      <c r="Q62" s="123"/>
      <c r="R62" s="123"/>
      <c r="S62" s="123"/>
      <c r="T62" s="123"/>
      <c r="U62" s="123"/>
      <c r="V62" s="124"/>
    </row>
    <row r="63" spans="1:22">
      <c r="B63" s="8"/>
      <c r="G63" s="11"/>
      <c r="L63" s="125"/>
      <c r="M63" s="123"/>
      <c r="N63" s="123"/>
      <c r="O63" s="123"/>
      <c r="P63" s="123"/>
      <c r="Q63" s="123"/>
      <c r="R63" s="123"/>
      <c r="S63" s="123"/>
      <c r="T63" s="123"/>
      <c r="U63" s="123"/>
      <c r="V63" s="124"/>
    </row>
    <row r="64" spans="1:22">
      <c r="B64" s="10"/>
      <c r="C64" s="7"/>
      <c r="D64" s="7"/>
      <c r="E64" s="7"/>
      <c r="F64" s="7"/>
      <c r="G64" s="13"/>
      <c r="L64" s="126"/>
      <c r="M64" s="127"/>
      <c r="N64" s="127"/>
      <c r="O64" s="127"/>
      <c r="P64" s="127"/>
      <c r="Q64" s="127"/>
      <c r="R64" s="127"/>
      <c r="S64" s="127"/>
      <c r="T64" s="127"/>
      <c r="U64" s="127"/>
      <c r="V64" s="128"/>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A1:V64"/>
  <sheetViews>
    <sheetView zoomScale="75" workbookViewId="0">
      <selection sqref="A1:XFD1048576"/>
    </sheetView>
  </sheetViews>
  <sheetFormatPr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129" t="s">
        <v>141</v>
      </c>
      <c r="B1" s="123"/>
      <c r="C1" s="123"/>
      <c r="D1" s="123"/>
      <c r="E1" s="123"/>
      <c r="F1" s="123"/>
      <c r="G1" s="123"/>
    </row>
    <row r="3" spans="1:22">
      <c r="B3" s="130" t="s">
        <v>1</v>
      </c>
      <c r="C3" s="131"/>
      <c r="D3" s="131"/>
      <c r="E3" s="131"/>
      <c r="F3" s="131"/>
      <c r="G3" s="132"/>
      <c r="L3" s="133" t="s">
        <v>2</v>
      </c>
      <c r="M3" s="134"/>
      <c r="N3" s="134"/>
      <c r="O3" s="134"/>
      <c r="P3" s="134"/>
      <c r="Q3" s="134"/>
      <c r="R3" s="134"/>
      <c r="S3" s="134"/>
      <c r="T3" s="134"/>
      <c r="U3" s="134"/>
      <c r="V3" s="135"/>
    </row>
    <row r="4" spans="1:22">
      <c r="B4" s="8"/>
      <c r="G4" s="11"/>
      <c r="L4" s="136" t="s">
        <v>3</v>
      </c>
      <c r="M4" s="137"/>
      <c r="N4" s="4"/>
      <c r="O4" s="138" t="s">
        <v>4</v>
      </c>
      <c r="P4" s="137"/>
      <c r="Q4" s="4"/>
      <c r="R4" s="138" t="s">
        <v>5</v>
      </c>
      <c r="S4" s="137"/>
      <c r="T4" s="4"/>
      <c r="U4" s="138" t="s">
        <v>6</v>
      </c>
      <c r="V4" s="139"/>
    </row>
    <row r="5" spans="1:22" ht="60" customHeight="1">
      <c r="B5" s="9" t="s">
        <v>3</v>
      </c>
      <c r="C5" s="5" t="s">
        <v>4</v>
      </c>
      <c r="D5" s="5" t="s">
        <v>5</v>
      </c>
      <c r="E5" s="5" t="s">
        <v>6</v>
      </c>
      <c r="F5" s="5" t="s">
        <v>7</v>
      </c>
      <c r="G5" s="12" t="s">
        <v>8</v>
      </c>
      <c r="L5" s="15" t="s">
        <v>9</v>
      </c>
      <c r="M5" s="14" t="s">
        <v>10</v>
      </c>
      <c r="N5" s="14"/>
      <c r="O5" s="14" t="s">
        <v>9</v>
      </c>
      <c r="P5" s="14" t="s">
        <v>10</v>
      </c>
      <c r="Q5" s="14"/>
      <c r="R5" s="14" t="s">
        <v>9</v>
      </c>
      <c r="S5" s="14" t="s">
        <v>10</v>
      </c>
      <c r="T5" s="14"/>
      <c r="U5" s="14" t="s">
        <v>9</v>
      </c>
      <c r="V5" s="16" t="s">
        <v>10</v>
      </c>
    </row>
    <row r="6" spans="1:22">
      <c r="A6" s="1" t="s">
        <v>11</v>
      </c>
      <c r="B6" s="29">
        <v>716.85757678409254</v>
      </c>
      <c r="C6" s="30">
        <v>712.41637412866589</v>
      </c>
      <c r="D6" s="30">
        <v>278.153237583595</v>
      </c>
      <c r="E6" s="30">
        <v>0</v>
      </c>
      <c r="F6" s="30">
        <v>0</v>
      </c>
      <c r="G6" s="31">
        <f>SUM(AL_FINANCIAL)</f>
        <v>1707.4271884963534</v>
      </c>
      <c r="H6" s="30"/>
      <c r="I6" s="30"/>
      <c r="J6" s="30"/>
      <c r="K6" s="30"/>
      <c r="L6" s="29"/>
      <c r="M6" s="30"/>
      <c r="N6" s="30"/>
      <c r="O6" s="30"/>
      <c r="P6" s="30"/>
      <c r="Q6" s="30"/>
      <c r="R6" s="30"/>
      <c r="S6" s="30"/>
      <c r="T6" s="30"/>
      <c r="U6" s="30"/>
      <c r="V6" s="31"/>
    </row>
    <row r="7" spans="1:22">
      <c r="A7" s="1" t="s">
        <v>12</v>
      </c>
      <c r="B7" s="29">
        <v>614.19234833766143</v>
      </c>
      <c r="C7" s="30">
        <v>2.6652368420856729</v>
      </c>
      <c r="D7" s="30">
        <v>76.815677703275156</v>
      </c>
      <c r="E7" s="30">
        <v>0</v>
      </c>
      <c r="F7" s="30">
        <v>0</v>
      </c>
      <c r="G7" s="31">
        <f>SUM(AK_FINANCIAL)</f>
        <v>693.67326288302218</v>
      </c>
      <c r="H7" s="30"/>
      <c r="I7" s="32"/>
      <c r="J7" s="33"/>
      <c r="K7" s="30"/>
      <c r="L7" s="29">
        <v>250</v>
      </c>
      <c r="M7" s="30">
        <v>490</v>
      </c>
      <c r="N7" s="30"/>
      <c r="O7" s="30">
        <v>0</v>
      </c>
      <c r="P7" s="30">
        <v>0</v>
      </c>
      <c r="Q7" s="30"/>
      <c r="R7" s="30">
        <v>0</v>
      </c>
      <c r="S7" s="30">
        <v>0</v>
      </c>
      <c r="T7" s="30"/>
      <c r="U7" s="30">
        <v>0</v>
      </c>
      <c r="V7" s="31">
        <v>0</v>
      </c>
    </row>
    <row r="8" spans="1:22">
      <c r="A8" s="1" t="s">
        <v>13</v>
      </c>
      <c r="B8" s="29">
        <v>4518.7443822261394</v>
      </c>
      <c r="C8" s="30">
        <v>2000.3773726108168</v>
      </c>
      <c r="D8" s="30">
        <v>2079.4538195001646</v>
      </c>
      <c r="E8" s="30">
        <v>0</v>
      </c>
      <c r="F8" s="30">
        <v>0</v>
      </c>
      <c r="G8" s="31">
        <f>SUM(AZ_FINANCIAL)</f>
        <v>8598.575574337121</v>
      </c>
      <c r="H8" s="30"/>
      <c r="I8" s="34" t="s">
        <v>14</v>
      </c>
      <c r="J8" s="35"/>
      <c r="K8" s="30"/>
      <c r="L8" s="29"/>
      <c r="M8" s="30"/>
      <c r="N8" s="30"/>
      <c r="O8" s="30"/>
      <c r="P8" s="30"/>
      <c r="Q8" s="30"/>
      <c r="R8" s="30"/>
      <c r="S8" s="30"/>
      <c r="T8" s="30"/>
      <c r="U8" s="30"/>
      <c r="V8" s="31"/>
    </row>
    <row r="9" spans="1:22">
      <c r="A9" s="1" t="s">
        <v>15</v>
      </c>
      <c r="B9" s="29">
        <v>829.13334191259196</v>
      </c>
      <c r="C9" s="30">
        <v>314.78659604115273</v>
      </c>
      <c r="D9" s="30">
        <v>400.98951466715789</v>
      </c>
      <c r="E9" s="30">
        <v>0</v>
      </c>
      <c r="F9" s="30">
        <v>0</v>
      </c>
      <c r="G9" s="31">
        <f>SUM(AR_FINANCIAL)</f>
        <v>1544.9094526209026</v>
      </c>
      <c r="H9" s="30"/>
      <c r="I9" s="34"/>
      <c r="J9" s="35"/>
      <c r="K9" s="30"/>
      <c r="L9" s="29">
        <v>3367</v>
      </c>
      <c r="M9" s="30">
        <v>0</v>
      </c>
      <c r="N9" s="30"/>
      <c r="O9" s="30">
        <v>0</v>
      </c>
      <c r="P9" s="30">
        <v>0</v>
      </c>
      <c r="Q9" s="30"/>
      <c r="R9" s="30">
        <v>0</v>
      </c>
      <c r="S9" s="30">
        <v>0</v>
      </c>
      <c r="T9" s="30"/>
      <c r="U9" s="30">
        <v>0</v>
      </c>
      <c r="V9" s="31">
        <v>0</v>
      </c>
    </row>
    <row r="10" spans="1:22">
      <c r="A10" s="1" t="s">
        <v>16</v>
      </c>
      <c r="B10" s="29">
        <v>23883.763473535946</v>
      </c>
      <c r="C10" s="30">
        <v>4014.352235427657</v>
      </c>
      <c r="D10" s="30">
        <v>23026.420442887309</v>
      </c>
      <c r="E10" s="30">
        <v>0</v>
      </c>
      <c r="F10" s="30">
        <v>0</v>
      </c>
      <c r="G10" s="31">
        <f>SUM(CA_FINANCIAL)</f>
        <v>50924.536151850916</v>
      </c>
      <c r="H10" s="30"/>
      <c r="I10" s="34" t="s">
        <v>17</v>
      </c>
      <c r="J10" s="35">
        <v>789601673</v>
      </c>
      <c r="K10" s="30"/>
      <c r="L10" s="29"/>
      <c r="M10" s="30"/>
      <c r="N10" s="30"/>
      <c r="O10" s="30"/>
      <c r="P10" s="30"/>
      <c r="Q10" s="30"/>
      <c r="R10" s="30"/>
      <c r="S10" s="30"/>
      <c r="T10" s="30"/>
      <c r="U10" s="30"/>
      <c r="V10" s="31"/>
    </row>
    <row r="11" spans="1:22">
      <c r="A11" s="1" t="s">
        <v>18</v>
      </c>
      <c r="B11" s="29">
        <v>4521.9305862352239</v>
      </c>
      <c r="C11" s="30">
        <v>1090.1352740976226</v>
      </c>
      <c r="D11" s="30">
        <v>2622.826731892746</v>
      </c>
      <c r="E11" s="30">
        <v>0</v>
      </c>
      <c r="F11" s="30">
        <v>0</v>
      </c>
      <c r="G11" s="31">
        <f>SUM(CO_FINANCIAL)</f>
        <v>8234.892592225593</v>
      </c>
      <c r="H11" s="30"/>
      <c r="I11" s="34"/>
      <c r="J11" s="35"/>
      <c r="K11" s="30"/>
      <c r="L11" s="29"/>
      <c r="M11" s="30"/>
      <c r="N11" s="30"/>
      <c r="O11" s="30"/>
      <c r="P11" s="30"/>
      <c r="Q11" s="30"/>
      <c r="R11" s="30"/>
      <c r="S11" s="30"/>
      <c r="T11" s="30"/>
      <c r="U11" s="30"/>
      <c r="V11" s="31"/>
    </row>
    <row r="12" spans="1:22">
      <c r="A12" s="1" t="s">
        <v>19</v>
      </c>
      <c r="B12" s="29">
        <v>5583.9690469360812</v>
      </c>
      <c r="C12" s="30">
        <v>1580.1623546498879</v>
      </c>
      <c r="D12" s="30">
        <v>6715.2796268991888</v>
      </c>
      <c r="E12" s="30">
        <v>0</v>
      </c>
      <c r="F12" s="30">
        <v>0</v>
      </c>
      <c r="G12" s="31">
        <f>SUM(CT_FINANCIAL)</f>
        <v>13879.411028485158</v>
      </c>
      <c r="H12" s="30"/>
      <c r="I12" s="34" t="s">
        <v>20</v>
      </c>
      <c r="J12" s="35"/>
      <c r="K12" s="30"/>
      <c r="L12" s="29"/>
      <c r="M12" s="30"/>
      <c r="N12" s="30"/>
      <c r="O12" s="30"/>
      <c r="P12" s="30"/>
      <c r="Q12" s="30"/>
      <c r="R12" s="30"/>
      <c r="S12" s="30"/>
      <c r="T12" s="30"/>
      <c r="U12" s="30"/>
      <c r="V12" s="31"/>
    </row>
    <row r="13" spans="1:22">
      <c r="A13" s="1" t="s">
        <v>21</v>
      </c>
      <c r="B13" s="29">
        <v>383.91796300817265</v>
      </c>
      <c r="C13" s="30">
        <v>153.75012122624136</v>
      </c>
      <c r="D13" s="30">
        <v>337.35118880231272</v>
      </c>
      <c r="E13" s="30">
        <v>0</v>
      </c>
      <c r="F13" s="30">
        <v>0</v>
      </c>
      <c r="G13" s="31">
        <f>SUM(DE_FINANCIAL)</f>
        <v>875.01927303672664</v>
      </c>
      <c r="H13" s="30"/>
      <c r="I13" s="34" t="s">
        <v>22</v>
      </c>
      <c r="J13" s="35">
        <v>0</v>
      </c>
      <c r="K13" s="30"/>
      <c r="L13" s="29"/>
      <c r="M13" s="30"/>
      <c r="N13" s="30"/>
      <c r="O13" s="30"/>
      <c r="P13" s="30"/>
      <c r="Q13" s="30"/>
      <c r="R13" s="30"/>
      <c r="S13" s="30"/>
      <c r="T13" s="30"/>
      <c r="U13" s="30"/>
      <c r="V13" s="31"/>
    </row>
    <row r="14" spans="1:22">
      <c r="A14" s="1" t="s">
        <v>23</v>
      </c>
      <c r="B14" s="29">
        <v>671.32080736114619</v>
      </c>
      <c r="C14" s="30">
        <v>146.81545525405431</v>
      </c>
      <c r="D14" s="30">
        <v>543.44525624376058</v>
      </c>
      <c r="E14" s="30">
        <v>0</v>
      </c>
      <c r="F14" s="30">
        <v>0</v>
      </c>
      <c r="G14" s="31">
        <f>SUM(DC_FINANCIAL)</f>
        <v>1361.5815188589611</v>
      </c>
      <c r="H14" s="30"/>
      <c r="I14" s="34" t="s">
        <v>24</v>
      </c>
      <c r="J14" s="35">
        <v>0</v>
      </c>
      <c r="K14" s="30"/>
      <c r="L14" s="29"/>
      <c r="M14" s="30"/>
      <c r="N14" s="30"/>
      <c r="O14" s="30"/>
      <c r="P14" s="30"/>
      <c r="Q14" s="30"/>
      <c r="R14" s="30"/>
      <c r="S14" s="30"/>
      <c r="T14" s="30"/>
      <c r="U14" s="30"/>
      <c r="V14" s="31"/>
    </row>
    <row r="15" spans="1:22">
      <c r="A15" s="1" t="s">
        <v>25</v>
      </c>
      <c r="B15" s="29">
        <v>14566.853465609074</v>
      </c>
      <c r="C15" s="30">
        <v>5962.8901926315448</v>
      </c>
      <c r="D15" s="30">
        <v>9471.6249614500994</v>
      </c>
      <c r="E15" s="30">
        <v>0</v>
      </c>
      <c r="F15" s="30">
        <v>0</v>
      </c>
      <c r="G15" s="31">
        <f>SUM(FL_FINANCIAL)</f>
        <v>30001.368619690718</v>
      </c>
      <c r="H15" s="30"/>
      <c r="I15" s="34" t="s">
        <v>26</v>
      </c>
      <c r="J15" s="35">
        <v>510037.13999999984</v>
      </c>
      <c r="K15" s="30"/>
      <c r="L15" s="29"/>
      <c r="M15" s="30"/>
      <c r="N15" s="30"/>
      <c r="O15" s="30"/>
      <c r="P15" s="30"/>
      <c r="Q15" s="30"/>
      <c r="R15" s="30"/>
      <c r="S15" s="30"/>
      <c r="T15" s="30"/>
      <c r="U15" s="30"/>
      <c r="V15" s="31"/>
    </row>
    <row r="16" spans="1:22">
      <c r="A16" s="1" t="s">
        <v>27</v>
      </c>
      <c r="B16" s="29">
        <v>1895.6418554509248</v>
      </c>
      <c r="C16" s="30">
        <v>1776.5641991231032</v>
      </c>
      <c r="D16" s="30">
        <v>1307.3770111219535</v>
      </c>
      <c r="E16" s="30">
        <v>0</v>
      </c>
      <c r="F16" s="30">
        <v>0</v>
      </c>
      <c r="G16" s="31">
        <f>SUM(GA_FINANCIAL)</f>
        <v>4979.5830656959815</v>
      </c>
      <c r="H16" s="30"/>
      <c r="I16" s="34" t="s">
        <v>28</v>
      </c>
      <c r="J16" s="35">
        <v>0</v>
      </c>
      <c r="K16" s="30"/>
      <c r="L16" s="29"/>
      <c r="M16" s="30"/>
      <c r="N16" s="30"/>
      <c r="O16" s="30"/>
      <c r="P16" s="30"/>
      <c r="Q16" s="30"/>
      <c r="R16" s="30"/>
      <c r="S16" s="30"/>
      <c r="T16" s="30"/>
      <c r="U16" s="30"/>
      <c r="V16" s="31"/>
    </row>
    <row r="17" spans="1:22">
      <c r="A17" s="1" t="s">
        <v>29</v>
      </c>
      <c r="B17" s="29">
        <v>1388.6676065905997</v>
      </c>
      <c r="C17" s="30">
        <v>209.24930700136284</v>
      </c>
      <c r="D17" s="30">
        <v>220.49799696567447</v>
      </c>
      <c r="E17" s="30">
        <v>0</v>
      </c>
      <c r="F17" s="30">
        <v>0</v>
      </c>
      <c r="G17" s="31">
        <f>SUM(HI_FINANCIAL)</f>
        <v>1818.4149105576371</v>
      </c>
      <c r="H17" s="30"/>
      <c r="I17" s="34"/>
      <c r="J17" s="35"/>
      <c r="K17" s="30"/>
      <c r="L17" s="29">
        <v>1521</v>
      </c>
      <c r="M17" s="30">
        <v>0</v>
      </c>
      <c r="N17" s="30"/>
      <c r="O17" s="30">
        <v>228</v>
      </c>
      <c r="P17" s="30">
        <v>0</v>
      </c>
      <c r="Q17" s="30"/>
      <c r="R17" s="30">
        <v>304</v>
      </c>
      <c r="S17" s="30">
        <v>0</v>
      </c>
      <c r="T17" s="30"/>
      <c r="U17" s="30">
        <v>0</v>
      </c>
      <c r="V17" s="31">
        <v>0</v>
      </c>
    </row>
    <row r="18" spans="1:22">
      <c r="A18" s="1" t="s">
        <v>30</v>
      </c>
      <c r="B18" s="29">
        <v>521.05674832049124</v>
      </c>
      <c r="C18" s="30">
        <v>0.55641094367877197</v>
      </c>
      <c r="D18" s="30">
        <v>129.44874604175246</v>
      </c>
      <c r="E18" s="30">
        <v>0</v>
      </c>
      <c r="F18" s="30">
        <v>0</v>
      </c>
      <c r="G18" s="31">
        <f>SUM(ID_FINANCIAL)</f>
        <v>651.06190530592244</v>
      </c>
      <c r="H18" s="30"/>
      <c r="I18" s="34" t="s">
        <v>31</v>
      </c>
      <c r="J18" s="35"/>
      <c r="K18" s="30"/>
      <c r="L18" s="29"/>
      <c r="M18" s="30"/>
      <c r="N18" s="30"/>
      <c r="O18" s="30"/>
      <c r="P18" s="30"/>
      <c r="Q18" s="30"/>
      <c r="R18" s="30"/>
      <c r="S18" s="30"/>
      <c r="T18" s="30"/>
      <c r="U18" s="30"/>
      <c r="V18" s="31"/>
    </row>
    <row r="19" spans="1:22">
      <c r="A19" s="1" t="s">
        <v>32</v>
      </c>
      <c r="B19" s="29">
        <v>7363.2739786566799</v>
      </c>
      <c r="C19" s="30">
        <v>2761.7794534840332</v>
      </c>
      <c r="D19" s="30">
        <v>6102.9370721055375</v>
      </c>
      <c r="E19" s="30">
        <v>0</v>
      </c>
      <c r="F19" s="30">
        <v>0</v>
      </c>
      <c r="G19" s="31">
        <f>SUM(IL_FINANCIAL)</f>
        <v>16227.990504246252</v>
      </c>
      <c r="H19" s="30"/>
      <c r="I19" s="34" t="s">
        <v>33</v>
      </c>
      <c r="J19" s="35">
        <v>0</v>
      </c>
      <c r="K19" s="30"/>
      <c r="L19" s="29"/>
      <c r="M19" s="30"/>
      <c r="N19" s="30"/>
      <c r="O19" s="30"/>
      <c r="P19" s="30"/>
      <c r="Q19" s="30"/>
      <c r="R19" s="30"/>
      <c r="S19" s="30"/>
      <c r="T19" s="30"/>
      <c r="U19" s="30"/>
      <c r="V19" s="31"/>
    </row>
    <row r="20" spans="1:22">
      <c r="A20" s="1" t="s">
        <v>34</v>
      </c>
      <c r="B20" s="29">
        <v>2353.927933405193</v>
      </c>
      <c r="C20" s="30">
        <v>968.4202807223802</v>
      </c>
      <c r="D20" s="30">
        <v>1906.9572262062966</v>
      </c>
      <c r="E20" s="30">
        <v>0</v>
      </c>
      <c r="F20" s="30">
        <v>0</v>
      </c>
      <c r="G20" s="31">
        <f>SUM(IN_FINANCIAL)</f>
        <v>5229.3054403338701</v>
      </c>
      <c r="H20" s="30"/>
      <c r="I20" s="34" t="s">
        <v>35</v>
      </c>
      <c r="J20" s="35">
        <v>789601673</v>
      </c>
      <c r="K20" s="30"/>
      <c r="L20" s="29"/>
      <c r="M20" s="30"/>
      <c r="N20" s="30"/>
      <c r="O20" s="30"/>
      <c r="P20" s="30"/>
      <c r="Q20" s="30"/>
      <c r="R20" s="30"/>
      <c r="S20" s="30"/>
      <c r="T20" s="30"/>
      <c r="U20" s="30"/>
      <c r="V20" s="31"/>
    </row>
    <row r="21" spans="1:22">
      <c r="A21" s="1" t="s">
        <v>36</v>
      </c>
      <c r="B21" s="29">
        <v>3139.1115154991403</v>
      </c>
      <c r="C21" s="30">
        <v>1001.3569817393825</v>
      </c>
      <c r="D21" s="30">
        <v>1870.7058065449257</v>
      </c>
      <c r="E21" s="30">
        <v>0</v>
      </c>
      <c r="F21" s="30">
        <v>0</v>
      </c>
      <c r="G21" s="31">
        <f>SUM(IA_FINANCIAL)</f>
        <v>6011.1743037834485</v>
      </c>
      <c r="H21" s="30"/>
      <c r="I21" s="34" t="s">
        <v>37</v>
      </c>
      <c r="J21" s="35"/>
      <c r="K21" s="30"/>
      <c r="L21" s="29"/>
      <c r="M21" s="30"/>
      <c r="N21" s="30"/>
      <c r="O21" s="30"/>
      <c r="P21" s="30"/>
      <c r="Q21" s="30"/>
      <c r="R21" s="30"/>
      <c r="S21" s="30"/>
      <c r="T21" s="30"/>
      <c r="U21" s="30"/>
      <c r="V21" s="31"/>
    </row>
    <row r="22" spans="1:22">
      <c r="A22" s="1" t="s">
        <v>38</v>
      </c>
      <c r="B22" s="29">
        <v>2913.3905262885833</v>
      </c>
      <c r="C22" s="30">
        <v>970.02712226240965</v>
      </c>
      <c r="D22" s="30">
        <v>4392.1043776434626</v>
      </c>
      <c r="E22" s="30">
        <v>0</v>
      </c>
      <c r="F22" s="30">
        <v>0</v>
      </c>
      <c r="G22" s="31">
        <f>SUM(KS_FINANCIAL)</f>
        <v>8275.522026194456</v>
      </c>
      <c r="H22" s="30"/>
      <c r="I22" s="34" t="s">
        <v>39</v>
      </c>
      <c r="J22" s="35">
        <v>0</v>
      </c>
      <c r="K22" s="30"/>
      <c r="L22" s="29"/>
      <c r="M22" s="30"/>
      <c r="N22" s="30"/>
      <c r="O22" s="30"/>
      <c r="P22" s="30"/>
      <c r="Q22" s="30"/>
      <c r="R22" s="30"/>
      <c r="S22" s="30"/>
      <c r="T22" s="30"/>
      <c r="U22" s="30"/>
      <c r="V22" s="31"/>
    </row>
    <row r="23" spans="1:22">
      <c r="A23" s="1" t="s">
        <v>40</v>
      </c>
      <c r="B23" s="29">
        <v>658.70472017318787</v>
      </c>
      <c r="C23" s="30">
        <v>835.61283235898532</v>
      </c>
      <c r="D23" s="30">
        <v>1197.1347074539535</v>
      </c>
      <c r="E23" s="30">
        <v>0</v>
      </c>
      <c r="F23" s="30">
        <v>0</v>
      </c>
      <c r="G23" s="31">
        <f>SUM(KY_FINANCIAL)</f>
        <v>2691.4522599861266</v>
      </c>
      <c r="H23" s="30"/>
      <c r="I23" s="34" t="s">
        <v>41</v>
      </c>
      <c r="J23" s="35"/>
      <c r="K23" s="30"/>
      <c r="L23" s="29"/>
      <c r="M23" s="30"/>
      <c r="N23" s="30"/>
      <c r="O23" s="30"/>
      <c r="P23" s="30"/>
      <c r="Q23" s="30"/>
      <c r="R23" s="30"/>
      <c r="S23" s="30"/>
      <c r="T23" s="30"/>
      <c r="U23" s="30"/>
      <c r="V23" s="31"/>
    </row>
    <row r="24" spans="1:22">
      <c r="A24" s="1" t="s">
        <v>42</v>
      </c>
      <c r="B24" s="29">
        <v>0</v>
      </c>
      <c r="C24" s="30">
        <v>0</v>
      </c>
      <c r="D24" s="30">
        <v>0</v>
      </c>
      <c r="E24" s="30">
        <v>0</v>
      </c>
      <c r="F24" s="30">
        <v>0</v>
      </c>
      <c r="G24" s="31">
        <f>SUM(LA_FINANCIAL)</f>
        <v>0</v>
      </c>
      <c r="H24" s="30"/>
      <c r="I24" s="34" t="s">
        <v>43</v>
      </c>
      <c r="J24" s="35">
        <v>0</v>
      </c>
      <c r="K24" s="30"/>
      <c r="L24" s="29"/>
      <c r="M24" s="30"/>
      <c r="N24" s="30"/>
      <c r="O24" s="30"/>
      <c r="P24" s="30"/>
      <c r="Q24" s="30"/>
      <c r="R24" s="30"/>
      <c r="S24" s="30"/>
      <c r="T24" s="30"/>
      <c r="U24" s="30"/>
      <c r="V24" s="31"/>
    </row>
    <row r="25" spans="1:22">
      <c r="A25" s="1" t="s">
        <v>44</v>
      </c>
      <c r="B25" s="29">
        <v>1136.691056486432</v>
      </c>
      <c r="C25" s="30">
        <v>766.36476210422688</v>
      </c>
      <c r="D25" s="30">
        <v>666.50813948887946</v>
      </c>
      <c r="E25" s="30">
        <v>0</v>
      </c>
      <c r="F25" s="30">
        <v>0</v>
      </c>
      <c r="G25" s="31">
        <f>SUM(ME_FINANCIAL)</f>
        <v>2569.5639580795382</v>
      </c>
      <c r="H25" s="30"/>
      <c r="I25" s="34"/>
      <c r="J25" s="35"/>
      <c r="K25" s="30"/>
      <c r="L25" s="29"/>
      <c r="M25" s="30"/>
      <c r="N25" s="30"/>
      <c r="O25" s="30"/>
      <c r="P25" s="30"/>
      <c r="Q25" s="30"/>
      <c r="R25" s="30"/>
      <c r="S25" s="30"/>
      <c r="T25" s="30"/>
      <c r="U25" s="30"/>
      <c r="V25" s="31"/>
    </row>
    <row r="26" spans="1:22">
      <c r="A26" s="1" t="s">
        <v>45</v>
      </c>
      <c r="B26" s="29">
        <v>4494.5535051173647</v>
      </c>
      <c r="C26" s="30">
        <v>1277.8759987904484</v>
      </c>
      <c r="D26" s="30">
        <v>8041.5780455055183</v>
      </c>
      <c r="E26" s="30">
        <v>0</v>
      </c>
      <c r="F26" s="30">
        <v>0</v>
      </c>
      <c r="G26" s="31">
        <f>SUM(MD_FINANCIAL)</f>
        <v>13814.007549413331</v>
      </c>
      <c r="H26" s="30"/>
      <c r="I26" s="34" t="s">
        <v>46</v>
      </c>
      <c r="J26" s="35">
        <f>SUM(ADD_FINANCIAL)-SUM(LESS_FINANCIAL)</f>
        <v>510037.13999998569</v>
      </c>
      <c r="K26" s="30"/>
      <c r="L26" s="29"/>
      <c r="M26" s="30"/>
      <c r="N26" s="30"/>
      <c r="O26" s="30"/>
      <c r="P26" s="30"/>
      <c r="Q26" s="30"/>
      <c r="R26" s="30"/>
      <c r="S26" s="30"/>
      <c r="T26" s="30"/>
      <c r="U26" s="30"/>
      <c r="V26" s="31"/>
    </row>
    <row r="27" spans="1:22">
      <c r="A27" s="1" t="s">
        <v>47</v>
      </c>
      <c r="B27" s="29">
        <v>9857.7795683310542</v>
      </c>
      <c r="C27" s="30">
        <v>17501.327264501575</v>
      </c>
      <c r="D27" s="30">
        <v>6997.5389159593542</v>
      </c>
      <c r="E27" s="30">
        <v>0</v>
      </c>
      <c r="F27" s="30">
        <v>0</v>
      </c>
      <c r="G27" s="31">
        <f>SUM(MA_FINANCIAL)</f>
        <v>34356.645748791983</v>
      </c>
      <c r="H27" s="30"/>
      <c r="I27" s="34" t="s">
        <v>48</v>
      </c>
      <c r="J27" s="35">
        <f>SUM(ALL_BLOCKS)</f>
        <v>510037.13999999984</v>
      </c>
      <c r="K27" s="30"/>
      <c r="L27" s="29"/>
      <c r="M27" s="30"/>
      <c r="N27" s="30"/>
      <c r="O27" s="30"/>
      <c r="P27" s="30"/>
      <c r="Q27" s="30"/>
      <c r="R27" s="30"/>
      <c r="S27" s="30"/>
      <c r="T27" s="30"/>
      <c r="U27" s="30"/>
      <c r="V27" s="31"/>
    </row>
    <row r="28" spans="1:22">
      <c r="A28" s="1" t="s">
        <v>49</v>
      </c>
      <c r="B28" s="29">
        <v>10457.470096850535</v>
      </c>
      <c r="C28" s="30">
        <v>2309.8049924249908</v>
      </c>
      <c r="D28" s="30">
        <v>8637.4998796863056</v>
      </c>
      <c r="E28" s="30">
        <v>0</v>
      </c>
      <c r="F28" s="30">
        <v>0</v>
      </c>
      <c r="G28" s="31">
        <f>SUM(MI_FINANCIAL)</f>
        <v>21404.774968961829</v>
      </c>
      <c r="H28" s="30"/>
      <c r="I28" s="36"/>
      <c r="J28" s="37"/>
      <c r="K28" s="30"/>
      <c r="L28" s="29"/>
      <c r="M28" s="30"/>
      <c r="N28" s="30"/>
      <c r="O28" s="30"/>
      <c r="P28" s="30"/>
      <c r="Q28" s="30"/>
      <c r="R28" s="30"/>
      <c r="S28" s="30"/>
      <c r="T28" s="30"/>
      <c r="U28" s="30"/>
      <c r="V28" s="31"/>
    </row>
    <row r="29" spans="1:22">
      <c r="A29" s="1" t="s">
        <v>50</v>
      </c>
      <c r="B29" s="29">
        <v>3776.0875114241239</v>
      </c>
      <c r="C29" s="30">
        <v>1818.4939890555024</v>
      </c>
      <c r="D29" s="30">
        <v>5249.5135219902486</v>
      </c>
      <c r="E29" s="30">
        <v>0</v>
      </c>
      <c r="F29" s="30">
        <v>0</v>
      </c>
      <c r="G29" s="31">
        <f>SUM(MN_FINANCIAL)</f>
        <v>10844.095022469875</v>
      </c>
      <c r="H29" s="30"/>
      <c r="I29" s="30"/>
      <c r="J29" s="30"/>
      <c r="K29" s="30"/>
      <c r="L29" s="29"/>
      <c r="M29" s="30"/>
      <c r="N29" s="30"/>
      <c r="O29" s="30"/>
      <c r="P29" s="30"/>
      <c r="Q29" s="30"/>
      <c r="R29" s="30"/>
      <c r="S29" s="30"/>
      <c r="T29" s="30"/>
      <c r="U29" s="30"/>
      <c r="V29" s="31"/>
    </row>
    <row r="30" spans="1:22">
      <c r="A30" s="1" t="s">
        <v>51</v>
      </c>
      <c r="B30" s="29">
        <v>298.47532124556477</v>
      </c>
      <c r="C30" s="30">
        <v>510.52113930868143</v>
      </c>
      <c r="D30" s="30">
        <v>295.92595103799653</v>
      </c>
      <c r="E30" s="30">
        <v>0</v>
      </c>
      <c r="F30" s="30">
        <v>0</v>
      </c>
      <c r="G30" s="31">
        <f>SUM(MS_FINANCIAL)</f>
        <v>1104.9224115922427</v>
      </c>
      <c r="H30" s="30"/>
      <c r="I30" s="30"/>
      <c r="J30" s="30"/>
      <c r="K30" s="30"/>
      <c r="L30" s="29"/>
      <c r="M30" s="30"/>
      <c r="N30" s="30"/>
      <c r="O30" s="30"/>
      <c r="P30" s="30"/>
      <c r="Q30" s="30"/>
      <c r="R30" s="30"/>
      <c r="S30" s="30"/>
      <c r="T30" s="30"/>
      <c r="U30" s="30"/>
      <c r="V30" s="31"/>
    </row>
    <row r="31" spans="1:22">
      <c r="A31" s="1" t="s">
        <v>52</v>
      </c>
      <c r="B31" s="29">
        <v>3720.541933113615</v>
      </c>
      <c r="C31" s="30">
        <v>780.1814965584698</v>
      </c>
      <c r="D31" s="30">
        <v>3168.3299724017866</v>
      </c>
      <c r="E31" s="30">
        <v>0</v>
      </c>
      <c r="F31" s="30">
        <v>0</v>
      </c>
      <c r="G31" s="31">
        <f>SUM(MO_FINANCIAL)</f>
        <v>7669.0534020738705</v>
      </c>
      <c r="H31" s="30"/>
      <c r="I31" s="30"/>
      <c r="J31" s="30"/>
      <c r="K31" s="30"/>
      <c r="L31" s="29"/>
      <c r="M31" s="30"/>
      <c r="N31" s="30"/>
      <c r="O31" s="30"/>
      <c r="P31" s="30"/>
      <c r="Q31" s="30"/>
      <c r="R31" s="30"/>
      <c r="S31" s="30"/>
      <c r="T31" s="30"/>
      <c r="U31" s="30"/>
      <c r="V31" s="31"/>
    </row>
    <row r="32" spans="1:22">
      <c r="A32" s="1" t="s">
        <v>53</v>
      </c>
      <c r="B32" s="29">
        <v>527.25423789615263</v>
      </c>
      <c r="C32" s="30">
        <v>239.75033886654504</v>
      </c>
      <c r="D32" s="30">
        <v>256.65896689181966</v>
      </c>
      <c r="E32" s="30">
        <v>0</v>
      </c>
      <c r="F32" s="30">
        <v>0</v>
      </c>
      <c r="G32" s="31">
        <f>SUM(MT_FINANCIAL)</f>
        <v>1023.6635436545173</v>
      </c>
      <c r="H32" s="30"/>
      <c r="I32" s="30"/>
      <c r="J32" s="30"/>
      <c r="K32" s="30"/>
      <c r="L32" s="29"/>
      <c r="M32" s="30"/>
      <c r="N32" s="30"/>
      <c r="O32" s="30"/>
      <c r="P32" s="30"/>
      <c r="Q32" s="30"/>
      <c r="R32" s="30"/>
      <c r="S32" s="30"/>
      <c r="T32" s="30"/>
      <c r="U32" s="30"/>
      <c r="V32" s="31"/>
    </row>
    <row r="33" spans="1:22">
      <c r="A33" s="1" t="s">
        <v>54</v>
      </c>
      <c r="B33" s="29">
        <v>1973.5387042535958</v>
      </c>
      <c r="C33" s="30">
        <v>582.80721493537726</v>
      </c>
      <c r="D33" s="30">
        <v>900.12885357671519</v>
      </c>
      <c r="E33" s="30">
        <v>0</v>
      </c>
      <c r="F33" s="30">
        <v>0</v>
      </c>
      <c r="G33" s="31">
        <f>SUM(NE_FINANCIAL)</f>
        <v>3456.4747727656886</v>
      </c>
      <c r="H33" s="30"/>
      <c r="I33" s="30"/>
      <c r="J33" s="30"/>
      <c r="K33" s="30"/>
      <c r="L33" s="29"/>
      <c r="M33" s="30"/>
      <c r="N33" s="30"/>
      <c r="O33" s="30"/>
      <c r="P33" s="30"/>
      <c r="Q33" s="30"/>
      <c r="R33" s="30"/>
      <c r="S33" s="30"/>
      <c r="T33" s="30"/>
      <c r="U33" s="30"/>
      <c r="V33" s="31"/>
    </row>
    <row r="34" spans="1:22">
      <c r="A34" s="1" t="s">
        <v>55</v>
      </c>
      <c r="B34" s="29">
        <v>1604.4208968434129</v>
      </c>
      <c r="C34" s="30">
        <v>456.49758240572999</v>
      </c>
      <c r="D34" s="30">
        <v>607.74165924225588</v>
      </c>
      <c r="E34" s="30">
        <v>0</v>
      </c>
      <c r="F34" s="30">
        <v>0</v>
      </c>
      <c r="G34" s="31">
        <f>SUM(NV_FINANCIAL)</f>
        <v>2668.6601384913988</v>
      </c>
      <c r="H34" s="30"/>
      <c r="I34" s="30"/>
      <c r="J34" s="30"/>
      <c r="K34" s="30"/>
      <c r="L34" s="29"/>
      <c r="M34" s="30"/>
      <c r="N34" s="30"/>
      <c r="O34" s="30"/>
      <c r="P34" s="30"/>
      <c r="Q34" s="30"/>
      <c r="R34" s="30"/>
      <c r="S34" s="30"/>
      <c r="T34" s="30"/>
      <c r="U34" s="30"/>
      <c r="V34" s="31"/>
    </row>
    <row r="35" spans="1:22">
      <c r="A35" s="1" t="s">
        <v>56</v>
      </c>
      <c r="B35" s="29">
        <v>1548.9440017210175</v>
      </c>
      <c r="C35" s="30">
        <v>396.61592752390476</v>
      </c>
      <c r="D35" s="30">
        <v>884.62698331780905</v>
      </c>
      <c r="E35" s="30">
        <v>0</v>
      </c>
      <c r="F35" s="30">
        <v>0</v>
      </c>
      <c r="G35" s="31">
        <f>SUM(NH_FINANCIAL)</f>
        <v>2830.1869125627313</v>
      </c>
      <c r="H35" s="30"/>
      <c r="I35" s="30"/>
      <c r="J35" s="30"/>
      <c r="K35" s="30"/>
      <c r="L35" s="29"/>
      <c r="M35" s="30"/>
      <c r="N35" s="30"/>
      <c r="O35" s="30"/>
      <c r="P35" s="30"/>
      <c r="Q35" s="30"/>
      <c r="R35" s="30"/>
      <c r="S35" s="30"/>
      <c r="T35" s="30"/>
      <c r="U35" s="30"/>
      <c r="V35" s="31"/>
    </row>
    <row r="36" spans="1:22">
      <c r="A36" s="1" t="s">
        <v>57</v>
      </c>
      <c r="B36" s="29">
        <v>6365.9907327746796</v>
      </c>
      <c r="C36" s="30">
        <v>4756.088166164368</v>
      </c>
      <c r="D36" s="30">
        <v>23797.433154592301</v>
      </c>
      <c r="E36" s="30">
        <v>0</v>
      </c>
      <c r="F36" s="30">
        <v>0</v>
      </c>
      <c r="G36" s="31">
        <f>SUM(NJ_FINANCIAL)</f>
        <v>34919.512053531347</v>
      </c>
      <c r="H36" s="30"/>
      <c r="I36" s="30"/>
      <c r="J36" s="30"/>
      <c r="K36" s="30"/>
      <c r="L36" s="29"/>
      <c r="M36" s="30"/>
      <c r="N36" s="30"/>
      <c r="O36" s="30"/>
      <c r="P36" s="30"/>
      <c r="Q36" s="30"/>
      <c r="R36" s="30"/>
      <c r="S36" s="30"/>
      <c r="T36" s="30"/>
      <c r="U36" s="30"/>
      <c r="V36" s="31"/>
    </row>
    <row r="37" spans="1:22">
      <c r="A37" s="1" t="s">
        <v>58</v>
      </c>
      <c r="B37" s="29">
        <v>1826.6295723365595</v>
      </c>
      <c r="C37" s="30">
        <v>354.97298805928648</v>
      </c>
      <c r="D37" s="30">
        <v>330.48561304481331</v>
      </c>
      <c r="E37" s="30">
        <v>0</v>
      </c>
      <c r="F37" s="30">
        <v>0</v>
      </c>
      <c r="G37" s="31">
        <f>SUM(NM_FINANCIAL)</f>
        <v>2512.0881734406594</v>
      </c>
      <c r="H37" s="30"/>
      <c r="I37" s="30"/>
      <c r="J37" s="30"/>
      <c r="K37" s="30"/>
      <c r="L37" s="29"/>
      <c r="M37" s="30"/>
      <c r="N37" s="30"/>
      <c r="O37" s="30"/>
      <c r="P37" s="30"/>
      <c r="Q37" s="30"/>
      <c r="R37" s="30"/>
      <c r="S37" s="30"/>
      <c r="T37" s="30"/>
      <c r="U37" s="30"/>
      <c r="V37" s="31"/>
    </row>
    <row r="38" spans="1:22">
      <c r="A38" s="1" t="s">
        <v>59</v>
      </c>
      <c r="B38" s="29">
        <v>26925.403090403644</v>
      </c>
      <c r="C38" s="30">
        <v>16158.977306434506</v>
      </c>
      <c r="D38" s="30">
        <v>39705.52352825056</v>
      </c>
      <c r="E38" s="30">
        <v>0</v>
      </c>
      <c r="F38" s="30">
        <v>0</v>
      </c>
      <c r="G38" s="31">
        <f>SUM(NY_FINANCIAL)</f>
        <v>82789.903925088714</v>
      </c>
      <c r="H38" s="30"/>
      <c r="I38" s="30"/>
      <c r="J38" s="30"/>
      <c r="K38" s="30"/>
      <c r="L38" s="29"/>
      <c r="M38" s="30"/>
      <c r="N38" s="30"/>
      <c r="O38" s="30"/>
      <c r="P38" s="30"/>
      <c r="Q38" s="30"/>
      <c r="R38" s="30"/>
      <c r="S38" s="30"/>
      <c r="T38" s="30"/>
      <c r="U38" s="30"/>
      <c r="V38" s="31"/>
    </row>
    <row r="39" spans="1:22">
      <c r="A39" s="1" t="s">
        <v>60</v>
      </c>
      <c r="B39" s="29">
        <v>3093.0978282277169</v>
      </c>
      <c r="C39" s="30">
        <v>1424.5005956819582</v>
      </c>
      <c r="D39" s="30">
        <v>6077.7651857264336</v>
      </c>
      <c r="E39" s="30">
        <v>0</v>
      </c>
      <c r="F39" s="30">
        <v>0</v>
      </c>
      <c r="G39" s="31">
        <f>SUM(NC_FINANCIAL)</f>
        <v>10595.363609636108</v>
      </c>
      <c r="H39" s="30"/>
      <c r="I39" s="30"/>
      <c r="J39" s="30"/>
      <c r="K39" s="30"/>
      <c r="L39" s="29"/>
      <c r="M39" s="30"/>
      <c r="N39" s="30"/>
      <c r="O39" s="30"/>
      <c r="P39" s="30"/>
      <c r="Q39" s="30"/>
      <c r="R39" s="30"/>
      <c r="S39" s="30"/>
      <c r="T39" s="30"/>
      <c r="U39" s="30"/>
      <c r="V39" s="31"/>
    </row>
    <row r="40" spans="1:22">
      <c r="A40" s="1" t="s">
        <v>61</v>
      </c>
      <c r="B40" s="29">
        <v>106.08736032296417</v>
      </c>
      <c r="C40" s="30">
        <v>593.56342817047346</v>
      </c>
      <c r="D40" s="30">
        <v>27.715175729617304</v>
      </c>
      <c r="E40" s="30">
        <v>0</v>
      </c>
      <c r="F40" s="30">
        <v>0</v>
      </c>
      <c r="G40" s="31">
        <f>SUM(ND_FINANCIAL)</f>
        <v>727.3659642230549</v>
      </c>
      <c r="H40" s="30"/>
      <c r="I40" s="30"/>
      <c r="J40" s="30"/>
      <c r="K40" s="30"/>
      <c r="L40" s="29"/>
      <c r="M40" s="30"/>
      <c r="N40" s="30"/>
      <c r="O40" s="30"/>
      <c r="P40" s="30"/>
      <c r="Q40" s="30"/>
      <c r="R40" s="30"/>
      <c r="S40" s="30"/>
      <c r="T40" s="30"/>
      <c r="U40" s="30"/>
      <c r="V40" s="31"/>
    </row>
    <row r="41" spans="1:22">
      <c r="A41" s="1" t="s">
        <v>62</v>
      </c>
      <c r="B41" s="29">
        <v>6789.3631624933532</v>
      </c>
      <c r="C41" s="30">
        <v>1851.70365903469</v>
      </c>
      <c r="D41" s="30">
        <v>4702.2338709289515</v>
      </c>
      <c r="E41" s="30">
        <v>0</v>
      </c>
      <c r="F41" s="30">
        <v>0</v>
      </c>
      <c r="G41" s="31">
        <f>SUM(OH_FINANCIAL)</f>
        <v>13343.300692456996</v>
      </c>
      <c r="H41" s="30"/>
      <c r="I41" s="30"/>
      <c r="J41" s="30"/>
      <c r="K41" s="30"/>
      <c r="L41" s="29"/>
      <c r="M41" s="30"/>
      <c r="N41" s="30"/>
      <c r="O41" s="30"/>
      <c r="P41" s="30"/>
      <c r="Q41" s="30"/>
      <c r="R41" s="30"/>
      <c r="S41" s="30"/>
      <c r="T41" s="30"/>
      <c r="U41" s="30"/>
      <c r="V41" s="31"/>
    </row>
    <row r="42" spans="1:22">
      <c r="A42" s="1" t="s">
        <v>63</v>
      </c>
      <c r="B42" s="29">
        <v>1190.9563868047865</v>
      </c>
      <c r="C42" s="30">
        <v>746.81641021838982</v>
      </c>
      <c r="D42" s="30">
        <v>367.20435935669508</v>
      </c>
      <c r="E42" s="30">
        <v>0</v>
      </c>
      <c r="F42" s="30">
        <v>0</v>
      </c>
      <c r="G42" s="31">
        <f>SUM(OK_FINANCIAL)</f>
        <v>2304.9771563798713</v>
      </c>
      <c r="H42" s="30"/>
      <c r="I42" s="30"/>
      <c r="J42" s="30"/>
      <c r="K42" s="30"/>
      <c r="L42" s="29"/>
      <c r="M42" s="30"/>
      <c r="N42" s="30"/>
      <c r="O42" s="30"/>
      <c r="P42" s="30"/>
      <c r="Q42" s="30"/>
      <c r="R42" s="30"/>
      <c r="S42" s="30"/>
      <c r="T42" s="30"/>
      <c r="U42" s="30"/>
      <c r="V42" s="31"/>
    </row>
    <row r="43" spans="1:22">
      <c r="A43" s="1" t="s">
        <v>64</v>
      </c>
      <c r="B43" s="29">
        <v>2156.103113465389</v>
      </c>
      <c r="C43" s="30">
        <v>860.46040138871649</v>
      </c>
      <c r="D43" s="30">
        <v>1571.5896382150283</v>
      </c>
      <c r="E43" s="30">
        <v>0</v>
      </c>
      <c r="F43" s="30">
        <v>0</v>
      </c>
      <c r="G43" s="31">
        <f>SUM(OR_FINANCIAL)</f>
        <v>4588.1531530691336</v>
      </c>
      <c r="H43" s="30"/>
      <c r="I43" s="30"/>
      <c r="J43" s="30"/>
      <c r="K43" s="30"/>
      <c r="L43" s="29"/>
      <c r="M43" s="30"/>
      <c r="N43" s="30"/>
      <c r="O43" s="30"/>
      <c r="P43" s="30"/>
      <c r="Q43" s="30"/>
      <c r="R43" s="30"/>
      <c r="S43" s="30"/>
      <c r="T43" s="30"/>
      <c r="U43" s="30"/>
      <c r="V43" s="31"/>
    </row>
    <row r="44" spans="1:22">
      <c r="A44" s="1" t="s">
        <v>65</v>
      </c>
      <c r="B44" s="29">
        <v>12328.186156564565</v>
      </c>
      <c r="C44" s="30">
        <v>3148.8298100653569</v>
      </c>
      <c r="D44" s="30">
        <v>8353.6334988142517</v>
      </c>
      <c r="E44" s="30">
        <v>0</v>
      </c>
      <c r="F44" s="30">
        <v>0</v>
      </c>
      <c r="G44" s="31">
        <f>SUM(PA_FINANCIAL)</f>
        <v>23830.649465444174</v>
      </c>
      <c r="H44" s="30"/>
      <c r="I44" s="30"/>
      <c r="J44" s="30"/>
      <c r="K44" s="30"/>
      <c r="L44" s="29"/>
      <c r="M44" s="30"/>
      <c r="N44" s="30"/>
      <c r="O44" s="30"/>
      <c r="P44" s="30"/>
      <c r="Q44" s="30"/>
      <c r="R44" s="30"/>
      <c r="S44" s="30"/>
      <c r="T44" s="30"/>
      <c r="U44" s="30"/>
      <c r="V44" s="31"/>
    </row>
    <row r="45" spans="1:22">
      <c r="A45" s="1" t="s">
        <v>66</v>
      </c>
      <c r="B45" s="29">
        <v>0</v>
      </c>
      <c r="C45" s="30">
        <v>0</v>
      </c>
      <c r="D45" s="30">
        <v>0</v>
      </c>
      <c r="E45" s="30">
        <v>0</v>
      </c>
      <c r="F45" s="30">
        <v>0</v>
      </c>
      <c r="G45" s="31">
        <f>SUM(PR_FINANCIAL)</f>
        <v>0</v>
      </c>
      <c r="H45" s="30"/>
      <c r="I45" s="30"/>
      <c r="J45" s="30"/>
      <c r="K45" s="30"/>
      <c r="L45" s="29"/>
      <c r="M45" s="30"/>
      <c r="N45" s="30"/>
      <c r="O45" s="30"/>
      <c r="P45" s="30"/>
      <c r="Q45" s="30"/>
      <c r="R45" s="30"/>
      <c r="S45" s="30"/>
      <c r="T45" s="30"/>
      <c r="U45" s="30"/>
      <c r="V45" s="31"/>
    </row>
    <row r="46" spans="1:22">
      <c r="A46" s="1" t="s">
        <v>67</v>
      </c>
      <c r="B46" s="29">
        <v>745.60491000693912</v>
      </c>
      <c r="C46" s="30">
        <v>471.91536211676117</v>
      </c>
      <c r="D46" s="30">
        <v>1406.5465851823617</v>
      </c>
      <c r="E46" s="30">
        <v>0</v>
      </c>
      <c r="F46" s="30">
        <v>0</v>
      </c>
      <c r="G46" s="31">
        <f>SUM(RI_FINANCIAL)</f>
        <v>2624.066857306062</v>
      </c>
      <c r="H46" s="30"/>
      <c r="I46" s="30"/>
      <c r="J46" s="30"/>
      <c r="K46" s="30"/>
      <c r="L46" s="29"/>
      <c r="M46" s="30"/>
      <c r="N46" s="30"/>
      <c r="O46" s="30"/>
      <c r="P46" s="30"/>
      <c r="Q46" s="30"/>
      <c r="R46" s="30"/>
      <c r="S46" s="30"/>
      <c r="T46" s="30"/>
      <c r="U46" s="30"/>
      <c r="V46" s="31"/>
    </row>
    <row r="47" spans="1:22">
      <c r="A47" s="1" t="s">
        <v>68</v>
      </c>
      <c r="B47" s="29">
        <v>1320.5504032556123</v>
      </c>
      <c r="C47" s="30">
        <v>951.67192843508712</v>
      </c>
      <c r="D47" s="30">
        <v>4130.3818847195971</v>
      </c>
      <c r="E47" s="30">
        <v>0</v>
      </c>
      <c r="F47" s="30">
        <v>0</v>
      </c>
      <c r="G47" s="31">
        <f>SUM(SC_FINANCIAL)</f>
        <v>6402.6042164102964</v>
      </c>
      <c r="H47" s="30"/>
      <c r="I47" s="30"/>
      <c r="J47" s="30"/>
      <c r="K47" s="30"/>
      <c r="L47" s="29"/>
      <c r="M47" s="30"/>
      <c r="N47" s="30"/>
      <c r="O47" s="30"/>
      <c r="P47" s="30"/>
      <c r="Q47" s="30"/>
      <c r="R47" s="30"/>
      <c r="S47" s="30"/>
      <c r="T47" s="30"/>
      <c r="U47" s="30"/>
      <c r="V47" s="31"/>
    </row>
    <row r="48" spans="1:22">
      <c r="A48" s="1" t="s">
        <v>69</v>
      </c>
      <c r="B48" s="29">
        <v>848.21420279562165</v>
      </c>
      <c r="C48" s="30">
        <v>361.34419852114661</v>
      </c>
      <c r="D48" s="30">
        <v>376.97144707711567</v>
      </c>
      <c r="E48" s="30">
        <v>0</v>
      </c>
      <c r="F48" s="30">
        <v>0</v>
      </c>
      <c r="G48" s="31">
        <f>SUM(SD_FINANCIAL)</f>
        <v>1586.5298483938839</v>
      </c>
      <c r="H48" s="30"/>
      <c r="I48" s="30"/>
      <c r="J48" s="30"/>
      <c r="K48" s="30"/>
      <c r="L48" s="29"/>
      <c r="M48" s="30"/>
      <c r="N48" s="30"/>
      <c r="O48" s="30"/>
      <c r="P48" s="30"/>
      <c r="Q48" s="30"/>
      <c r="R48" s="30"/>
      <c r="S48" s="30"/>
      <c r="T48" s="30"/>
      <c r="U48" s="30"/>
      <c r="V48" s="31"/>
    </row>
    <row r="49" spans="1:22">
      <c r="A49" s="1" t="s">
        <v>70</v>
      </c>
      <c r="B49" s="29">
        <v>1231.7101468785718</v>
      </c>
      <c r="C49" s="30">
        <v>1073.2042848413312</v>
      </c>
      <c r="D49" s="30">
        <v>1156.5151500663787</v>
      </c>
      <c r="E49" s="30">
        <v>0</v>
      </c>
      <c r="F49" s="30">
        <v>0</v>
      </c>
      <c r="G49" s="31">
        <f>SUM(TN_FINANCIAL)</f>
        <v>3461.4295817862817</v>
      </c>
      <c r="H49" s="30"/>
      <c r="I49" s="30"/>
      <c r="J49" s="30"/>
      <c r="K49" s="30"/>
      <c r="L49" s="29"/>
      <c r="M49" s="30"/>
      <c r="N49" s="30"/>
      <c r="O49" s="30"/>
      <c r="P49" s="30"/>
      <c r="Q49" s="30"/>
      <c r="R49" s="30"/>
      <c r="S49" s="30"/>
      <c r="T49" s="30"/>
      <c r="U49" s="30"/>
      <c r="V49" s="31"/>
    </row>
    <row r="50" spans="1:22">
      <c r="A50" s="1" t="s">
        <v>71</v>
      </c>
      <c r="B50" s="29">
        <v>11261.306160715478</v>
      </c>
      <c r="C50" s="30">
        <v>2379.1294007823108</v>
      </c>
      <c r="D50" s="30">
        <v>3567.6161670217584</v>
      </c>
      <c r="E50" s="30">
        <v>0</v>
      </c>
      <c r="F50" s="30">
        <v>0</v>
      </c>
      <c r="G50" s="31">
        <f>SUM(TX_FINANCIAL)</f>
        <v>17208.051728519546</v>
      </c>
      <c r="H50" s="30"/>
      <c r="I50" s="30"/>
      <c r="J50" s="30"/>
      <c r="K50" s="30"/>
      <c r="L50" s="29"/>
      <c r="M50" s="30"/>
      <c r="N50" s="30"/>
      <c r="O50" s="30"/>
      <c r="P50" s="30"/>
      <c r="Q50" s="30"/>
      <c r="R50" s="30"/>
      <c r="S50" s="30"/>
      <c r="T50" s="30"/>
      <c r="U50" s="30"/>
      <c r="V50" s="31"/>
    </row>
    <row r="51" spans="1:22">
      <c r="A51" s="1" t="s">
        <v>72</v>
      </c>
      <c r="B51" s="29">
        <v>1442.3431330245105</v>
      </c>
      <c r="C51" s="30">
        <v>516.7041961946677</v>
      </c>
      <c r="D51" s="30">
        <v>193.32170932642842</v>
      </c>
      <c r="E51" s="30">
        <v>0</v>
      </c>
      <c r="F51" s="30">
        <v>0</v>
      </c>
      <c r="G51" s="31">
        <f>SUM(UT_FINANCIAL)</f>
        <v>2152.3690385456066</v>
      </c>
      <c r="H51" s="30"/>
      <c r="I51" s="30"/>
      <c r="J51" s="30"/>
      <c r="K51" s="30"/>
      <c r="L51" s="29"/>
      <c r="M51" s="30"/>
      <c r="N51" s="30"/>
      <c r="O51" s="30"/>
      <c r="P51" s="30"/>
      <c r="Q51" s="30"/>
      <c r="R51" s="30"/>
      <c r="S51" s="30"/>
      <c r="T51" s="30"/>
      <c r="U51" s="30"/>
      <c r="V51" s="31"/>
    </row>
    <row r="52" spans="1:22">
      <c r="A52" s="1" t="s">
        <v>73</v>
      </c>
      <c r="B52" s="29">
        <v>566.77002892529231</v>
      </c>
      <c r="C52" s="30">
        <v>107.99133571914219</v>
      </c>
      <c r="D52" s="30">
        <v>538.17588359673596</v>
      </c>
      <c r="E52" s="30">
        <v>0</v>
      </c>
      <c r="F52" s="30">
        <v>0</v>
      </c>
      <c r="G52" s="31">
        <f>SUM(VT_FINANCIAL)</f>
        <v>1212.9372482411704</v>
      </c>
      <c r="H52" s="30"/>
      <c r="I52" s="30"/>
      <c r="J52" s="30"/>
      <c r="K52" s="30"/>
      <c r="L52" s="29"/>
      <c r="M52" s="30"/>
      <c r="N52" s="30"/>
      <c r="O52" s="30"/>
      <c r="P52" s="30"/>
      <c r="Q52" s="30"/>
      <c r="R52" s="30"/>
      <c r="S52" s="30"/>
      <c r="T52" s="30"/>
      <c r="U52" s="30"/>
      <c r="V52" s="31"/>
    </row>
    <row r="53" spans="1:22">
      <c r="A53" s="1" t="s">
        <v>74</v>
      </c>
      <c r="B53" s="29">
        <v>2558.0776924849124</v>
      </c>
      <c r="C53" s="30">
        <v>1195.7997292158043</v>
      </c>
      <c r="D53" s="30">
        <v>1991.719118578945</v>
      </c>
      <c r="E53" s="30">
        <v>0</v>
      </c>
      <c r="F53" s="30">
        <v>0</v>
      </c>
      <c r="G53" s="31">
        <f>SUM(VA_FINANCIAL)</f>
        <v>5745.5965402796619</v>
      </c>
      <c r="H53" s="30"/>
      <c r="I53" s="30"/>
      <c r="J53" s="30"/>
      <c r="K53" s="30"/>
      <c r="L53" s="29"/>
      <c r="M53" s="30"/>
      <c r="N53" s="30"/>
      <c r="O53" s="30"/>
      <c r="P53" s="30"/>
      <c r="Q53" s="30"/>
      <c r="R53" s="30"/>
      <c r="S53" s="30"/>
      <c r="T53" s="30"/>
      <c r="U53" s="30"/>
      <c r="V53" s="31"/>
    </row>
    <row r="54" spans="1:22">
      <c r="A54" s="1" t="s">
        <v>75</v>
      </c>
      <c r="B54" s="29">
        <v>7371.8552720731832</v>
      </c>
      <c r="C54" s="30">
        <v>1663.7469866272638</v>
      </c>
      <c r="D54" s="30">
        <v>4958.760339062469</v>
      </c>
      <c r="E54" s="30">
        <v>0</v>
      </c>
      <c r="F54" s="30">
        <v>0</v>
      </c>
      <c r="G54" s="31">
        <f>SUM(WA_FINANCIAL)</f>
        <v>13994.362597762916</v>
      </c>
      <c r="H54" s="30"/>
      <c r="I54" s="30"/>
      <c r="J54" s="30"/>
      <c r="K54" s="30"/>
      <c r="L54" s="29"/>
      <c r="M54" s="30"/>
      <c r="N54" s="30"/>
      <c r="O54" s="30"/>
      <c r="P54" s="30"/>
      <c r="Q54" s="30"/>
      <c r="R54" s="30"/>
      <c r="S54" s="30"/>
      <c r="T54" s="30"/>
      <c r="U54" s="30"/>
      <c r="V54" s="31"/>
    </row>
    <row r="55" spans="1:22">
      <c r="A55" s="1" t="s">
        <v>76</v>
      </c>
      <c r="B55" s="29">
        <v>602.65907063569477</v>
      </c>
      <c r="C55" s="30">
        <v>326.41167360363619</v>
      </c>
      <c r="D55" s="30">
        <v>766.46490260759924</v>
      </c>
      <c r="E55" s="30">
        <v>0</v>
      </c>
      <c r="F55" s="30">
        <v>0</v>
      </c>
      <c r="G55" s="31">
        <f>SUM(WV_FINANCIAL)</f>
        <v>1695.5356468469301</v>
      </c>
      <c r="H55" s="30"/>
      <c r="I55" s="30"/>
      <c r="J55" s="30"/>
      <c r="K55" s="30"/>
      <c r="L55" s="29"/>
      <c r="M55" s="30"/>
      <c r="N55" s="30"/>
      <c r="O55" s="30"/>
      <c r="P55" s="30"/>
      <c r="Q55" s="30"/>
      <c r="R55" s="30"/>
      <c r="S55" s="30"/>
      <c r="T55" s="30"/>
      <c r="U55" s="30"/>
      <c r="V55" s="31"/>
    </row>
    <row r="56" spans="1:22">
      <c r="A56" s="1" t="s">
        <v>77</v>
      </c>
      <c r="B56" s="29">
        <v>5378.3101664235464</v>
      </c>
      <c r="C56" s="30">
        <v>3030.4374310674975</v>
      </c>
      <c r="D56" s="30">
        <v>4485.6473977002233</v>
      </c>
      <c r="E56" s="30">
        <v>0</v>
      </c>
      <c r="F56" s="30">
        <v>0</v>
      </c>
      <c r="G56" s="31">
        <f>SUM(WI_FINANCIAL)</f>
        <v>12894.394995191269</v>
      </c>
      <c r="H56" s="30"/>
      <c r="I56" s="30"/>
      <c r="J56" s="30"/>
      <c r="K56" s="30"/>
      <c r="L56" s="29"/>
      <c r="M56" s="30"/>
      <c r="N56" s="30"/>
      <c r="O56" s="30"/>
      <c r="P56" s="30"/>
      <c r="Q56" s="30"/>
      <c r="R56" s="30"/>
      <c r="S56" s="30"/>
      <c r="T56" s="30"/>
      <c r="U56" s="30"/>
      <c r="V56" s="31"/>
    </row>
    <row r="57" spans="1:22">
      <c r="A57" s="1" t="s">
        <v>78</v>
      </c>
      <c r="B57" s="29">
        <v>0</v>
      </c>
      <c r="C57" s="30">
        <v>0</v>
      </c>
      <c r="D57" s="30">
        <v>0</v>
      </c>
      <c r="E57" s="30">
        <v>0</v>
      </c>
      <c r="F57" s="30">
        <v>0</v>
      </c>
      <c r="G57" s="31">
        <f>SUM(WY_FINANCIAL)</f>
        <v>0</v>
      </c>
      <c r="H57" s="30"/>
      <c r="I57" s="30"/>
      <c r="J57" s="30"/>
      <c r="K57" s="30"/>
      <c r="L57" s="29"/>
      <c r="M57" s="30"/>
      <c r="N57" s="30"/>
      <c r="O57" s="30"/>
      <c r="P57" s="30"/>
      <c r="Q57" s="30"/>
      <c r="R57" s="30"/>
      <c r="S57" s="30"/>
      <c r="T57" s="30"/>
      <c r="U57" s="30"/>
      <c r="V57" s="31"/>
    </row>
    <row r="58" spans="1:22">
      <c r="A58" s="1" t="s">
        <v>79</v>
      </c>
      <c r="B58" s="29">
        <v>0</v>
      </c>
      <c r="C58" s="30">
        <v>0</v>
      </c>
      <c r="D58" s="30">
        <v>0</v>
      </c>
      <c r="E58" s="30">
        <v>0</v>
      </c>
      <c r="F58" s="30">
        <v>0</v>
      </c>
      <c r="G58" s="31">
        <f>SUM(OT_FINANCIAL)</f>
        <v>0</v>
      </c>
      <c r="H58" s="30"/>
      <c r="I58" s="30"/>
      <c r="J58" s="30"/>
      <c r="K58" s="30"/>
      <c r="L58" s="29"/>
      <c r="M58" s="30"/>
      <c r="N58" s="30"/>
      <c r="O58" s="30"/>
      <c r="P58" s="30"/>
      <c r="Q58" s="30"/>
      <c r="R58" s="30"/>
      <c r="S58" s="30"/>
      <c r="T58" s="30"/>
      <c r="U58" s="30"/>
      <c r="V58" s="31"/>
    </row>
    <row r="59" spans="1:22">
      <c r="B59" s="29"/>
      <c r="C59" s="30"/>
      <c r="D59" s="30"/>
      <c r="E59" s="30"/>
      <c r="F59" s="30"/>
      <c r="G59" s="31"/>
      <c r="H59" s="30"/>
      <c r="I59" s="30"/>
      <c r="J59" s="30"/>
      <c r="K59" s="30"/>
      <c r="L59" s="29"/>
      <c r="M59" s="30"/>
      <c r="N59" s="30"/>
      <c r="O59" s="30"/>
      <c r="P59" s="30"/>
      <c r="Q59" s="30"/>
      <c r="R59" s="30"/>
      <c r="S59" s="30"/>
      <c r="T59" s="30"/>
      <c r="U59" s="30"/>
      <c r="V59" s="31"/>
    </row>
    <row r="60" spans="1:22">
      <c r="A60" s="1" t="s">
        <v>8</v>
      </c>
      <c r="B60" s="29">
        <f>SUM(LIFE)</f>
        <v>210029.4333002269</v>
      </c>
      <c r="C60" s="30">
        <f>SUM(ALLOCATED)</f>
        <v>93116.427799362893</v>
      </c>
      <c r="D60" s="30">
        <f>SUM(HEALTH)</f>
        <v>206891.27890041014</v>
      </c>
      <c r="E60" s="30">
        <f>SUM(UNALLOCATED)</f>
        <v>0</v>
      </c>
      <c r="F60" s="30">
        <f>SUM(LTC)</f>
        <v>0</v>
      </c>
      <c r="G60" s="31">
        <f>SUM(ALL_BLOCKS)</f>
        <v>510037.13999999984</v>
      </c>
      <c r="H60" s="30"/>
      <c r="I60" s="30"/>
      <c r="J60" s="30"/>
      <c r="K60" s="30"/>
      <c r="L60" s="29">
        <f>SUM(LIFE_CALLED)</f>
        <v>5138</v>
      </c>
      <c r="M60" s="30">
        <f>SUM(LIFE_REFUNDED)</f>
        <v>490</v>
      </c>
      <c r="N60" s="30"/>
      <c r="O60" s="30">
        <f>SUM(ALLOC_CALLED)</f>
        <v>228</v>
      </c>
      <c r="P60" s="30">
        <f>SUM(ALLOC_REFUNDED)</f>
        <v>0</v>
      </c>
      <c r="Q60" s="30"/>
      <c r="R60" s="30">
        <f>SUM(HEALTH_CALLED)</f>
        <v>304</v>
      </c>
      <c r="S60" s="30">
        <f>SUM(HEALTH_REFUNDED)</f>
        <v>0</v>
      </c>
      <c r="T60" s="30"/>
      <c r="U60" s="30">
        <f>SUM(UNALLOC_CALLED)</f>
        <v>0</v>
      </c>
      <c r="V60" s="31">
        <f>SUM(UNALLOC_REFUNDED)</f>
        <v>0</v>
      </c>
    </row>
    <row r="61" spans="1:22" ht="5.0999999999999996" customHeight="1">
      <c r="B61" s="8"/>
      <c r="G61" s="11"/>
      <c r="L61" s="8"/>
      <c r="V61" s="11"/>
    </row>
    <row r="62" spans="1:22">
      <c r="B62" s="8"/>
      <c r="G62" s="11"/>
      <c r="L62" s="122" t="s">
        <v>80</v>
      </c>
      <c r="M62" s="123"/>
      <c r="N62" s="123"/>
      <c r="O62" s="123"/>
      <c r="P62" s="123"/>
      <c r="Q62" s="123"/>
      <c r="R62" s="123"/>
      <c r="S62" s="123"/>
      <c r="T62" s="123"/>
      <c r="U62" s="123"/>
      <c r="V62" s="124"/>
    </row>
    <row r="63" spans="1:22">
      <c r="B63" s="8"/>
      <c r="G63" s="11"/>
      <c r="L63" s="125"/>
      <c r="M63" s="123"/>
      <c r="N63" s="123"/>
      <c r="O63" s="123"/>
      <c r="P63" s="123"/>
      <c r="Q63" s="123"/>
      <c r="R63" s="123"/>
      <c r="S63" s="123"/>
      <c r="T63" s="123"/>
      <c r="U63" s="123"/>
      <c r="V63" s="124"/>
    </row>
    <row r="64" spans="1:22">
      <c r="B64" s="10"/>
      <c r="C64" s="7"/>
      <c r="D64" s="7"/>
      <c r="E64" s="7"/>
      <c r="F64" s="7"/>
      <c r="G64" s="13"/>
      <c r="L64" s="126"/>
      <c r="M64" s="127"/>
      <c r="N64" s="127"/>
      <c r="O64" s="127"/>
      <c r="P64" s="127"/>
      <c r="Q64" s="127"/>
      <c r="R64" s="127"/>
      <c r="S64" s="127"/>
      <c r="T64" s="127"/>
      <c r="U64" s="127"/>
      <c r="V64" s="128"/>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pageSetUpPr fitToPage="1"/>
  </sheetPr>
  <dimension ref="A1:V64"/>
  <sheetViews>
    <sheetView zoomScale="75" workbookViewId="0">
      <selection sqref="A1:XFD1048576"/>
    </sheetView>
  </sheetViews>
  <sheetFormatPr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129" t="s">
        <v>142</v>
      </c>
      <c r="B1" s="123"/>
      <c r="C1" s="123"/>
      <c r="D1" s="123"/>
      <c r="E1" s="123"/>
      <c r="F1" s="123"/>
      <c r="G1" s="123"/>
    </row>
    <row r="3" spans="1:22">
      <c r="B3" s="130" t="s">
        <v>1</v>
      </c>
      <c r="C3" s="131"/>
      <c r="D3" s="131"/>
      <c r="E3" s="131"/>
      <c r="F3" s="131"/>
      <c r="G3" s="132"/>
      <c r="L3" s="133" t="s">
        <v>2</v>
      </c>
      <c r="M3" s="134"/>
      <c r="N3" s="134"/>
      <c r="O3" s="134"/>
      <c r="P3" s="134"/>
      <c r="Q3" s="134"/>
      <c r="R3" s="134"/>
      <c r="S3" s="134"/>
      <c r="T3" s="134"/>
      <c r="U3" s="134"/>
      <c r="V3" s="135"/>
    </row>
    <row r="4" spans="1:22">
      <c r="B4" s="8"/>
      <c r="G4" s="11"/>
      <c r="L4" s="136" t="s">
        <v>3</v>
      </c>
      <c r="M4" s="137"/>
      <c r="N4" s="4"/>
      <c r="O4" s="138" t="s">
        <v>4</v>
      </c>
      <c r="P4" s="137"/>
      <c r="Q4" s="4"/>
      <c r="R4" s="138" t="s">
        <v>5</v>
      </c>
      <c r="S4" s="137"/>
      <c r="T4" s="4"/>
      <c r="U4" s="138" t="s">
        <v>6</v>
      </c>
      <c r="V4" s="139"/>
    </row>
    <row r="5" spans="1:22" ht="60" customHeight="1">
      <c r="B5" s="9" t="s">
        <v>3</v>
      </c>
      <c r="C5" s="5" t="s">
        <v>4</v>
      </c>
      <c r="D5" s="5" t="s">
        <v>5</v>
      </c>
      <c r="E5" s="5" t="s">
        <v>6</v>
      </c>
      <c r="F5" s="5" t="s">
        <v>7</v>
      </c>
      <c r="G5" s="12" t="s">
        <v>8</v>
      </c>
      <c r="L5" s="15" t="s">
        <v>9</v>
      </c>
      <c r="M5" s="14" t="s">
        <v>10</v>
      </c>
      <c r="N5" s="14"/>
      <c r="O5" s="14" t="s">
        <v>9</v>
      </c>
      <c r="P5" s="14" t="s">
        <v>10</v>
      </c>
      <c r="Q5" s="14"/>
      <c r="R5" s="14" t="s">
        <v>9</v>
      </c>
      <c r="S5" s="14" t="s">
        <v>10</v>
      </c>
      <c r="T5" s="14"/>
      <c r="U5" s="14" t="s">
        <v>9</v>
      </c>
      <c r="V5" s="16" t="s">
        <v>10</v>
      </c>
    </row>
    <row r="6" spans="1:22">
      <c r="A6" s="1" t="s">
        <v>11</v>
      </c>
      <c r="B6" s="29">
        <v>-8510.7547463822557</v>
      </c>
      <c r="C6" s="30">
        <v>-3750.1426682008168</v>
      </c>
      <c r="D6" s="30">
        <v>0</v>
      </c>
      <c r="E6" s="30">
        <v>0</v>
      </c>
      <c r="F6" s="30">
        <v>0</v>
      </c>
      <c r="G6" s="31">
        <f>SUM(AL_FINANCIAL)</f>
        <v>-12260.897414583073</v>
      </c>
      <c r="H6" s="30"/>
      <c r="I6" s="30"/>
      <c r="J6" s="30"/>
      <c r="K6" s="30"/>
      <c r="L6" s="29">
        <v>344000</v>
      </c>
      <c r="M6" s="30">
        <v>0</v>
      </c>
      <c r="N6" s="30"/>
      <c r="O6" s="30">
        <v>6060</v>
      </c>
      <c r="P6" s="30">
        <v>0</v>
      </c>
      <c r="Q6" s="30"/>
      <c r="R6" s="30">
        <v>0</v>
      </c>
      <c r="S6" s="30">
        <v>0</v>
      </c>
      <c r="T6" s="30"/>
      <c r="U6" s="30">
        <v>0</v>
      </c>
      <c r="V6" s="31">
        <v>0</v>
      </c>
    </row>
    <row r="7" spans="1:22">
      <c r="A7" s="1" t="s">
        <v>12</v>
      </c>
      <c r="B7" s="29">
        <v>-1239.7004073062799</v>
      </c>
      <c r="C7" s="30">
        <v>-553.33325962904109</v>
      </c>
      <c r="D7" s="30">
        <v>0</v>
      </c>
      <c r="E7" s="30">
        <v>-526.53156057171236</v>
      </c>
      <c r="F7" s="30">
        <v>0</v>
      </c>
      <c r="G7" s="31">
        <f>SUM(AK_FINANCIAL)</f>
        <v>-2319.5652275070333</v>
      </c>
      <c r="H7" s="30"/>
      <c r="I7" s="32"/>
      <c r="J7" s="33"/>
      <c r="K7" s="30"/>
      <c r="L7" s="29">
        <v>9158</v>
      </c>
      <c r="M7" s="30">
        <v>0</v>
      </c>
      <c r="N7" s="30"/>
      <c r="O7" s="30">
        <v>5158</v>
      </c>
      <c r="P7" s="30">
        <v>18000</v>
      </c>
      <c r="Q7" s="30"/>
      <c r="R7" s="30">
        <v>0</v>
      </c>
      <c r="S7" s="30">
        <v>0</v>
      </c>
      <c r="T7" s="30"/>
      <c r="U7" s="30">
        <v>4558</v>
      </c>
      <c r="V7" s="31">
        <v>0</v>
      </c>
    </row>
    <row r="8" spans="1:22">
      <c r="A8" s="1" t="s">
        <v>13</v>
      </c>
      <c r="B8" s="29">
        <v>-3212.7674113994726</v>
      </c>
      <c r="C8" s="30">
        <v>-8575.5938221942342</v>
      </c>
      <c r="D8" s="30">
        <v>0</v>
      </c>
      <c r="E8" s="30">
        <v>0</v>
      </c>
      <c r="F8" s="30">
        <v>0</v>
      </c>
      <c r="G8" s="31">
        <f>SUM(AZ_FINANCIAL)</f>
        <v>-11788.361233593707</v>
      </c>
      <c r="H8" s="30"/>
      <c r="I8" s="34" t="s">
        <v>14</v>
      </c>
      <c r="J8" s="35"/>
      <c r="K8" s="30"/>
      <c r="L8" s="29"/>
      <c r="M8" s="30"/>
      <c r="N8" s="30"/>
      <c r="O8" s="30"/>
      <c r="P8" s="30"/>
      <c r="Q8" s="30"/>
      <c r="R8" s="30"/>
      <c r="S8" s="30"/>
      <c r="T8" s="30"/>
      <c r="U8" s="30"/>
      <c r="V8" s="31"/>
    </row>
    <row r="9" spans="1:22">
      <c r="A9" s="1" t="s">
        <v>15</v>
      </c>
      <c r="B9" s="29">
        <v>-926.91425921570772</v>
      </c>
      <c r="C9" s="30">
        <v>-2959.9942371331708</v>
      </c>
      <c r="D9" s="30">
        <v>0</v>
      </c>
      <c r="E9" s="30">
        <v>-2.0392657506945682</v>
      </c>
      <c r="F9" s="30">
        <v>0</v>
      </c>
      <c r="G9" s="31">
        <f>SUM(AR_FINANCIAL)</f>
        <v>-3888.9477620995731</v>
      </c>
      <c r="H9" s="30"/>
      <c r="I9" s="34"/>
      <c r="J9" s="35"/>
      <c r="K9" s="30"/>
      <c r="L9" s="29">
        <v>88885</v>
      </c>
      <c r="M9" s="30">
        <v>0</v>
      </c>
      <c r="N9" s="30"/>
      <c r="O9" s="30">
        <v>0</v>
      </c>
      <c r="P9" s="30">
        <v>0</v>
      </c>
      <c r="Q9" s="30"/>
      <c r="R9" s="30">
        <v>0</v>
      </c>
      <c r="S9" s="30">
        <v>0</v>
      </c>
      <c r="T9" s="30"/>
      <c r="U9" s="30">
        <v>0</v>
      </c>
      <c r="V9" s="31">
        <v>0</v>
      </c>
    </row>
    <row r="10" spans="1:22">
      <c r="A10" s="1" t="s">
        <v>16</v>
      </c>
      <c r="B10" s="29">
        <v>27087.411225065123</v>
      </c>
      <c r="C10" s="30">
        <v>12483.403773282189</v>
      </c>
      <c r="D10" s="30">
        <v>0</v>
      </c>
      <c r="E10" s="30">
        <v>0</v>
      </c>
      <c r="F10" s="30">
        <v>0</v>
      </c>
      <c r="G10" s="31">
        <f>SUM(CA_FINANCIAL)</f>
        <v>39570.814998347312</v>
      </c>
      <c r="H10" s="30"/>
      <c r="I10" s="34" t="s">
        <v>17</v>
      </c>
      <c r="J10" s="35">
        <v>5323073573.2348661</v>
      </c>
      <c r="K10" s="30"/>
      <c r="L10" s="29">
        <v>1212180</v>
      </c>
      <c r="M10" s="30">
        <v>2100000</v>
      </c>
      <c r="N10" s="30"/>
      <c r="O10" s="30">
        <v>554820</v>
      </c>
      <c r="P10" s="30">
        <v>950000</v>
      </c>
      <c r="Q10" s="30"/>
      <c r="R10" s="30">
        <v>0</v>
      </c>
      <c r="S10" s="30">
        <v>0</v>
      </c>
      <c r="T10" s="30"/>
      <c r="U10" s="30">
        <v>0</v>
      </c>
      <c r="V10" s="31">
        <v>0</v>
      </c>
    </row>
    <row r="11" spans="1:22">
      <c r="A11" s="1" t="s">
        <v>18</v>
      </c>
      <c r="B11" s="29">
        <v>0</v>
      </c>
      <c r="C11" s="30">
        <v>0</v>
      </c>
      <c r="D11" s="30">
        <v>0</v>
      </c>
      <c r="E11" s="30">
        <v>0</v>
      </c>
      <c r="F11" s="30">
        <v>0</v>
      </c>
      <c r="G11" s="31">
        <f>SUM(CO_FINANCIAL)</f>
        <v>0</v>
      </c>
      <c r="H11" s="30"/>
      <c r="I11" s="34"/>
      <c r="J11" s="35"/>
      <c r="K11" s="30"/>
      <c r="L11" s="29">
        <v>197709</v>
      </c>
      <c r="M11" s="30">
        <v>0</v>
      </c>
      <c r="N11" s="30"/>
      <c r="O11" s="30">
        <v>12260</v>
      </c>
      <c r="P11" s="30">
        <v>0</v>
      </c>
      <c r="Q11" s="30"/>
      <c r="R11" s="30">
        <v>0</v>
      </c>
      <c r="S11" s="30">
        <v>0</v>
      </c>
      <c r="T11" s="30"/>
      <c r="U11" s="30">
        <v>0</v>
      </c>
      <c r="V11" s="31">
        <v>0</v>
      </c>
    </row>
    <row r="12" spans="1:22">
      <c r="A12" s="1" t="s">
        <v>19</v>
      </c>
      <c r="B12" s="29">
        <v>-20904.973129012651</v>
      </c>
      <c r="C12" s="30">
        <v>-86221.546988923103</v>
      </c>
      <c r="D12" s="30">
        <v>0</v>
      </c>
      <c r="E12" s="30">
        <v>-1266.4127155924289</v>
      </c>
      <c r="F12" s="30">
        <v>0</v>
      </c>
      <c r="G12" s="31">
        <f>SUM(CT_FINANCIAL)</f>
        <v>-108392.93283352818</v>
      </c>
      <c r="H12" s="30"/>
      <c r="I12" s="34" t="s">
        <v>20</v>
      </c>
      <c r="J12" s="35"/>
      <c r="K12" s="30"/>
      <c r="L12" s="29">
        <v>3223000</v>
      </c>
      <c r="M12" s="30">
        <v>3223000</v>
      </c>
      <c r="N12" s="30"/>
      <c r="O12" s="30">
        <v>2322000</v>
      </c>
      <c r="P12" s="30">
        <v>2322000</v>
      </c>
      <c r="Q12" s="30"/>
      <c r="R12" s="30">
        <v>0</v>
      </c>
      <c r="S12" s="30">
        <v>0</v>
      </c>
      <c r="T12" s="30"/>
      <c r="U12" s="30">
        <v>95000</v>
      </c>
      <c r="V12" s="31">
        <v>95000</v>
      </c>
    </row>
    <row r="13" spans="1:22">
      <c r="A13" s="1" t="s">
        <v>21</v>
      </c>
      <c r="B13" s="29">
        <v>2621.9437039570184</v>
      </c>
      <c r="C13" s="30">
        <v>1219.0154545749319</v>
      </c>
      <c r="D13" s="30">
        <v>0</v>
      </c>
      <c r="E13" s="30">
        <v>359.30303777492736</v>
      </c>
      <c r="F13" s="30">
        <v>0</v>
      </c>
      <c r="G13" s="31">
        <f>SUM(DE_FINANCIAL)</f>
        <v>4200.2621963068777</v>
      </c>
      <c r="H13" s="30"/>
      <c r="I13" s="34" t="s">
        <v>22</v>
      </c>
      <c r="J13" s="35">
        <v>0</v>
      </c>
      <c r="K13" s="30"/>
      <c r="L13" s="29">
        <v>109750</v>
      </c>
      <c r="M13" s="30">
        <v>0</v>
      </c>
      <c r="N13" s="30"/>
      <c r="O13" s="30">
        <v>15250</v>
      </c>
      <c r="P13" s="30">
        <v>0</v>
      </c>
      <c r="Q13" s="30"/>
      <c r="R13" s="30">
        <v>0</v>
      </c>
      <c r="S13" s="30">
        <v>0</v>
      </c>
      <c r="T13" s="30"/>
      <c r="U13" s="30">
        <v>0</v>
      </c>
      <c r="V13" s="31">
        <v>0</v>
      </c>
    </row>
    <row r="14" spans="1:22">
      <c r="A14" s="1" t="s">
        <v>23</v>
      </c>
      <c r="B14" s="29">
        <v>0</v>
      </c>
      <c r="C14" s="30">
        <v>0</v>
      </c>
      <c r="D14" s="30">
        <v>0</v>
      </c>
      <c r="E14" s="30">
        <v>0</v>
      </c>
      <c r="F14" s="30">
        <v>0</v>
      </c>
      <c r="G14" s="31">
        <f>SUM(DC_FINANCIAL)</f>
        <v>0</v>
      </c>
      <c r="H14" s="30"/>
      <c r="I14" s="34" t="s">
        <v>24</v>
      </c>
      <c r="J14" s="35">
        <v>15185144.999999832</v>
      </c>
      <c r="K14" s="30"/>
      <c r="L14" s="29"/>
      <c r="M14" s="30"/>
      <c r="N14" s="30"/>
      <c r="O14" s="30"/>
      <c r="P14" s="30"/>
      <c r="Q14" s="30"/>
      <c r="R14" s="30"/>
      <c r="S14" s="30"/>
      <c r="T14" s="30"/>
      <c r="U14" s="30"/>
      <c r="V14" s="31"/>
    </row>
    <row r="15" spans="1:22">
      <c r="A15" s="1" t="s">
        <v>25</v>
      </c>
      <c r="B15" s="29">
        <v>-26869.927765575121</v>
      </c>
      <c r="C15" s="30">
        <v>-32755.426521028392</v>
      </c>
      <c r="D15" s="30">
        <v>0</v>
      </c>
      <c r="E15" s="30">
        <v>0</v>
      </c>
      <c r="F15" s="30">
        <v>0</v>
      </c>
      <c r="G15" s="31">
        <f>SUM(FL_FINANCIAL)</f>
        <v>-59625.354286603513</v>
      </c>
      <c r="H15" s="30"/>
      <c r="I15" s="34" t="s">
        <v>26</v>
      </c>
      <c r="J15" s="35">
        <v>5610808.5499999477</v>
      </c>
      <c r="K15" s="30"/>
      <c r="L15" s="29"/>
      <c r="M15" s="30"/>
      <c r="N15" s="30"/>
      <c r="O15" s="30"/>
      <c r="P15" s="30"/>
      <c r="Q15" s="30"/>
      <c r="R15" s="30"/>
      <c r="S15" s="30"/>
      <c r="T15" s="30"/>
      <c r="U15" s="30"/>
      <c r="V15" s="31"/>
    </row>
    <row r="16" spans="1:22">
      <c r="A16" s="1" t="s">
        <v>27</v>
      </c>
      <c r="B16" s="29">
        <v>37737.269221162423</v>
      </c>
      <c r="C16" s="30">
        <v>18668.173503850354</v>
      </c>
      <c r="D16" s="30">
        <v>0</v>
      </c>
      <c r="E16" s="30">
        <v>2617.4417016977968</v>
      </c>
      <c r="F16" s="30">
        <v>0</v>
      </c>
      <c r="G16" s="31">
        <f>SUM(GA_FINANCIAL)</f>
        <v>59022.884426710574</v>
      </c>
      <c r="H16" s="30"/>
      <c r="I16" s="34" t="s">
        <v>28</v>
      </c>
      <c r="J16" s="35">
        <v>0</v>
      </c>
      <c r="K16" s="30"/>
      <c r="L16" s="29">
        <v>1653345</v>
      </c>
      <c r="M16" s="30">
        <v>0</v>
      </c>
      <c r="N16" s="30"/>
      <c r="O16" s="30">
        <v>242689</v>
      </c>
      <c r="P16" s="30">
        <v>5681.63</v>
      </c>
      <c r="Q16" s="30"/>
      <c r="R16" s="30">
        <v>0</v>
      </c>
      <c r="S16" s="30">
        <v>0</v>
      </c>
      <c r="T16" s="30"/>
      <c r="U16" s="30">
        <v>89966</v>
      </c>
      <c r="V16" s="31">
        <v>-271.26</v>
      </c>
    </row>
    <row r="17" spans="1:22">
      <c r="A17" s="1" t="s">
        <v>29</v>
      </c>
      <c r="B17" s="29">
        <v>-947.29205743171042</v>
      </c>
      <c r="C17" s="30">
        <v>-23.788435420103269</v>
      </c>
      <c r="D17" s="30">
        <v>0</v>
      </c>
      <c r="E17" s="30">
        <v>0</v>
      </c>
      <c r="F17" s="30">
        <v>0</v>
      </c>
      <c r="G17" s="31">
        <f>SUM(HI_FINANCIAL)</f>
        <v>-971.08049285181369</v>
      </c>
      <c r="H17" s="30"/>
      <c r="I17" s="34"/>
      <c r="J17" s="35"/>
      <c r="K17" s="30"/>
      <c r="L17" s="29">
        <v>390404</v>
      </c>
      <c r="M17" s="30">
        <v>0</v>
      </c>
      <c r="N17" s="30"/>
      <c r="O17" s="30">
        <v>27611</v>
      </c>
      <c r="P17" s="30">
        <v>0</v>
      </c>
      <c r="Q17" s="30"/>
      <c r="R17" s="30">
        <v>128</v>
      </c>
      <c r="S17" s="30">
        <v>0</v>
      </c>
      <c r="T17" s="30"/>
      <c r="U17" s="30">
        <v>0</v>
      </c>
      <c r="V17" s="31">
        <v>0</v>
      </c>
    </row>
    <row r="18" spans="1:22">
      <c r="A18" s="1" t="s">
        <v>30</v>
      </c>
      <c r="B18" s="29">
        <v>129.49603215721072</v>
      </c>
      <c r="C18" s="30">
        <v>30.184921397417384</v>
      </c>
      <c r="D18" s="30">
        <v>0</v>
      </c>
      <c r="E18" s="30">
        <v>0</v>
      </c>
      <c r="F18" s="30">
        <v>0</v>
      </c>
      <c r="G18" s="31">
        <f>SUM(ID_FINANCIAL)</f>
        <v>159.6809535546281</v>
      </c>
      <c r="H18" s="30"/>
      <c r="I18" s="34" t="s">
        <v>31</v>
      </c>
      <c r="J18" s="35"/>
      <c r="K18" s="30"/>
      <c r="L18" s="29">
        <v>97650</v>
      </c>
      <c r="M18" s="30">
        <v>165039</v>
      </c>
      <c r="N18" s="30"/>
      <c r="O18" s="30">
        <v>67350</v>
      </c>
      <c r="P18" s="30">
        <v>0</v>
      </c>
      <c r="Q18" s="30"/>
      <c r="R18" s="30">
        <v>0</v>
      </c>
      <c r="S18" s="30">
        <v>0</v>
      </c>
      <c r="T18" s="30"/>
      <c r="U18" s="30">
        <v>0</v>
      </c>
      <c r="V18" s="31">
        <v>0</v>
      </c>
    </row>
    <row r="19" spans="1:22">
      <c r="A19" s="1" t="s">
        <v>32</v>
      </c>
      <c r="B19" s="29">
        <v>-17407.351993518998</v>
      </c>
      <c r="C19" s="30">
        <v>-53738.603760808706</v>
      </c>
      <c r="D19" s="30">
        <v>0</v>
      </c>
      <c r="E19" s="30">
        <v>-4567.7132563201594</v>
      </c>
      <c r="F19" s="30">
        <v>0</v>
      </c>
      <c r="G19" s="31">
        <f>SUM(IL_FINANCIAL)</f>
        <v>-75713.669010647864</v>
      </c>
      <c r="H19" s="30"/>
      <c r="I19" s="34" t="s">
        <v>33</v>
      </c>
      <c r="J19" s="35">
        <v>5160590573.2348652</v>
      </c>
      <c r="K19" s="30"/>
      <c r="L19" s="29">
        <v>2250000</v>
      </c>
      <c r="M19" s="30">
        <v>6218000</v>
      </c>
      <c r="N19" s="30"/>
      <c r="O19" s="30">
        <v>2750000</v>
      </c>
      <c r="P19" s="30">
        <v>3035000</v>
      </c>
      <c r="Q19" s="30"/>
      <c r="R19" s="30">
        <v>0</v>
      </c>
      <c r="S19" s="30">
        <v>0</v>
      </c>
      <c r="T19" s="30"/>
      <c r="U19" s="30">
        <v>550000</v>
      </c>
      <c r="V19" s="31">
        <v>1138000</v>
      </c>
    </row>
    <row r="20" spans="1:22">
      <c r="A20" s="1" t="s">
        <v>34</v>
      </c>
      <c r="B20" s="29">
        <v>9988.4201265690499</v>
      </c>
      <c r="C20" s="30">
        <v>24725.829804641195</v>
      </c>
      <c r="D20" s="30">
        <v>0</v>
      </c>
      <c r="E20" s="30">
        <v>1245.2170158551889</v>
      </c>
      <c r="F20" s="30">
        <v>0</v>
      </c>
      <c r="G20" s="31">
        <f>SUM(IN_FINANCIAL)</f>
        <v>35959.466947065433</v>
      </c>
      <c r="H20" s="30"/>
      <c r="I20" s="34" t="s">
        <v>35</v>
      </c>
      <c r="J20" s="35">
        <v>135157780.99999994</v>
      </c>
      <c r="K20" s="30"/>
      <c r="L20" s="29"/>
      <c r="M20" s="30"/>
      <c r="N20" s="30"/>
      <c r="O20" s="30"/>
      <c r="P20" s="30"/>
      <c r="Q20" s="30"/>
      <c r="R20" s="30"/>
      <c r="S20" s="30"/>
      <c r="T20" s="30"/>
      <c r="U20" s="30"/>
      <c r="V20" s="31"/>
    </row>
    <row r="21" spans="1:22">
      <c r="A21" s="1" t="s">
        <v>36</v>
      </c>
      <c r="B21" s="29">
        <v>-6233.3549137673253</v>
      </c>
      <c r="C21" s="30">
        <v>-2985.9562257358411</v>
      </c>
      <c r="D21" s="30">
        <v>0</v>
      </c>
      <c r="E21" s="30">
        <v>0</v>
      </c>
      <c r="F21" s="30">
        <v>0</v>
      </c>
      <c r="G21" s="31">
        <f>SUM(IA_FINANCIAL)</f>
        <v>-9219.3111395031665</v>
      </c>
      <c r="H21" s="30"/>
      <c r="I21" s="34" t="s">
        <v>37</v>
      </c>
      <c r="J21" s="35"/>
      <c r="K21" s="30"/>
      <c r="L21" s="29">
        <v>504000</v>
      </c>
      <c r="M21" s="30">
        <v>0</v>
      </c>
      <c r="N21" s="30"/>
      <c r="O21" s="30">
        <v>64000</v>
      </c>
      <c r="P21" s="30">
        <v>0</v>
      </c>
      <c r="Q21" s="30"/>
      <c r="R21" s="30">
        <v>0</v>
      </c>
      <c r="S21" s="30">
        <v>0</v>
      </c>
      <c r="T21" s="30"/>
      <c r="U21" s="30">
        <v>0</v>
      </c>
      <c r="V21" s="31">
        <v>0</v>
      </c>
    </row>
    <row r="22" spans="1:22">
      <c r="A22" s="1" t="s">
        <v>38</v>
      </c>
      <c r="B22" s="29">
        <v>2276.9301983073819</v>
      </c>
      <c r="C22" s="30">
        <v>1529.3451733399706</v>
      </c>
      <c r="D22" s="30">
        <v>0</v>
      </c>
      <c r="E22" s="30">
        <v>0</v>
      </c>
      <c r="F22" s="30">
        <v>0</v>
      </c>
      <c r="G22" s="31">
        <f>SUM(KS_FINANCIAL)</f>
        <v>3806.2753716473526</v>
      </c>
      <c r="H22" s="30"/>
      <c r="I22" s="34" t="s">
        <v>39</v>
      </c>
      <c r="J22" s="35">
        <v>0</v>
      </c>
      <c r="K22" s="30"/>
      <c r="L22" s="29">
        <v>184000</v>
      </c>
      <c r="M22" s="30">
        <v>0</v>
      </c>
      <c r="N22" s="30"/>
      <c r="O22" s="30">
        <v>50000</v>
      </c>
      <c r="P22" s="30">
        <v>0</v>
      </c>
      <c r="Q22" s="30"/>
      <c r="R22" s="30">
        <v>0</v>
      </c>
      <c r="S22" s="30">
        <v>0</v>
      </c>
      <c r="T22" s="30"/>
      <c r="U22" s="30">
        <v>0</v>
      </c>
      <c r="V22" s="31">
        <v>0</v>
      </c>
    </row>
    <row r="23" spans="1:22">
      <c r="A23" s="1" t="s">
        <v>40</v>
      </c>
      <c r="B23" s="29">
        <v>-15474.015995639958</v>
      </c>
      <c r="C23" s="30">
        <v>-5148.7420727284043</v>
      </c>
      <c r="D23" s="30">
        <v>0</v>
      </c>
      <c r="E23" s="30">
        <v>0</v>
      </c>
      <c r="F23" s="30">
        <v>0</v>
      </c>
      <c r="G23" s="31">
        <f>SUM(KY_FINANCIAL)</f>
        <v>-20622.758068368363</v>
      </c>
      <c r="H23" s="30"/>
      <c r="I23" s="34" t="s">
        <v>41</v>
      </c>
      <c r="J23" s="35"/>
      <c r="K23" s="30"/>
      <c r="L23" s="29">
        <v>694762</v>
      </c>
      <c r="M23" s="30">
        <v>681287</v>
      </c>
      <c r="N23" s="30"/>
      <c r="O23" s="30">
        <v>207259</v>
      </c>
      <c r="P23" s="30">
        <v>203121</v>
      </c>
      <c r="Q23" s="30"/>
      <c r="R23" s="30">
        <v>0</v>
      </c>
      <c r="S23" s="30">
        <v>0</v>
      </c>
      <c r="T23" s="30"/>
      <c r="U23" s="30">
        <v>0</v>
      </c>
      <c r="V23" s="31">
        <v>0</v>
      </c>
    </row>
    <row r="24" spans="1:22">
      <c r="A24" s="1" t="s">
        <v>42</v>
      </c>
      <c r="B24" s="29">
        <v>0</v>
      </c>
      <c r="C24" s="30">
        <v>0</v>
      </c>
      <c r="D24" s="30">
        <v>0</v>
      </c>
      <c r="E24" s="30">
        <v>0</v>
      </c>
      <c r="F24" s="30">
        <v>0</v>
      </c>
      <c r="G24" s="31">
        <f>SUM(LA_FINANCIAL)</f>
        <v>0</v>
      </c>
      <c r="H24" s="30"/>
      <c r="I24" s="34" t="s">
        <v>43</v>
      </c>
      <c r="J24" s="35">
        <v>49786580.999999508</v>
      </c>
      <c r="K24" s="30"/>
      <c r="L24" s="29"/>
      <c r="M24" s="30"/>
      <c r="N24" s="30"/>
      <c r="O24" s="30"/>
      <c r="P24" s="30"/>
      <c r="Q24" s="30"/>
      <c r="R24" s="30"/>
      <c r="S24" s="30"/>
      <c r="T24" s="30"/>
      <c r="U24" s="30"/>
      <c r="V24" s="31"/>
    </row>
    <row r="25" spans="1:22">
      <c r="A25" s="1" t="s">
        <v>44</v>
      </c>
      <c r="B25" s="29">
        <v>-2564.3169388378883</v>
      </c>
      <c r="C25" s="30">
        <v>-17731.616485516803</v>
      </c>
      <c r="D25" s="30">
        <v>0</v>
      </c>
      <c r="E25" s="30">
        <v>-644.22006928344308</v>
      </c>
      <c r="F25" s="30">
        <v>0</v>
      </c>
      <c r="G25" s="31">
        <f>SUM(ME_FINANCIAL)</f>
        <v>-20940.153493638136</v>
      </c>
      <c r="H25" s="30"/>
      <c r="I25" s="34"/>
      <c r="J25" s="35"/>
      <c r="K25" s="30"/>
      <c r="L25" s="29">
        <v>44800</v>
      </c>
      <c r="M25" s="30">
        <v>0</v>
      </c>
      <c r="N25" s="30"/>
      <c r="O25" s="30">
        <v>200200</v>
      </c>
      <c r="P25" s="30">
        <v>0</v>
      </c>
      <c r="Q25" s="30"/>
      <c r="R25" s="30">
        <v>0</v>
      </c>
      <c r="S25" s="30">
        <v>0</v>
      </c>
      <c r="T25" s="30"/>
      <c r="U25" s="30">
        <v>0</v>
      </c>
      <c r="V25" s="31">
        <v>0</v>
      </c>
    </row>
    <row r="26" spans="1:22">
      <c r="A26" s="1" t="s">
        <v>45</v>
      </c>
      <c r="B26" s="29">
        <v>-7204.9778210291406</v>
      </c>
      <c r="C26" s="30">
        <v>-9184.8415691141854</v>
      </c>
      <c r="D26" s="30">
        <v>0</v>
      </c>
      <c r="E26" s="30">
        <v>0</v>
      </c>
      <c r="F26" s="30">
        <v>0</v>
      </c>
      <c r="G26" s="31">
        <f>SUM(MD_FINANCIAL)</f>
        <v>-16389.819390143326</v>
      </c>
      <c r="H26" s="30"/>
      <c r="I26" s="34" t="s">
        <v>46</v>
      </c>
      <c r="J26" s="35">
        <f>SUM(ADD_FINANCIAL)-SUM(LESS_FINANCIAL)</f>
        <v>-1665408.4499979019</v>
      </c>
      <c r="K26" s="30"/>
      <c r="L26" s="29">
        <v>126719</v>
      </c>
      <c r="M26" s="30">
        <v>0</v>
      </c>
      <c r="N26" s="30"/>
      <c r="O26" s="30">
        <v>63281</v>
      </c>
      <c r="P26" s="30">
        <v>0</v>
      </c>
      <c r="Q26" s="30"/>
      <c r="R26" s="30">
        <v>0</v>
      </c>
      <c r="S26" s="30">
        <v>0</v>
      </c>
      <c r="T26" s="30"/>
      <c r="U26" s="30">
        <v>0</v>
      </c>
      <c r="V26" s="31">
        <v>0</v>
      </c>
    </row>
    <row r="27" spans="1:22">
      <c r="A27" s="1" t="s">
        <v>47</v>
      </c>
      <c r="B27" s="29">
        <v>-14090.547665252816</v>
      </c>
      <c r="C27" s="30">
        <v>-4560.4072868307994</v>
      </c>
      <c r="D27" s="30">
        <v>0</v>
      </c>
      <c r="E27" s="30">
        <v>0</v>
      </c>
      <c r="F27" s="30">
        <v>0</v>
      </c>
      <c r="G27" s="31">
        <f>SUM(MA_FINANCIAL)</f>
        <v>-18650.954952083615</v>
      </c>
      <c r="H27" s="30"/>
      <c r="I27" s="34" t="s">
        <v>48</v>
      </c>
      <c r="J27" s="35">
        <f>SUM(ALL_BLOCKS)</f>
        <v>-1665408.4499997196</v>
      </c>
      <c r="K27" s="30"/>
      <c r="L27" s="29">
        <v>626000</v>
      </c>
      <c r="M27" s="30">
        <v>0</v>
      </c>
      <c r="N27" s="30"/>
      <c r="O27" s="30">
        <v>189000</v>
      </c>
      <c r="P27" s="30">
        <v>0</v>
      </c>
      <c r="Q27" s="30"/>
      <c r="R27" s="30">
        <v>0</v>
      </c>
      <c r="S27" s="30">
        <v>0</v>
      </c>
      <c r="T27" s="30"/>
      <c r="U27" s="30">
        <v>0</v>
      </c>
      <c r="V27" s="31">
        <v>0</v>
      </c>
    </row>
    <row r="28" spans="1:22">
      <c r="A28" s="1" t="s">
        <v>49</v>
      </c>
      <c r="B28" s="29">
        <v>-26281.273525991186</v>
      </c>
      <c r="C28" s="30">
        <v>-215696.91826423816</v>
      </c>
      <c r="D28" s="30">
        <v>0</v>
      </c>
      <c r="E28" s="30">
        <v>-116279.04180746642</v>
      </c>
      <c r="F28" s="30">
        <v>0</v>
      </c>
      <c r="G28" s="31">
        <f>SUM(MI_FINANCIAL)</f>
        <v>-358257.23359769577</v>
      </c>
      <c r="H28" s="30"/>
      <c r="I28" s="36"/>
      <c r="J28" s="37"/>
      <c r="K28" s="30"/>
      <c r="L28" s="29">
        <v>380000</v>
      </c>
      <c r="M28" s="30">
        <v>563200</v>
      </c>
      <c r="N28" s="30"/>
      <c r="O28" s="30">
        <v>3340000</v>
      </c>
      <c r="P28" s="30">
        <v>0</v>
      </c>
      <c r="Q28" s="30"/>
      <c r="R28" s="30">
        <v>0</v>
      </c>
      <c r="S28" s="30">
        <v>0</v>
      </c>
      <c r="T28" s="30"/>
      <c r="U28" s="30">
        <v>750000</v>
      </c>
      <c r="V28" s="31">
        <v>0</v>
      </c>
    </row>
    <row r="29" spans="1:22">
      <c r="A29" s="1" t="s">
        <v>50</v>
      </c>
      <c r="B29" s="29">
        <v>-6636.8798366875562</v>
      </c>
      <c r="C29" s="30">
        <v>-6412.2714800821996</v>
      </c>
      <c r="D29" s="30">
        <v>0</v>
      </c>
      <c r="E29" s="30">
        <v>-6934.0996778886329</v>
      </c>
      <c r="F29" s="30">
        <v>0</v>
      </c>
      <c r="G29" s="31">
        <f>SUM(MN_FINANCIAL)</f>
        <v>-19983.250994658389</v>
      </c>
      <c r="H29" s="30"/>
      <c r="I29" s="30"/>
      <c r="J29" s="30"/>
      <c r="K29" s="30"/>
      <c r="L29" s="29">
        <v>927500</v>
      </c>
      <c r="M29" s="30">
        <v>0</v>
      </c>
      <c r="N29" s="30"/>
      <c r="O29" s="30">
        <v>397500</v>
      </c>
      <c r="P29" s="30">
        <v>0</v>
      </c>
      <c r="Q29" s="30"/>
      <c r="R29" s="30">
        <v>0</v>
      </c>
      <c r="S29" s="30">
        <v>0</v>
      </c>
      <c r="T29" s="30"/>
      <c r="U29" s="30">
        <v>0</v>
      </c>
      <c r="V29" s="31">
        <v>0</v>
      </c>
    </row>
    <row r="30" spans="1:22">
      <c r="A30" s="1" t="s">
        <v>51</v>
      </c>
      <c r="B30" s="29">
        <v>3002.5079115918634</v>
      </c>
      <c r="C30" s="30">
        <v>2689.4620836847607</v>
      </c>
      <c r="D30" s="30">
        <v>0</v>
      </c>
      <c r="E30" s="30">
        <v>0</v>
      </c>
      <c r="F30" s="30">
        <v>0</v>
      </c>
      <c r="G30" s="31">
        <f>SUM(MS_FINANCIAL)</f>
        <v>5691.9699952766241</v>
      </c>
      <c r="H30" s="30"/>
      <c r="I30" s="30"/>
      <c r="J30" s="30"/>
      <c r="K30" s="30"/>
      <c r="L30" s="29">
        <v>311500</v>
      </c>
      <c r="M30" s="30">
        <v>0</v>
      </c>
      <c r="N30" s="30"/>
      <c r="O30" s="30">
        <v>0</v>
      </c>
      <c r="P30" s="30">
        <v>0</v>
      </c>
      <c r="Q30" s="30"/>
      <c r="R30" s="30">
        <v>0</v>
      </c>
      <c r="S30" s="30">
        <v>0</v>
      </c>
      <c r="T30" s="30"/>
      <c r="U30" s="30">
        <v>0</v>
      </c>
      <c r="V30" s="31">
        <v>0</v>
      </c>
    </row>
    <row r="31" spans="1:22">
      <c r="A31" s="1" t="s">
        <v>52</v>
      </c>
      <c r="B31" s="29">
        <v>6467.402166275424</v>
      </c>
      <c r="C31" s="30">
        <v>4246.5007701414288</v>
      </c>
      <c r="D31" s="30">
        <v>0</v>
      </c>
      <c r="E31" s="30">
        <v>0</v>
      </c>
      <c r="F31" s="30">
        <v>0</v>
      </c>
      <c r="G31" s="31">
        <f>SUM(MO_FINANCIAL)</f>
        <v>10713.902936416853</v>
      </c>
      <c r="H31" s="30"/>
      <c r="I31" s="30"/>
      <c r="J31" s="30"/>
      <c r="K31" s="30"/>
      <c r="L31" s="29">
        <v>850104</v>
      </c>
      <c r="M31" s="30">
        <v>0</v>
      </c>
      <c r="N31" s="30"/>
      <c r="O31" s="30">
        <v>11428</v>
      </c>
      <c r="P31" s="30">
        <v>0</v>
      </c>
      <c r="Q31" s="30"/>
      <c r="R31" s="30">
        <v>0</v>
      </c>
      <c r="S31" s="30">
        <v>0</v>
      </c>
      <c r="T31" s="30"/>
      <c r="U31" s="30">
        <v>0</v>
      </c>
      <c r="V31" s="31">
        <v>0</v>
      </c>
    </row>
    <row r="32" spans="1:22">
      <c r="A32" s="1" t="s">
        <v>53</v>
      </c>
      <c r="B32" s="29">
        <v>-6489.449534893356</v>
      </c>
      <c r="C32" s="30">
        <v>-2427.5484219762729</v>
      </c>
      <c r="D32" s="30">
        <v>0</v>
      </c>
      <c r="E32" s="30">
        <v>0</v>
      </c>
      <c r="F32" s="30">
        <v>0</v>
      </c>
      <c r="G32" s="31">
        <f>SUM(MT_FINANCIAL)</f>
        <v>-8916.997956869629</v>
      </c>
      <c r="H32" s="30"/>
      <c r="I32" s="30"/>
      <c r="J32" s="30"/>
      <c r="K32" s="30"/>
      <c r="L32" s="29">
        <v>145750</v>
      </c>
      <c r="M32" s="30">
        <v>0</v>
      </c>
      <c r="N32" s="30"/>
      <c r="O32" s="30">
        <v>59660</v>
      </c>
      <c r="P32" s="30">
        <v>0</v>
      </c>
      <c r="Q32" s="30"/>
      <c r="R32" s="30">
        <v>0</v>
      </c>
      <c r="S32" s="30">
        <v>0</v>
      </c>
      <c r="T32" s="30"/>
      <c r="U32" s="30">
        <v>0</v>
      </c>
      <c r="V32" s="31">
        <v>0</v>
      </c>
    </row>
    <row r="33" spans="1:22">
      <c r="A33" s="1" t="s">
        <v>54</v>
      </c>
      <c r="B33" s="29">
        <v>-2250.9039080564835</v>
      </c>
      <c r="C33" s="30">
        <v>-6473.0887977689854</v>
      </c>
      <c r="D33" s="30">
        <v>0</v>
      </c>
      <c r="E33" s="30">
        <v>0</v>
      </c>
      <c r="F33" s="30">
        <v>0</v>
      </c>
      <c r="G33" s="31">
        <f>SUM(NE_FINANCIAL)</f>
        <v>-8723.9927058254689</v>
      </c>
      <c r="H33" s="30"/>
      <c r="I33" s="30"/>
      <c r="J33" s="30"/>
      <c r="K33" s="30"/>
      <c r="L33" s="29">
        <v>176300</v>
      </c>
      <c r="M33" s="30">
        <v>0</v>
      </c>
      <c r="N33" s="30"/>
      <c r="O33" s="30">
        <v>40295</v>
      </c>
      <c r="P33" s="30">
        <v>0</v>
      </c>
      <c r="Q33" s="30"/>
      <c r="R33" s="30">
        <v>0</v>
      </c>
      <c r="S33" s="30">
        <v>0</v>
      </c>
      <c r="T33" s="30"/>
      <c r="U33" s="30">
        <v>0</v>
      </c>
      <c r="V33" s="31">
        <v>0</v>
      </c>
    </row>
    <row r="34" spans="1:22">
      <c r="A34" s="1" t="s">
        <v>55</v>
      </c>
      <c r="B34" s="29">
        <v>-27.984070952530601</v>
      </c>
      <c r="C34" s="30">
        <v>-15.052563103286957</v>
      </c>
      <c r="D34" s="30">
        <v>0</v>
      </c>
      <c r="E34" s="30">
        <v>0</v>
      </c>
      <c r="F34" s="30">
        <v>0</v>
      </c>
      <c r="G34" s="31">
        <f>SUM(NV_FINANCIAL)</f>
        <v>-43.036634055817558</v>
      </c>
      <c r="H34" s="30"/>
      <c r="I34" s="30"/>
      <c r="J34" s="30"/>
      <c r="K34" s="30"/>
      <c r="L34" s="29">
        <v>75100</v>
      </c>
      <c r="M34" s="30">
        <v>0</v>
      </c>
      <c r="N34" s="30"/>
      <c r="O34" s="30">
        <v>58300</v>
      </c>
      <c r="P34" s="30">
        <v>0</v>
      </c>
      <c r="Q34" s="30"/>
      <c r="R34" s="30">
        <v>0</v>
      </c>
      <c r="S34" s="30">
        <v>0</v>
      </c>
      <c r="T34" s="30"/>
      <c r="U34" s="30">
        <v>0</v>
      </c>
      <c r="V34" s="31">
        <v>0</v>
      </c>
    </row>
    <row r="35" spans="1:22">
      <c r="A35" s="1" t="s">
        <v>56</v>
      </c>
      <c r="B35" s="29">
        <v>-8188.309870572004</v>
      </c>
      <c r="C35" s="30">
        <v>-36680.392599245533</v>
      </c>
      <c r="D35" s="30">
        <v>0</v>
      </c>
      <c r="E35" s="30">
        <v>0</v>
      </c>
      <c r="F35" s="30">
        <v>0</v>
      </c>
      <c r="G35" s="31">
        <f>SUM(NH_FINANCIAL)</f>
        <v>-44868.702469817537</v>
      </c>
      <c r="H35" s="30"/>
      <c r="I35" s="30"/>
      <c r="J35" s="30"/>
      <c r="K35" s="30"/>
      <c r="L35" s="29">
        <v>140000</v>
      </c>
      <c r="M35" s="30">
        <v>107002</v>
      </c>
      <c r="N35" s="30"/>
      <c r="O35" s="30">
        <v>360000</v>
      </c>
      <c r="P35" s="30">
        <v>446376</v>
      </c>
      <c r="Q35" s="30"/>
      <c r="R35" s="30">
        <v>0</v>
      </c>
      <c r="S35" s="30">
        <v>0</v>
      </c>
      <c r="T35" s="30"/>
      <c r="U35" s="30">
        <v>0</v>
      </c>
      <c r="V35" s="31">
        <v>0</v>
      </c>
    </row>
    <row r="36" spans="1:22">
      <c r="A36" s="1" t="s">
        <v>57</v>
      </c>
      <c r="B36" s="29">
        <v>-51871.711293566739</v>
      </c>
      <c r="C36" s="30">
        <v>-281812.55137302633</v>
      </c>
      <c r="D36" s="30">
        <v>0</v>
      </c>
      <c r="E36" s="30">
        <v>-15919.844581460289</v>
      </c>
      <c r="F36" s="30">
        <v>0</v>
      </c>
      <c r="G36" s="31">
        <f>SUM(NJ_FINANCIAL)</f>
        <v>-349604.10724805336</v>
      </c>
      <c r="H36" s="30"/>
      <c r="I36" s="30"/>
      <c r="J36" s="30"/>
      <c r="K36" s="30"/>
      <c r="L36" s="29">
        <v>1260000</v>
      </c>
      <c r="M36" s="30">
        <v>1627581</v>
      </c>
      <c r="N36" s="30"/>
      <c r="O36" s="30">
        <v>3740000</v>
      </c>
      <c r="P36" s="30">
        <v>4616428</v>
      </c>
      <c r="Q36" s="30"/>
      <c r="R36" s="30">
        <v>0</v>
      </c>
      <c r="S36" s="30">
        <v>0</v>
      </c>
      <c r="T36" s="30"/>
      <c r="U36" s="30">
        <v>500000</v>
      </c>
      <c r="V36" s="31">
        <v>610524</v>
      </c>
    </row>
    <row r="37" spans="1:22">
      <c r="A37" s="1" t="s">
        <v>58</v>
      </c>
      <c r="B37" s="29">
        <v>997.58861241524573</v>
      </c>
      <c r="C37" s="30">
        <v>1210.3962298621773</v>
      </c>
      <c r="D37" s="30">
        <v>0</v>
      </c>
      <c r="E37" s="30">
        <v>0</v>
      </c>
      <c r="F37" s="30">
        <v>0</v>
      </c>
      <c r="G37" s="31">
        <f>SUM(NM_FINANCIAL)</f>
        <v>2207.984842277423</v>
      </c>
      <c r="H37" s="30"/>
      <c r="I37" s="30"/>
      <c r="J37" s="30"/>
      <c r="K37" s="30"/>
      <c r="L37" s="29">
        <v>1000000</v>
      </c>
      <c r="M37" s="30">
        <v>0</v>
      </c>
      <c r="N37" s="30"/>
      <c r="O37" s="30">
        <v>302243</v>
      </c>
      <c r="P37" s="30">
        <v>0</v>
      </c>
      <c r="Q37" s="30"/>
      <c r="R37" s="30">
        <v>0</v>
      </c>
      <c r="S37" s="30">
        <v>0</v>
      </c>
      <c r="T37" s="30"/>
      <c r="U37" s="30">
        <v>0</v>
      </c>
      <c r="V37" s="31">
        <v>0</v>
      </c>
    </row>
    <row r="38" spans="1:22">
      <c r="A38" s="1" t="s">
        <v>59</v>
      </c>
      <c r="B38" s="29">
        <v>-99386.970106366789</v>
      </c>
      <c r="C38" s="30">
        <v>-265512.21401918307</v>
      </c>
      <c r="D38" s="30">
        <v>0</v>
      </c>
      <c r="E38" s="30">
        <v>-9646.7778394741181</v>
      </c>
      <c r="F38" s="30">
        <v>0</v>
      </c>
      <c r="G38" s="31">
        <f>SUM(NY_FINANCIAL)</f>
        <v>-374545.96196502401</v>
      </c>
      <c r="H38" s="30"/>
      <c r="I38" s="30"/>
      <c r="J38" s="30"/>
      <c r="K38" s="30"/>
      <c r="L38" s="29">
        <v>91500000</v>
      </c>
      <c r="M38" s="30">
        <v>54000000</v>
      </c>
      <c r="N38" s="30"/>
      <c r="O38" s="30">
        <v>0</v>
      </c>
      <c r="P38" s="30">
        <v>0</v>
      </c>
      <c r="Q38" s="30"/>
      <c r="R38" s="30">
        <v>0</v>
      </c>
      <c r="S38" s="30">
        <v>0</v>
      </c>
      <c r="T38" s="30"/>
      <c r="U38" s="30">
        <v>0</v>
      </c>
      <c r="V38" s="31">
        <v>0</v>
      </c>
    </row>
    <row r="39" spans="1:22">
      <c r="A39" s="1" t="s">
        <v>60</v>
      </c>
      <c r="B39" s="29">
        <v>-11324.720400752063</v>
      </c>
      <c r="C39" s="30">
        <v>-11110.34497308702</v>
      </c>
      <c r="D39" s="30">
        <v>0</v>
      </c>
      <c r="E39" s="30">
        <v>-648.78369296178244</v>
      </c>
      <c r="F39" s="30">
        <v>0</v>
      </c>
      <c r="G39" s="31">
        <f>SUM(NC_FINANCIAL)</f>
        <v>-23083.849066800867</v>
      </c>
      <c r="H39" s="30"/>
      <c r="I39" s="30"/>
      <c r="J39" s="30"/>
      <c r="K39" s="30"/>
      <c r="L39" s="29">
        <v>250000</v>
      </c>
      <c r="M39" s="30">
        <v>275000</v>
      </c>
      <c r="N39" s="30"/>
      <c r="O39" s="30">
        <v>250000</v>
      </c>
      <c r="P39" s="30">
        <v>275000</v>
      </c>
      <c r="Q39" s="30"/>
      <c r="R39" s="30">
        <v>0</v>
      </c>
      <c r="S39" s="30">
        <v>0</v>
      </c>
      <c r="T39" s="30"/>
      <c r="U39" s="30">
        <v>0</v>
      </c>
      <c r="V39" s="31">
        <v>0</v>
      </c>
    </row>
    <row r="40" spans="1:22">
      <c r="A40" s="1" t="s">
        <v>61</v>
      </c>
      <c r="B40" s="29">
        <v>4426.3335341239872</v>
      </c>
      <c r="C40" s="30">
        <v>353.38385212330286</v>
      </c>
      <c r="D40" s="30">
        <v>0</v>
      </c>
      <c r="E40" s="30">
        <v>0</v>
      </c>
      <c r="F40" s="30">
        <v>0</v>
      </c>
      <c r="G40" s="31">
        <f>SUM(ND_FINANCIAL)</f>
        <v>4779.7173862472901</v>
      </c>
      <c r="H40" s="30"/>
      <c r="I40" s="30"/>
      <c r="J40" s="30"/>
      <c r="K40" s="30"/>
      <c r="L40" s="29">
        <v>10253</v>
      </c>
      <c r="M40" s="30">
        <v>0</v>
      </c>
      <c r="N40" s="30"/>
      <c r="O40" s="30">
        <v>502</v>
      </c>
      <c r="P40" s="30">
        <v>0</v>
      </c>
      <c r="Q40" s="30"/>
      <c r="R40" s="30">
        <v>0</v>
      </c>
      <c r="S40" s="30">
        <v>0</v>
      </c>
      <c r="T40" s="30"/>
      <c r="U40" s="30">
        <v>0</v>
      </c>
      <c r="V40" s="31">
        <v>0</v>
      </c>
    </row>
    <row r="41" spans="1:22">
      <c r="A41" s="1" t="s">
        <v>62</v>
      </c>
      <c r="B41" s="29">
        <v>-25718.786723923287</v>
      </c>
      <c r="C41" s="30">
        <v>-33373.523756944574</v>
      </c>
      <c r="D41" s="30">
        <v>0</v>
      </c>
      <c r="E41" s="30">
        <v>-5925.4734451940167</v>
      </c>
      <c r="F41" s="30">
        <v>0</v>
      </c>
      <c r="G41" s="31">
        <f>SUM(OH_FINANCIAL)</f>
        <v>-65017.783926061878</v>
      </c>
      <c r="H41" s="30"/>
      <c r="I41" s="30"/>
      <c r="J41" s="30"/>
      <c r="K41" s="30"/>
      <c r="L41" s="29">
        <v>200000</v>
      </c>
      <c r="M41" s="30">
        <v>0</v>
      </c>
      <c r="N41" s="30"/>
      <c r="O41" s="30">
        <v>150000</v>
      </c>
      <c r="P41" s="30">
        <v>0</v>
      </c>
      <c r="Q41" s="30"/>
      <c r="R41" s="30">
        <v>0</v>
      </c>
      <c r="S41" s="30">
        <v>0</v>
      </c>
      <c r="T41" s="30"/>
      <c r="U41" s="30">
        <v>150000</v>
      </c>
      <c r="V41" s="31">
        <v>0</v>
      </c>
    </row>
    <row r="42" spans="1:22">
      <c r="A42" s="1" t="s">
        <v>63</v>
      </c>
      <c r="B42" s="29">
        <v>-4677.6324068559043</v>
      </c>
      <c r="C42" s="30">
        <v>-1957.5953304577852</v>
      </c>
      <c r="D42" s="30">
        <v>0</v>
      </c>
      <c r="E42" s="30">
        <v>0</v>
      </c>
      <c r="F42" s="30">
        <v>0</v>
      </c>
      <c r="G42" s="31">
        <f>SUM(OK_FINANCIAL)</f>
        <v>-6635.2277373136894</v>
      </c>
      <c r="H42" s="30"/>
      <c r="I42" s="30"/>
      <c r="J42" s="30"/>
      <c r="K42" s="30"/>
      <c r="L42" s="29">
        <v>155000</v>
      </c>
      <c r="M42" s="30">
        <v>148000</v>
      </c>
      <c r="N42" s="30"/>
      <c r="O42" s="30">
        <v>95000</v>
      </c>
      <c r="P42" s="30">
        <v>92000</v>
      </c>
      <c r="Q42" s="30"/>
      <c r="R42" s="30">
        <v>0</v>
      </c>
      <c r="S42" s="30">
        <v>0</v>
      </c>
      <c r="T42" s="30"/>
      <c r="U42" s="30">
        <v>0</v>
      </c>
      <c r="V42" s="31">
        <v>0</v>
      </c>
    </row>
    <row r="43" spans="1:22">
      <c r="A43" s="1" t="s">
        <v>64</v>
      </c>
      <c r="B43" s="29">
        <v>-1405.2318078605531</v>
      </c>
      <c r="C43" s="30">
        <v>-9131.4689069739252</v>
      </c>
      <c r="D43" s="30">
        <v>0</v>
      </c>
      <c r="E43" s="30">
        <v>0</v>
      </c>
      <c r="F43" s="30">
        <v>0</v>
      </c>
      <c r="G43" s="31">
        <f>SUM(OR_FINANCIAL)</f>
        <v>-10536.700714834478</v>
      </c>
      <c r="H43" s="30"/>
      <c r="I43" s="30"/>
      <c r="J43" s="30"/>
      <c r="K43" s="30"/>
      <c r="L43" s="29"/>
      <c r="M43" s="30"/>
      <c r="N43" s="30"/>
      <c r="O43" s="30"/>
      <c r="P43" s="30"/>
      <c r="Q43" s="30"/>
      <c r="R43" s="30"/>
      <c r="S43" s="30"/>
      <c r="T43" s="30"/>
      <c r="U43" s="30"/>
      <c r="V43" s="31"/>
    </row>
    <row r="44" spans="1:22">
      <c r="A44" s="1" t="s">
        <v>65</v>
      </c>
      <c r="B44" s="29">
        <v>-43459.785080580506</v>
      </c>
      <c r="C44" s="30">
        <v>-24559.645898175717</v>
      </c>
      <c r="D44" s="30">
        <v>0</v>
      </c>
      <c r="E44" s="30">
        <v>-7192.6298240282485</v>
      </c>
      <c r="F44" s="30">
        <v>0</v>
      </c>
      <c r="G44" s="31">
        <f>SUM(PA_FINANCIAL)</f>
        <v>-75212.060802784472</v>
      </c>
      <c r="H44" s="30"/>
      <c r="I44" s="30"/>
      <c r="J44" s="30"/>
      <c r="K44" s="30"/>
      <c r="L44" s="29">
        <v>500000</v>
      </c>
      <c r="M44" s="30">
        <v>0</v>
      </c>
      <c r="N44" s="30"/>
      <c r="O44" s="30">
        <v>0</v>
      </c>
      <c r="P44" s="30">
        <v>0</v>
      </c>
      <c r="Q44" s="30"/>
      <c r="R44" s="30">
        <v>0</v>
      </c>
      <c r="S44" s="30">
        <v>0</v>
      </c>
      <c r="T44" s="30"/>
      <c r="U44" s="30">
        <v>0</v>
      </c>
      <c r="V44" s="31">
        <v>0</v>
      </c>
    </row>
    <row r="45" spans="1:22">
      <c r="A45" s="1" t="s">
        <v>66</v>
      </c>
      <c r="B45" s="29">
        <v>-62.506773424260246</v>
      </c>
      <c r="C45" s="30">
        <v>-163.53660800462512</v>
      </c>
      <c r="D45" s="30">
        <v>0</v>
      </c>
      <c r="E45" s="30">
        <v>0</v>
      </c>
      <c r="F45" s="30">
        <v>0</v>
      </c>
      <c r="G45" s="31">
        <f>SUM(PR_FINANCIAL)</f>
        <v>-226.04338142888537</v>
      </c>
      <c r="H45" s="30"/>
      <c r="I45" s="30"/>
      <c r="J45" s="30"/>
      <c r="K45" s="30"/>
      <c r="L45" s="29"/>
      <c r="M45" s="30"/>
      <c r="N45" s="30"/>
      <c r="O45" s="30"/>
      <c r="P45" s="30"/>
      <c r="Q45" s="30"/>
      <c r="R45" s="30"/>
      <c r="S45" s="30"/>
      <c r="T45" s="30"/>
      <c r="U45" s="30"/>
      <c r="V45" s="31"/>
    </row>
    <row r="46" spans="1:22">
      <c r="A46" s="1" t="s">
        <v>67</v>
      </c>
      <c r="B46" s="29">
        <v>-1224.8731052013463</v>
      </c>
      <c r="C46" s="30">
        <v>-511.14761428110069</v>
      </c>
      <c r="D46" s="30">
        <v>0</v>
      </c>
      <c r="E46" s="30">
        <v>0</v>
      </c>
      <c r="F46" s="30">
        <v>0</v>
      </c>
      <c r="G46" s="31">
        <f>SUM(RI_FINANCIAL)</f>
        <v>-1736.020719482447</v>
      </c>
      <c r="H46" s="30"/>
      <c r="I46" s="30"/>
      <c r="J46" s="30"/>
      <c r="K46" s="30"/>
      <c r="L46" s="29">
        <v>66025</v>
      </c>
      <c r="M46" s="30">
        <v>0</v>
      </c>
      <c r="N46" s="30"/>
      <c r="O46" s="30">
        <v>67975</v>
      </c>
      <c r="P46" s="30">
        <v>0</v>
      </c>
      <c r="Q46" s="30"/>
      <c r="R46" s="30">
        <v>0</v>
      </c>
      <c r="S46" s="30">
        <v>0</v>
      </c>
      <c r="T46" s="30"/>
      <c r="U46" s="30">
        <v>0</v>
      </c>
      <c r="V46" s="31">
        <v>0</v>
      </c>
    </row>
    <row r="47" spans="1:22">
      <c r="A47" s="1" t="s">
        <v>68</v>
      </c>
      <c r="B47" s="29">
        <v>-8477.5013482101494</v>
      </c>
      <c r="C47" s="30">
        <v>-5447.2942464699881</v>
      </c>
      <c r="D47" s="30">
        <v>0</v>
      </c>
      <c r="E47" s="30">
        <v>0</v>
      </c>
      <c r="F47" s="30">
        <v>0</v>
      </c>
      <c r="G47" s="31">
        <f>SUM(SC_FINANCIAL)</f>
        <v>-13924.795594680138</v>
      </c>
      <c r="H47" s="30"/>
      <c r="I47" s="30"/>
      <c r="J47" s="30"/>
      <c r="K47" s="30"/>
      <c r="L47" s="29"/>
      <c r="M47" s="30"/>
      <c r="N47" s="30"/>
      <c r="O47" s="30"/>
      <c r="P47" s="30"/>
      <c r="Q47" s="30"/>
      <c r="R47" s="30"/>
      <c r="S47" s="30"/>
      <c r="T47" s="30"/>
      <c r="U47" s="30"/>
      <c r="V47" s="31"/>
    </row>
    <row r="48" spans="1:22">
      <c r="A48" s="1" t="s">
        <v>69</v>
      </c>
      <c r="B48" s="29">
        <v>-44.354634123359574</v>
      </c>
      <c r="C48" s="30">
        <v>-4.1667831893955736</v>
      </c>
      <c r="D48" s="30">
        <v>0</v>
      </c>
      <c r="E48" s="30">
        <v>0</v>
      </c>
      <c r="F48" s="30">
        <v>0</v>
      </c>
      <c r="G48" s="31">
        <f>SUM(SD_FINANCIAL)</f>
        <v>-48.521417312755148</v>
      </c>
      <c r="H48" s="30"/>
      <c r="I48" s="30"/>
      <c r="J48" s="30"/>
      <c r="K48" s="30"/>
      <c r="L48" s="29">
        <v>1900000</v>
      </c>
      <c r="M48" s="30">
        <v>2065520</v>
      </c>
      <c r="N48" s="30"/>
      <c r="O48" s="30">
        <v>0</v>
      </c>
      <c r="P48" s="30">
        <v>0</v>
      </c>
      <c r="Q48" s="30"/>
      <c r="R48" s="30">
        <v>0</v>
      </c>
      <c r="S48" s="30">
        <v>0</v>
      </c>
      <c r="T48" s="30"/>
      <c r="U48" s="30">
        <v>0</v>
      </c>
      <c r="V48" s="31">
        <v>0</v>
      </c>
    </row>
    <row r="49" spans="1:22">
      <c r="A49" s="1" t="s">
        <v>70</v>
      </c>
      <c r="B49" s="29">
        <v>-9513.496351928392</v>
      </c>
      <c r="C49" s="30">
        <v>-1949.3074343806657</v>
      </c>
      <c r="D49" s="30">
        <v>0</v>
      </c>
      <c r="E49" s="30">
        <v>0</v>
      </c>
      <c r="F49" s="30">
        <v>0</v>
      </c>
      <c r="G49" s="31">
        <f>SUM(TN_FINANCIAL)</f>
        <v>-11462.803786309058</v>
      </c>
      <c r="H49" s="30"/>
      <c r="I49" s="30"/>
      <c r="J49" s="30"/>
      <c r="K49" s="30"/>
      <c r="L49" s="29">
        <v>300000</v>
      </c>
      <c r="M49" s="30">
        <v>0</v>
      </c>
      <c r="N49" s="30"/>
      <c r="O49" s="30">
        <v>130000</v>
      </c>
      <c r="P49" s="30">
        <v>0</v>
      </c>
      <c r="Q49" s="30"/>
      <c r="R49" s="30">
        <v>0</v>
      </c>
      <c r="S49" s="30">
        <v>0</v>
      </c>
      <c r="T49" s="30"/>
      <c r="U49" s="30">
        <v>0</v>
      </c>
      <c r="V49" s="31">
        <v>0</v>
      </c>
    </row>
    <row r="50" spans="1:22">
      <c r="A50" s="1" t="s">
        <v>71</v>
      </c>
      <c r="B50" s="29">
        <v>-26454.004278681474</v>
      </c>
      <c r="C50" s="30">
        <v>-8146.3219346582191</v>
      </c>
      <c r="D50" s="30">
        <v>0</v>
      </c>
      <c r="E50" s="30">
        <v>-4122.921443226558</v>
      </c>
      <c r="F50" s="30">
        <v>0</v>
      </c>
      <c r="G50" s="31">
        <f>SUM(TX_FINANCIAL)</f>
        <v>-38723.247656566251</v>
      </c>
      <c r="H50" s="30"/>
      <c r="I50" s="30"/>
      <c r="J50" s="30"/>
      <c r="K50" s="30"/>
      <c r="L50" s="29">
        <v>678676</v>
      </c>
      <c r="M50" s="30">
        <v>827199.84725399991</v>
      </c>
      <c r="N50" s="30"/>
      <c r="O50" s="30">
        <v>120850</v>
      </c>
      <c r="P50" s="30">
        <v>147222.508026</v>
      </c>
      <c r="Q50" s="30"/>
      <c r="R50" s="30">
        <v>3545420</v>
      </c>
      <c r="S50" s="30">
        <v>4321351.3147200001</v>
      </c>
      <c r="T50" s="30"/>
      <c r="U50" s="30">
        <v>0</v>
      </c>
      <c r="V50" s="31">
        <v>0</v>
      </c>
    </row>
    <row r="51" spans="1:22">
      <c r="A51" s="1" t="s">
        <v>72</v>
      </c>
      <c r="B51" s="29">
        <v>1891.7268221105041</v>
      </c>
      <c r="C51" s="30">
        <v>879.31085820729641</v>
      </c>
      <c r="D51" s="30">
        <v>0</v>
      </c>
      <c r="E51" s="30">
        <v>3055.4325927039899</v>
      </c>
      <c r="F51" s="30">
        <v>0</v>
      </c>
      <c r="G51" s="31">
        <f>SUM(UT_FINANCIAL)</f>
        <v>5826.4702730217905</v>
      </c>
      <c r="H51" s="30"/>
      <c r="I51" s="30"/>
      <c r="J51" s="30"/>
      <c r="K51" s="30"/>
      <c r="L51" s="29">
        <v>373502</v>
      </c>
      <c r="M51" s="30">
        <v>318285</v>
      </c>
      <c r="N51" s="30"/>
      <c r="O51" s="30">
        <v>123276</v>
      </c>
      <c r="P51" s="30">
        <v>106095</v>
      </c>
      <c r="Q51" s="30"/>
      <c r="R51" s="30">
        <v>3221</v>
      </c>
      <c r="S51" s="30">
        <v>0</v>
      </c>
      <c r="T51" s="30"/>
      <c r="U51" s="30">
        <v>0</v>
      </c>
      <c r="V51" s="31">
        <v>0</v>
      </c>
    </row>
    <row r="52" spans="1:22">
      <c r="A52" s="1" t="s">
        <v>73</v>
      </c>
      <c r="B52" s="29">
        <v>-1234.1059176188155</v>
      </c>
      <c r="C52" s="30">
        <v>-15956.158169840637</v>
      </c>
      <c r="D52" s="30">
        <v>0</v>
      </c>
      <c r="E52" s="30">
        <v>-3903.7641015315021</v>
      </c>
      <c r="F52" s="30">
        <v>0</v>
      </c>
      <c r="G52" s="31">
        <f>SUM(VT_FINANCIAL)</f>
        <v>-21094.028188990953</v>
      </c>
      <c r="H52" s="30"/>
      <c r="I52" s="30"/>
      <c r="J52" s="30"/>
      <c r="K52" s="30"/>
      <c r="L52" s="29">
        <v>23000</v>
      </c>
      <c r="M52" s="30">
        <v>0</v>
      </c>
      <c r="N52" s="30"/>
      <c r="O52" s="30">
        <v>219500</v>
      </c>
      <c r="P52" s="30">
        <v>0</v>
      </c>
      <c r="Q52" s="30"/>
      <c r="R52" s="30">
        <v>0</v>
      </c>
      <c r="S52" s="30">
        <v>0</v>
      </c>
      <c r="T52" s="30"/>
      <c r="U52" s="30">
        <v>0</v>
      </c>
      <c r="V52" s="31">
        <v>0</v>
      </c>
    </row>
    <row r="53" spans="1:22">
      <c r="A53" s="1" t="s">
        <v>74</v>
      </c>
      <c r="B53" s="29">
        <v>-4062.9111771342577</v>
      </c>
      <c r="C53" s="30">
        <v>-3535.2676829569391</v>
      </c>
      <c r="D53" s="30">
        <v>0</v>
      </c>
      <c r="E53" s="30">
        <v>0</v>
      </c>
      <c r="F53" s="30">
        <v>0</v>
      </c>
      <c r="G53" s="31">
        <f>SUM(VA_FINANCIAL)</f>
        <v>-7598.1788600911968</v>
      </c>
      <c r="H53" s="30"/>
      <c r="I53" s="30"/>
      <c r="J53" s="30"/>
      <c r="K53" s="30"/>
      <c r="L53" s="29">
        <v>683540</v>
      </c>
      <c r="M53" s="30">
        <v>1010868</v>
      </c>
      <c r="N53" s="30"/>
      <c r="O53" s="30">
        <v>8711</v>
      </c>
      <c r="P53" s="30">
        <v>7374</v>
      </c>
      <c r="Q53" s="30"/>
      <c r="R53" s="30">
        <v>398463</v>
      </c>
      <c r="S53" s="30">
        <v>420000</v>
      </c>
      <c r="T53" s="30"/>
      <c r="U53" s="30">
        <v>0</v>
      </c>
      <c r="V53" s="31">
        <v>0</v>
      </c>
    </row>
    <row r="54" spans="1:22">
      <c r="A54" s="1" t="s">
        <v>75</v>
      </c>
      <c r="B54" s="29">
        <v>-3353.3005562562903</v>
      </c>
      <c r="C54" s="30">
        <v>-19266.876843377133</v>
      </c>
      <c r="D54" s="30">
        <v>0</v>
      </c>
      <c r="E54" s="30">
        <v>-493.73891868887404</v>
      </c>
      <c r="F54" s="30">
        <v>0</v>
      </c>
      <c r="G54" s="31">
        <f>SUM(WA_FINANCIAL)</f>
        <v>-23113.916318322299</v>
      </c>
      <c r="H54" s="30"/>
      <c r="I54" s="30"/>
      <c r="J54" s="30"/>
      <c r="K54" s="30"/>
      <c r="L54" s="29"/>
      <c r="M54" s="30"/>
      <c r="N54" s="30"/>
      <c r="O54" s="30"/>
      <c r="P54" s="30"/>
      <c r="Q54" s="30"/>
      <c r="R54" s="30"/>
      <c r="S54" s="30"/>
      <c r="T54" s="30"/>
      <c r="U54" s="30"/>
      <c r="V54" s="31"/>
    </row>
    <row r="55" spans="1:22">
      <c r="A55" s="1" t="s">
        <v>76</v>
      </c>
      <c r="B55" s="29">
        <v>-3377.8716799038375</v>
      </c>
      <c r="C55" s="30">
        <v>-711.88581042809165</v>
      </c>
      <c r="D55" s="30">
        <v>0</v>
      </c>
      <c r="E55" s="30">
        <v>0</v>
      </c>
      <c r="F55" s="30">
        <v>0</v>
      </c>
      <c r="G55" s="31">
        <f>SUM(WV_FINANCIAL)</f>
        <v>-4089.7574903319291</v>
      </c>
      <c r="H55" s="30"/>
      <c r="I55" s="30"/>
      <c r="J55" s="30"/>
      <c r="K55" s="30"/>
      <c r="L55" s="29">
        <v>51698</v>
      </c>
      <c r="M55" s="30">
        <v>63442</v>
      </c>
      <c r="N55" s="30"/>
      <c r="O55" s="30">
        <v>2293</v>
      </c>
      <c r="P55" s="30">
        <v>351</v>
      </c>
      <c r="Q55" s="30"/>
      <c r="R55" s="30">
        <v>79100</v>
      </c>
      <c r="S55" s="30">
        <v>95605</v>
      </c>
      <c r="T55" s="30"/>
      <c r="U55" s="30">
        <v>0</v>
      </c>
      <c r="V55" s="31">
        <v>0</v>
      </c>
    </row>
    <row r="56" spans="1:22">
      <c r="A56" s="1" t="s">
        <v>77</v>
      </c>
      <c r="B56" s="29">
        <v>-3104.111186220689</v>
      </c>
      <c r="C56" s="30">
        <v>-1582.1765605368128</v>
      </c>
      <c r="D56" s="30">
        <v>0</v>
      </c>
      <c r="E56" s="30">
        <v>0</v>
      </c>
      <c r="F56" s="30">
        <v>0</v>
      </c>
      <c r="G56" s="31">
        <f>SUM(WI_FINANCIAL)</f>
        <v>-4686.2877467575017</v>
      </c>
      <c r="H56" s="30"/>
      <c r="I56" s="30"/>
      <c r="J56" s="30"/>
      <c r="K56" s="30"/>
      <c r="L56" s="29"/>
      <c r="M56" s="30"/>
      <c r="N56" s="30"/>
      <c r="O56" s="30"/>
      <c r="P56" s="30"/>
      <c r="Q56" s="30"/>
      <c r="R56" s="30"/>
      <c r="S56" s="30"/>
      <c r="T56" s="30"/>
      <c r="U56" s="30"/>
      <c r="V56" s="31"/>
    </row>
    <row r="57" spans="1:22">
      <c r="A57" s="1" t="s">
        <v>78</v>
      </c>
      <c r="B57" s="29">
        <v>-4373.6820939973113</v>
      </c>
      <c r="C57" s="30">
        <v>-57.885947374422358</v>
      </c>
      <c r="D57" s="30">
        <v>0</v>
      </c>
      <c r="E57" s="30">
        <v>0</v>
      </c>
      <c r="F57" s="30">
        <v>0</v>
      </c>
      <c r="G57" s="31">
        <f>SUM(WY_FINANCIAL)</f>
        <v>-4431.5680413717337</v>
      </c>
      <c r="H57" s="30"/>
      <c r="I57" s="30"/>
      <c r="J57" s="30"/>
      <c r="K57" s="30"/>
      <c r="L57" s="29">
        <v>214537</v>
      </c>
      <c r="M57" s="30">
        <v>0</v>
      </c>
      <c r="N57" s="30"/>
      <c r="O57" s="30">
        <v>16178</v>
      </c>
      <c r="P57" s="30">
        <v>0</v>
      </c>
      <c r="Q57" s="30"/>
      <c r="R57" s="30">
        <v>105957</v>
      </c>
      <c r="S57" s="30">
        <v>0</v>
      </c>
      <c r="T57" s="30"/>
      <c r="U57" s="30">
        <v>0</v>
      </c>
      <c r="V57" s="31">
        <v>0</v>
      </c>
    </row>
    <row r="58" spans="1:22">
      <c r="A58" s="1" t="s">
        <v>79</v>
      </c>
      <c r="B58" s="29">
        <v>0</v>
      </c>
      <c r="C58" s="30">
        <v>0</v>
      </c>
      <c r="D58" s="30">
        <v>0</v>
      </c>
      <c r="E58" s="30">
        <v>0</v>
      </c>
      <c r="F58" s="30">
        <v>0</v>
      </c>
      <c r="G58" s="31">
        <f>SUM(OT_FINANCIAL)</f>
        <v>0</v>
      </c>
      <c r="H58" s="30"/>
      <c r="I58" s="30"/>
      <c r="J58" s="30"/>
      <c r="K58" s="30"/>
      <c r="L58" s="29"/>
      <c r="M58" s="30"/>
      <c r="N58" s="30"/>
      <c r="O58" s="30"/>
      <c r="P58" s="30"/>
      <c r="Q58" s="30"/>
      <c r="R58" s="30"/>
      <c r="S58" s="30"/>
      <c r="T58" s="30"/>
      <c r="U58" s="30"/>
      <c r="V58" s="31"/>
    </row>
    <row r="59" spans="1:22">
      <c r="B59" s="29"/>
      <c r="C59" s="30"/>
      <c r="D59" s="30"/>
      <c r="E59" s="30"/>
      <c r="F59" s="30"/>
      <c r="G59" s="31"/>
      <c r="H59" s="30"/>
      <c r="I59" s="30"/>
      <c r="J59" s="30"/>
      <c r="K59" s="30"/>
      <c r="L59" s="29"/>
      <c r="M59" s="30"/>
      <c r="N59" s="30"/>
      <c r="O59" s="30"/>
      <c r="P59" s="30"/>
      <c r="Q59" s="30"/>
      <c r="R59" s="30"/>
      <c r="S59" s="30"/>
      <c r="T59" s="30"/>
      <c r="U59" s="30"/>
      <c r="V59" s="31"/>
    </row>
    <row r="60" spans="1:22">
      <c r="A60" s="1" t="s">
        <v>8</v>
      </c>
      <c r="B60" s="29">
        <f>SUM(LIFE)</f>
        <v>-381962.22322039324</v>
      </c>
      <c r="C60" s="30">
        <f>SUM(ALLOCATED)</f>
        <v>-1112649.6289279202</v>
      </c>
      <c r="D60" s="30">
        <f>SUM(HEALTH)</f>
        <v>0</v>
      </c>
      <c r="E60" s="30">
        <f>SUM(UNALLOCATED)</f>
        <v>-170796.59785140699</v>
      </c>
      <c r="F60" s="30">
        <f>SUM(LTC)</f>
        <v>0</v>
      </c>
      <c r="G60" s="31">
        <f>SUM(ALL_BLOCKS)</f>
        <v>-1665408.4499997196</v>
      </c>
      <c r="H60" s="30"/>
      <c r="I60" s="30"/>
      <c r="J60" s="30"/>
      <c r="K60" s="30"/>
      <c r="L60" s="29">
        <f>SUM(LIFE_CALLED)</f>
        <v>113928847</v>
      </c>
      <c r="M60" s="30">
        <f>SUM(LIFE_REFUNDED)</f>
        <v>73393423.847253993</v>
      </c>
      <c r="N60" s="30"/>
      <c r="O60" s="30">
        <f>SUM(ALLOC_CALLED)</f>
        <v>16270649</v>
      </c>
      <c r="P60" s="30">
        <f>SUM(ALLOC_REFUNDED)</f>
        <v>12224649.138025999</v>
      </c>
      <c r="Q60" s="30"/>
      <c r="R60" s="30">
        <f>SUM(HEALTH_CALLED)</f>
        <v>4132289</v>
      </c>
      <c r="S60" s="30">
        <f>SUM(HEALTH_REFUNDED)</f>
        <v>4836956.3147200001</v>
      </c>
      <c r="T60" s="30"/>
      <c r="U60" s="30">
        <f>SUM(UNALLOC_CALLED)</f>
        <v>2139524</v>
      </c>
      <c r="V60" s="31">
        <f>SUM(UNALLOC_REFUNDED)</f>
        <v>1843252.74</v>
      </c>
    </row>
    <row r="61" spans="1:22" ht="5.0999999999999996" customHeight="1">
      <c r="B61" s="8"/>
      <c r="G61" s="11"/>
      <c r="L61" s="8"/>
      <c r="V61" s="11"/>
    </row>
    <row r="62" spans="1:22">
      <c r="B62" s="8"/>
      <c r="G62" s="11"/>
      <c r="L62" s="122" t="s">
        <v>80</v>
      </c>
      <c r="M62" s="123"/>
      <c r="N62" s="123"/>
      <c r="O62" s="123"/>
      <c r="P62" s="123"/>
      <c r="Q62" s="123"/>
      <c r="R62" s="123"/>
      <c r="S62" s="123"/>
      <c r="T62" s="123"/>
      <c r="U62" s="123"/>
      <c r="V62" s="124"/>
    </row>
    <row r="63" spans="1:22">
      <c r="B63" s="8"/>
      <c r="G63" s="11"/>
      <c r="L63" s="125"/>
      <c r="M63" s="123"/>
      <c r="N63" s="123"/>
      <c r="O63" s="123"/>
      <c r="P63" s="123"/>
      <c r="Q63" s="123"/>
      <c r="R63" s="123"/>
      <c r="S63" s="123"/>
      <c r="T63" s="123"/>
      <c r="U63" s="123"/>
      <c r="V63" s="124"/>
    </row>
    <row r="64" spans="1:22">
      <c r="B64" s="10"/>
      <c r="C64" s="7"/>
      <c r="D64" s="7"/>
      <c r="E64" s="7"/>
      <c r="F64" s="7"/>
      <c r="G64" s="13"/>
      <c r="L64" s="126"/>
      <c r="M64" s="127"/>
      <c r="N64" s="127"/>
      <c r="O64" s="127"/>
      <c r="P64" s="127"/>
      <c r="Q64" s="127"/>
      <c r="R64" s="127"/>
      <c r="S64" s="127"/>
      <c r="T64" s="127"/>
      <c r="U64" s="127"/>
      <c r="V64" s="128"/>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pageSetUpPr fitToPage="1"/>
  </sheetPr>
  <dimension ref="A1:V64"/>
  <sheetViews>
    <sheetView zoomScale="75" workbookViewId="0">
      <selection sqref="A1:XFD1048576"/>
    </sheetView>
  </sheetViews>
  <sheetFormatPr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129" t="s">
        <v>143</v>
      </c>
      <c r="B1" s="123"/>
      <c r="C1" s="123"/>
      <c r="D1" s="123"/>
      <c r="E1" s="123"/>
      <c r="F1" s="123"/>
      <c r="G1" s="123"/>
    </row>
    <row r="3" spans="1:22">
      <c r="B3" s="130" t="s">
        <v>1</v>
      </c>
      <c r="C3" s="131"/>
      <c r="D3" s="131"/>
      <c r="E3" s="131"/>
      <c r="F3" s="131"/>
      <c r="G3" s="132"/>
      <c r="L3" s="133" t="s">
        <v>2</v>
      </c>
      <c r="M3" s="134"/>
      <c r="N3" s="134"/>
      <c r="O3" s="134"/>
      <c r="P3" s="134"/>
      <c r="Q3" s="134"/>
      <c r="R3" s="134"/>
      <c r="S3" s="134"/>
      <c r="T3" s="134"/>
      <c r="U3" s="134"/>
      <c r="V3" s="135"/>
    </row>
    <row r="4" spans="1:22">
      <c r="B4" s="8"/>
      <c r="G4" s="11"/>
      <c r="L4" s="136" t="s">
        <v>3</v>
      </c>
      <c r="M4" s="137"/>
      <c r="N4" s="4"/>
      <c r="O4" s="138" t="s">
        <v>4</v>
      </c>
      <c r="P4" s="137"/>
      <c r="Q4" s="4"/>
      <c r="R4" s="138" t="s">
        <v>5</v>
      </c>
      <c r="S4" s="137"/>
      <c r="T4" s="4"/>
      <c r="U4" s="138" t="s">
        <v>6</v>
      </c>
      <c r="V4" s="139"/>
    </row>
    <row r="5" spans="1:22" ht="60" customHeight="1">
      <c r="B5" s="9" t="s">
        <v>3</v>
      </c>
      <c r="C5" s="5" t="s">
        <v>4</v>
      </c>
      <c r="D5" s="5" t="s">
        <v>5</v>
      </c>
      <c r="E5" s="5" t="s">
        <v>6</v>
      </c>
      <c r="F5" s="5" t="s">
        <v>7</v>
      </c>
      <c r="G5" s="12" t="s">
        <v>8</v>
      </c>
      <c r="L5" s="15" t="s">
        <v>9</v>
      </c>
      <c r="M5" s="14" t="s">
        <v>10</v>
      </c>
      <c r="N5" s="14"/>
      <c r="O5" s="14" t="s">
        <v>9</v>
      </c>
      <c r="P5" s="14" t="s">
        <v>10</v>
      </c>
      <c r="Q5" s="14"/>
      <c r="R5" s="14" t="s">
        <v>9</v>
      </c>
      <c r="S5" s="14" t="s">
        <v>10</v>
      </c>
      <c r="T5" s="14"/>
      <c r="U5" s="14" t="s">
        <v>9</v>
      </c>
      <c r="V5" s="16" t="s">
        <v>10</v>
      </c>
    </row>
    <row r="6" spans="1:22">
      <c r="A6" s="1" t="s">
        <v>11</v>
      </c>
      <c r="B6" s="29">
        <v>186.88310756352439</v>
      </c>
      <c r="C6" s="30">
        <v>223.64903248920746</v>
      </c>
      <c r="D6" s="30">
        <v>-2615.6624283463539</v>
      </c>
      <c r="E6" s="30">
        <v>0</v>
      </c>
      <c r="F6" s="30">
        <v>0</v>
      </c>
      <c r="G6" s="31">
        <f>SUM(AL_FINANCIAL)</f>
        <v>-2205.130288293622</v>
      </c>
      <c r="H6" s="30"/>
      <c r="I6" s="30"/>
      <c r="J6" s="30"/>
      <c r="K6" s="30"/>
      <c r="L6" s="29">
        <v>98826</v>
      </c>
      <c r="M6" s="30">
        <v>0</v>
      </c>
      <c r="N6" s="30"/>
      <c r="O6" s="30">
        <v>81514</v>
      </c>
      <c r="P6" s="30">
        <v>0</v>
      </c>
      <c r="Q6" s="30"/>
      <c r="R6" s="30">
        <v>3000</v>
      </c>
      <c r="S6" s="30">
        <v>0</v>
      </c>
      <c r="T6" s="30"/>
      <c r="U6" s="30">
        <v>0</v>
      </c>
      <c r="V6" s="31">
        <v>0</v>
      </c>
    </row>
    <row r="7" spans="1:22">
      <c r="A7" s="1" t="s">
        <v>12</v>
      </c>
      <c r="B7" s="29">
        <v>1495.8023215727917</v>
      </c>
      <c r="C7" s="30">
        <v>6961.8090966739546</v>
      </c>
      <c r="D7" s="30">
        <v>0</v>
      </c>
      <c r="E7" s="30">
        <v>0</v>
      </c>
      <c r="F7" s="30">
        <v>0</v>
      </c>
      <c r="G7" s="31">
        <f>SUM(AK_FINANCIAL)</f>
        <v>8457.6114182467463</v>
      </c>
      <c r="H7" s="30"/>
      <c r="I7" s="32"/>
      <c r="J7" s="33"/>
      <c r="K7" s="30"/>
      <c r="L7" s="29">
        <v>135583</v>
      </c>
      <c r="M7" s="30">
        <v>55200</v>
      </c>
      <c r="N7" s="30"/>
      <c r="O7" s="30">
        <v>33801</v>
      </c>
      <c r="P7" s="30">
        <v>47371</v>
      </c>
      <c r="Q7" s="30"/>
      <c r="R7" s="30">
        <v>0</v>
      </c>
      <c r="S7" s="30">
        <v>0</v>
      </c>
      <c r="T7" s="30"/>
      <c r="U7" s="30">
        <v>0</v>
      </c>
      <c r="V7" s="31">
        <v>0</v>
      </c>
    </row>
    <row r="8" spans="1:22">
      <c r="A8" s="1" t="s">
        <v>13</v>
      </c>
      <c r="B8" s="29">
        <v>37302.520993901271</v>
      </c>
      <c r="C8" s="30">
        <v>80567.368927005795</v>
      </c>
      <c r="D8" s="30">
        <v>2037.0828045685594</v>
      </c>
      <c r="E8" s="30">
        <v>0</v>
      </c>
      <c r="F8" s="30">
        <v>0</v>
      </c>
      <c r="G8" s="31">
        <f>SUM(AZ_FINANCIAL)</f>
        <v>119906.97272547563</v>
      </c>
      <c r="H8" s="30"/>
      <c r="I8" s="34" t="s">
        <v>14</v>
      </c>
      <c r="J8" s="35"/>
      <c r="K8" s="30"/>
      <c r="L8" s="29">
        <v>575300</v>
      </c>
      <c r="M8" s="30">
        <v>0</v>
      </c>
      <c r="N8" s="30"/>
      <c r="O8" s="30">
        <v>394119</v>
      </c>
      <c r="P8" s="30">
        <v>0</v>
      </c>
      <c r="Q8" s="30"/>
      <c r="R8" s="30">
        <v>0</v>
      </c>
      <c r="S8" s="30">
        <v>0</v>
      </c>
      <c r="T8" s="30"/>
      <c r="U8" s="30">
        <v>0</v>
      </c>
      <c r="V8" s="31">
        <v>0</v>
      </c>
    </row>
    <row r="9" spans="1:22">
      <c r="A9" s="1" t="s">
        <v>15</v>
      </c>
      <c r="B9" s="29">
        <v>32982.439474360799</v>
      </c>
      <c r="C9" s="30">
        <v>38344.448946781529</v>
      </c>
      <c r="D9" s="30">
        <v>-192821.73335806094</v>
      </c>
      <c r="E9" s="30">
        <v>0</v>
      </c>
      <c r="F9" s="30">
        <v>0</v>
      </c>
      <c r="G9" s="31">
        <f>SUM(AR_FINANCIAL)</f>
        <v>-121494.84493691861</v>
      </c>
      <c r="H9" s="30"/>
      <c r="I9" s="34"/>
      <c r="J9" s="35"/>
      <c r="K9" s="30"/>
      <c r="L9" s="29">
        <v>203542</v>
      </c>
      <c r="M9" s="30">
        <v>0</v>
      </c>
      <c r="N9" s="30"/>
      <c r="O9" s="30">
        <v>0</v>
      </c>
      <c r="P9" s="30">
        <v>0</v>
      </c>
      <c r="Q9" s="30"/>
      <c r="R9" s="30">
        <v>337005</v>
      </c>
      <c r="S9" s="30">
        <v>0</v>
      </c>
      <c r="T9" s="30"/>
      <c r="U9" s="30">
        <v>0</v>
      </c>
      <c r="V9" s="31">
        <v>0</v>
      </c>
    </row>
    <row r="10" spans="1:22">
      <c r="A10" s="1" t="s">
        <v>16</v>
      </c>
      <c r="B10" s="29">
        <v>-170787.11644173681</v>
      </c>
      <c r="C10" s="30">
        <v>-586711.80739202444</v>
      </c>
      <c r="D10" s="30">
        <v>0</v>
      </c>
      <c r="E10" s="30">
        <v>0</v>
      </c>
      <c r="F10" s="30">
        <v>0</v>
      </c>
      <c r="G10" s="31">
        <f>SUM(CA_FINANCIAL)</f>
        <v>-757498.92383376125</v>
      </c>
      <c r="H10" s="30"/>
      <c r="I10" s="34" t="s">
        <v>17</v>
      </c>
      <c r="J10" s="35">
        <v>250904755.24000001</v>
      </c>
      <c r="K10" s="30"/>
      <c r="L10" s="29">
        <v>1363000</v>
      </c>
      <c r="M10" s="30">
        <v>725000</v>
      </c>
      <c r="N10" s="30"/>
      <c r="O10" s="30">
        <v>3337000</v>
      </c>
      <c r="P10" s="30">
        <v>1400000</v>
      </c>
      <c r="Q10" s="30"/>
      <c r="R10" s="30">
        <v>450000</v>
      </c>
      <c r="S10" s="30">
        <v>150000</v>
      </c>
      <c r="T10" s="30"/>
      <c r="U10" s="30">
        <v>0</v>
      </c>
      <c r="V10" s="31">
        <v>0</v>
      </c>
    </row>
    <row r="11" spans="1:22">
      <c r="A11" s="1" t="s">
        <v>18</v>
      </c>
      <c r="B11" s="29">
        <v>0</v>
      </c>
      <c r="C11" s="30">
        <v>0</v>
      </c>
      <c r="D11" s="30">
        <v>0</v>
      </c>
      <c r="E11" s="30">
        <v>0</v>
      </c>
      <c r="F11" s="30">
        <v>0</v>
      </c>
      <c r="G11" s="31">
        <f>SUM(CO_FINANCIAL)</f>
        <v>0</v>
      </c>
      <c r="H11" s="30"/>
      <c r="I11" s="34"/>
      <c r="J11" s="35"/>
      <c r="K11" s="30"/>
      <c r="L11" s="29">
        <v>10025</v>
      </c>
      <c r="M11" s="30">
        <v>0</v>
      </c>
      <c r="N11" s="30"/>
      <c r="O11" s="30">
        <v>245</v>
      </c>
      <c r="P11" s="30">
        <v>0</v>
      </c>
      <c r="Q11" s="30"/>
      <c r="R11" s="30">
        <v>39730</v>
      </c>
      <c r="S11" s="30">
        <v>0</v>
      </c>
      <c r="T11" s="30"/>
      <c r="U11" s="30">
        <v>0</v>
      </c>
      <c r="V11" s="31">
        <v>0</v>
      </c>
    </row>
    <row r="12" spans="1:22">
      <c r="A12" s="1" t="s">
        <v>19</v>
      </c>
      <c r="B12" s="29">
        <v>-11010.44126464791</v>
      </c>
      <c r="C12" s="30">
        <v>-16481.686299095949</v>
      </c>
      <c r="D12" s="30">
        <v>0</v>
      </c>
      <c r="E12" s="30">
        <v>0</v>
      </c>
      <c r="F12" s="30">
        <v>0</v>
      </c>
      <c r="G12" s="31">
        <f>SUM(CT_FINANCIAL)</f>
        <v>-27492.127563743859</v>
      </c>
      <c r="H12" s="30"/>
      <c r="I12" s="34" t="s">
        <v>20</v>
      </c>
      <c r="J12" s="35"/>
      <c r="K12" s="30"/>
      <c r="L12" s="29">
        <v>109000</v>
      </c>
      <c r="M12" s="30">
        <v>0</v>
      </c>
      <c r="N12" s="30"/>
      <c r="O12" s="30">
        <v>80000</v>
      </c>
      <c r="P12" s="30">
        <v>0</v>
      </c>
      <c r="Q12" s="30"/>
      <c r="R12" s="30">
        <v>0</v>
      </c>
      <c r="S12" s="30">
        <v>0</v>
      </c>
      <c r="T12" s="30"/>
      <c r="U12" s="30">
        <v>0</v>
      </c>
      <c r="V12" s="31">
        <v>0</v>
      </c>
    </row>
    <row r="13" spans="1:22">
      <c r="A13" s="1" t="s">
        <v>21</v>
      </c>
      <c r="B13" s="29">
        <v>8558.2109729127988</v>
      </c>
      <c r="C13" s="30">
        <v>18653.504811255771</v>
      </c>
      <c r="D13" s="30">
        <v>-662.38919556650239</v>
      </c>
      <c r="E13" s="30">
        <v>0</v>
      </c>
      <c r="F13" s="30">
        <v>0</v>
      </c>
      <c r="G13" s="31">
        <f>SUM(DE_FINANCIAL)</f>
        <v>26549.326588602067</v>
      </c>
      <c r="H13" s="30"/>
      <c r="I13" s="34" t="s">
        <v>22</v>
      </c>
      <c r="J13" s="35">
        <v>0</v>
      </c>
      <c r="K13" s="30"/>
      <c r="L13" s="29">
        <v>64500</v>
      </c>
      <c r="M13" s="30">
        <v>0</v>
      </c>
      <c r="N13" s="30"/>
      <c r="O13" s="30">
        <v>85500</v>
      </c>
      <c r="P13" s="30">
        <v>0</v>
      </c>
      <c r="Q13" s="30"/>
      <c r="R13" s="30">
        <v>0</v>
      </c>
      <c r="S13" s="30">
        <v>0</v>
      </c>
      <c r="T13" s="30"/>
      <c r="U13" s="30">
        <v>0</v>
      </c>
      <c r="V13" s="31">
        <v>0</v>
      </c>
    </row>
    <row r="14" spans="1:22">
      <c r="A14" s="1" t="s">
        <v>23</v>
      </c>
      <c r="B14" s="29">
        <v>0</v>
      </c>
      <c r="C14" s="30">
        <v>0</v>
      </c>
      <c r="D14" s="30">
        <v>0</v>
      </c>
      <c r="E14" s="30">
        <v>0</v>
      </c>
      <c r="F14" s="30">
        <v>0</v>
      </c>
      <c r="G14" s="31">
        <f>SUM(DC_FINANCIAL)</f>
        <v>0</v>
      </c>
      <c r="H14" s="30"/>
      <c r="I14" s="34" t="s">
        <v>24</v>
      </c>
      <c r="J14" s="35">
        <v>0</v>
      </c>
      <c r="K14" s="30"/>
      <c r="L14" s="29"/>
      <c r="M14" s="30"/>
      <c r="N14" s="30"/>
      <c r="O14" s="30"/>
      <c r="P14" s="30"/>
      <c r="Q14" s="30"/>
      <c r="R14" s="30"/>
      <c r="S14" s="30"/>
      <c r="T14" s="30"/>
      <c r="U14" s="30"/>
      <c r="V14" s="31"/>
    </row>
    <row r="15" spans="1:22">
      <c r="A15" s="1" t="s">
        <v>25</v>
      </c>
      <c r="B15" s="29">
        <v>189393.46284711303</v>
      </c>
      <c r="C15" s="30">
        <v>463643.08744483534</v>
      </c>
      <c r="D15" s="30">
        <v>11990.372730636896</v>
      </c>
      <c r="E15" s="30">
        <v>5811.7582404316236</v>
      </c>
      <c r="F15" s="30">
        <v>0</v>
      </c>
      <c r="G15" s="31">
        <f>SUM(FL_FINANCIAL)</f>
        <v>670838.68126301689</v>
      </c>
      <c r="H15" s="30"/>
      <c r="I15" s="34" t="s">
        <v>26</v>
      </c>
      <c r="J15" s="35">
        <v>1567779.4900000005</v>
      </c>
      <c r="K15" s="30"/>
      <c r="L15" s="29">
        <v>1900000</v>
      </c>
      <c r="M15" s="30">
        <v>0</v>
      </c>
      <c r="N15" s="30"/>
      <c r="O15" s="30">
        <v>3800000</v>
      </c>
      <c r="P15" s="30">
        <v>0</v>
      </c>
      <c r="Q15" s="30"/>
      <c r="R15" s="30">
        <v>0</v>
      </c>
      <c r="S15" s="30">
        <v>0</v>
      </c>
      <c r="T15" s="30"/>
      <c r="U15" s="30">
        <v>0</v>
      </c>
      <c r="V15" s="31">
        <v>0</v>
      </c>
    </row>
    <row r="16" spans="1:22">
      <c r="A16" s="1" t="s">
        <v>27</v>
      </c>
      <c r="B16" s="29">
        <v>-29566.922384183388</v>
      </c>
      <c r="C16" s="30">
        <v>-63450.048718245002</v>
      </c>
      <c r="D16" s="30">
        <v>-252.96298853885264</v>
      </c>
      <c r="E16" s="30">
        <v>0</v>
      </c>
      <c r="F16" s="30">
        <v>0</v>
      </c>
      <c r="G16" s="31">
        <f>SUM(GA_FINANCIAL)</f>
        <v>-93269.934090967246</v>
      </c>
      <c r="H16" s="30"/>
      <c r="I16" s="34" t="s">
        <v>28</v>
      </c>
      <c r="J16" s="35">
        <v>0</v>
      </c>
      <c r="K16" s="30"/>
      <c r="L16" s="29">
        <v>3053818</v>
      </c>
      <c r="M16" s="30">
        <v>0</v>
      </c>
      <c r="N16" s="30"/>
      <c r="O16" s="30">
        <v>0</v>
      </c>
      <c r="P16" s="30">
        <v>0</v>
      </c>
      <c r="Q16" s="30"/>
      <c r="R16" s="30">
        <v>0</v>
      </c>
      <c r="S16" s="30">
        <v>0</v>
      </c>
      <c r="T16" s="30"/>
      <c r="U16" s="30">
        <v>0</v>
      </c>
      <c r="V16" s="31">
        <v>0</v>
      </c>
    </row>
    <row r="17" spans="1:22">
      <c r="A17" s="1" t="s">
        <v>29</v>
      </c>
      <c r="B17" s="29">
        <v>0</v>
      </c>
      <c r="C17" s="30">
        <v>0</v>
      </c>
      <c r="D17" s="30">
        <v>0</v>
      </c>
      <c r="E17" s="30">
        <v>0</v>
      </c>
      <c r="F17" s="30">
        <v>0</v>
      </c>
      <c r="G17" s="31">
        <f>SUM(HI_FINANCIAL)</f>
        <v>0</v>
      </c>
      <c r="H17" s="30"/>
      <c r="I17" s="34"/>
      <c r="J17" s="35"/>
      <c r="K17" s="30"/>
      <c r="L17" s="29"/>
      <c r="M17" s="30"/>
      <c r="N17" s="30"/>
      <c r="O17" s="30"/>
      <c r="P17" s="30"/>
      <c r="Q17" s="30"/>
      <c r="R17" s="30"/>
      <c r="S17" s="30"/>
      <c r="T17" s="30"/>
      <c r="U17" s="30"/>
      <c r="V17" s="31"/>
    </row>
    <row r="18" spans="1:22">
      <c r="A18" s="1" t="s">
        <v>30</v>
      </c>
      <c r="B18" s="29">
        <v>1736.0558910701438</v>
      </c>
      <c r="C18" s="30">
        <v>4443.3815807547071</v>
      </c>
      <c r="D18" s="30">
        <v>0</v>
      </c>
      <c r="E18" s="30">
        <v>0</v>
      </c>
      <c r="F18" s="30">
        <v>0</v>
      </c>
      <c r="G18" s="31">
        <f>SUM(ID_FINANCIAL)</f>
        <v>6179.4374718248509</v>
      </c>
      <c r="H18" s="30"/>
      <c r="I18" s="34" t="s">
        <v>31</v>
      </c>
      <c r="J18" s="35"/>
      <c r="K18" s="30"/>
      <c r="L18" s="29">
        <v>55000</v>
      </c>
      <c r="M18" s="30">
        <v>0</v>
      </c>
      <c r="N18" s="30"/>
      <c r="O18" s="30">
        <v>85000</v>
      </c>
      <c r="P18" s="30">
        <v>0</v>
      </c>
      <c r="Q18" s="30"/>
      <c r="R18" s="30">
        <v>0</v>
      </c>
      <c r="S18" s="30">
        <v>0</v>
      </c>
      <c r="T18" s="30"/>
      <c r="U18" s="30">
        <v>0</v>
      </c>
      <c r="V18" s="31">
        <v>0</v>
      </c>
    </row>
    <row r="19" spans="1:22">
      <c r="A19" s="1" t="s">
        <v>32</v>
      </c>
      <c r="B19" s="29">
        <v>-6598.6195370960049</v>
      </c>
      <c r="C19" s="30">
        <v>-36792.617208786774</v>
      </c>
      <c r="D19" s="30">
        <v>-289.58754259457783</v>
      </c>
      <c r="E19" s="30">
        <v>0</v>
      </c>
      <c r="F19" s="30">
        <v>0</v>
      </c>
      <c r="G19" s="31">
        <f>SUM(IL_FINANCIAL)</f>
        <v>-43680.824288477357</v>
      </c>
      <c r="H19" s="30"/>
      <c r="I19" s="34" t="s">
        <v>33</v>
      </c>
      <c r="J19" s="35">
        <v>121248273.15500002</v>
      </c>
      <c r="K19" s="30"/>
      <c r="L19" s="29">
        <v>1100000</v>
      </c>
      <c r="M19" s="30">
        <v>1046000</v>
      </c>
      <c r="N19" s="30"/>
      <c r="O19" s="30">
        <v>4700000</v>
      </c>
      <c r="P19" s="30">
        <v>3988000</v>
      </c>
      <c r="Q19" s="30"/>
      <c r="R19" s="30">
        <v>30000</v>
      </c>
      <c r="S19" s="30">
        <v>31000</v>
      </c>
      <c r="T19" s="30"/>
      <c r="U19" s="30">
        <v>30000</v>
      </c>
      <c r="V19" s="31">
        <v>84000</v>
      </c>
    </row>
    <row r="20" spans="1:22">
      <c r="A20" s="1" t="s">
        <v>34</v>
      </c>
      <c r="B20" s="29">
        <v>1660275.1452555358</v>
      </c>
      <c r="C20" s="30">
        <v>6005627.9728038125</v>
      </c>
      <c r="D20" s="30">
        <v>11088.284584327957</v>
      </c>
      <c r="E20" s="30">
        <v>4688188.0256065447</v>
      </c>
      <c r="F20" s="30">
        <v>0</v>
      </c>
      <c r="G20" s="31">
        <f>SUM(IN_FINANCIAL)</f>
        <v>12365179.42825022</v>
      </c>
      <c r="H20" s="30"/>
      <c r="I20" s="34" t="s">
        <v>35</v>
      </c>
      <c r="J20" s="35">
        <v>2469</v>
      </c>
      <c r="K20" s="30"/>
      <c r="L20" s="29">
        <v>16867025</v>
      </c>
      <c r="M20" s="30">
        <v>5000000</v>
      </c>
      <c r="N20" s="30"/>
      <c r="O20" s="30">
        <v>60219197</v>
      </c>
      <c r="P20" s="30">
        <v>0</v>
      </c>
      <c r="Q20" s="30"/>
      <c r="R20" s="30">
        <v>17051</v>
      </c>
      <c r="S20" s="30">
        <v>0</v>
      </c>
      <c r="T20" s="30"/>
      <c r="U20" s="30">
        <v>0</v>
      </c>
      <c r="V20" s="31">
        <v>0</v>
      </c>
    </row>
    <row r="21" spans="1:22">
      <c r="A21" s="1" t="s">
        <v>36</v>
      </c>
      <c r="B21" s="29">
        <v>139378.38233708555</v>
      </c>
      <c r="C21" s="30">
        <v>358405.72002563905</v>
      </c>
      <c r="D21" s="30">
        <v>-21573.712194450422</v>
      </c>
      <c r="E21" s="30">
        <v>0</v>
      </c>
      <c r="F21" s="30">
        <v>0</v>
      </c>
      <c r="G21" s="31">
        <f>SUM(IA_FINANCIAL)</f>
        <v>476210.39016827417</v>
      </c>
      <c r="H21" s="30"/>
      <c r="I21" s="34" t="s">
        <v>37</v>
      </c>
      <c r="J21" s="35"/>
      <c r="K21" s="30"/>
      <c r="L21" s="29">
        <v>990079</v>
      </c>
      <c r="M21" s="30">
        <v>0</v>
      </c>
      <c r="N21" s="30"/>
      <c r="O21" s="30">
        <v>1835190</v>
      </c>
      <c r="P21" s="30">
        <v>0</v>
      </c>
      <c r="Q21" s="30"/>
      <c r="R21" s="30">
        <v>9720</v>
      </c>
      <c r="S21" s="30">
        <v>0</v>
      </c>
      <c r="T21" s="30"/>
      <c r="U21" s="30">
        <v>0</v>
      </c>
      <c r="V21" s="31">
        <v>0</v>
      </c>
    </row>
    <row r="22" spans="1:22">
      <c r="A22" s="1" t="s">
        <v>38</v>
      </c>
      <c r="B22" s="29">
        <v>75781.837200329406</v>
      </c>
      <c r="C22" s="30">
        <v>125311.03406249522</v>
      </c>
      <c r="D22" s="30">
        <v>-24825.662791541708</v>
      </c>
      <c r="E22" s="30">
        <v>0</v>
      </c>
      <c r="F22" s="30">
        <v>0</v>
      </c>
      <c r="G22" s="31">
        <f>SUM(KS_FINANCIAL)</f>
        <v>176267.20847128291</v>
      </c>
      <c r="H22" s="30"/>
      <c r="I22" s="34" t="s">
        <v>39</v>
      </c>
      <c r="J22" s="35">
        <v>7587731.2300000014</v>
      </c>
      <c r="K22" s="30"/>
      <c r="L22" s="29">
        <v>200000</v>
      </c>
      <c r="M22" s="30">
        <v>0</v>
      </c>
      <c r="N22" s="30"/>
      <c r="O22" s="30">
        <v>2300000</v>
      </c>
      <c r="P22" s="30">
        <v>0</v>
      </c>
      <c r="Q22" s="30"/>
      <c r="R22" s="30">
        <v>0</v>
      </c>
      <c r="S22" s="30">
        <v>0</v>
      </c>
      <c r="T22" s="30"/>
      <c r="U22" s="30">
        <v>0</v>
      </c>
      <c r="V22" s="31">
        <v>0</v>
      </c>
    </row>
    <row r="23" spans="1:22">
      <c r="A23" s="1" t="s">
        <v>40</v>
      </c>
      <c r="B23" s="29">
        <v>-6278.5512075998849</v>
      </c>
      <c r="C23" s="30">
        <v>-3661.1380590974804</v>
      </c>
      <c r="D23" s="30">
        <v>-688.60072413175476</v>
      </c>
      <c r="E23" s="30">
        <v>0</v>
      </c>
      <c r="F23" s="30">
        <v>0</v>
      </c>
      <c r="G23" s="31">
        <f>SUM(KY_FINANCIAL)</f>
        <v>-10628.28999082912</v>
      </c>
      <c r="H23" s="30"/>
      <c r="I23" s="34" t="s">
        <v>41</v>
      </c>
      <c r="J23" s="35"/>
      <c r="K23" s="30"/>
      <c r="L23" s="29">
        <v>264400</v>
      </c>
      <c r="M23" s="30">
        <v>175256</v>
      </c>
      <c r="N23" s="30"/>
      <c r="O23" s="30">
        <v>130200</v>
      </c>
      <c r="P23" s="30">
        <v>87747</v>
      </c>
      <c r="Q23" s="30"/>
      <c r="R23" s="30">
        <v>25200</v>
      </c>
      <c r="S23" s="30">
        <v>0</v>
      </c>
      <c r="T23" s="30"/>
      <c r="U23" s="30">
        <v>0</v>
      </c>
      <c r="V23" s="31">
        <v>0</v>
      </c>
    </row>
    <row r="24" spans="1:22">
      <c r="A24" s="1" t="s">
        <v>42</v>
      </c>
      <c r="B24" s="29">
        <v>0</v>
      </c>
      <c r="C24" s="30">
        <v>0</v>
      </c>
      <c r="D24" s="30">
        <v>0</v>
      </c>
      <c r="E24" s="30">
        <v>0</v>
      </c>
      <c r="F24" s="30">
        <v>0</v>
      </c>
      <c r="G24" s="31">
        <f>SUM(LA_FINANCIAL)</f>
        <v>0</v>
      </c>
      <c r="H24" s="30"/>
      <c r="I24" s="34" t="s">
        <v>43</v>
      </c>
      <c r="J24" s="35">
        <v>110874057.845</v>
      </c>
      <c r="K24" s="30"/>
      <c r="L24" s="29"/>
      <c r="M24" s="30"/>
      <c r="N24" s="30"/>
      <c r="O24" s="30"/>
      <c r="P24" s="30"/>
      <c r="Q24" s="30"/>
      <c r="R24" s="30"/>
      <c r="S24" s="30"/>
      <c r="T24" s="30"/>
      <c r="U24" s="30"/>
      <c r="V24" s="31"/>
    </row>
    <row r="25" spans="1:22">
      <c r="A25" s="1" t="s">
        <v>44</v>
      </c>
      <c r="B25" s="29">
        <v>76308.130681694427</v>
      </c>
      <c r="C25" s="30">
        <v>125843.96966954152</v>
      </c>
      <c r="D25" s="30">
        <v>20.264159405624852</v>
      </c>
      <c r="E25" s="30">
        <v>0</v>
      </c>
      <c r="F25" s="30">
        <v>0</v>
      </c>
      <c r="G25" s="31">
        <f>SUM(ME_FINANCIAL)</f>
        <v>202172.36451064158</v>
      </c>
      <c r="H25" s="30"/>
      <c r="I25" s="34"/>
      <c r="J25" s="35"/>
      <c r="K25" s="30"/>
      <c r="L25" s="29">
        <v>650000</v>
      </c>
      <c r="M25" s="30">
        <v>0</v>
      </c>
      <c r="N25" s="30"/>
      <c r="O25" s="30">
        <v>375000</v>
      </c>
      <c r="P25" s="30">
        <v>0</v>
      </c>
      <c r="Q25" s="30"/>
      <c r="R25" s="30">
        <v>0</v>
      </c>
      <c r="S25" s="30">
        <v>0</v>
      </c>
      <c r="T25" s="30"/>
      <c r="U25" s="30">
        <v>0</v>
      </c>
      <c r="V25" s="31">
        <v>0</v>
      </c>
    </row>
    <row r="26" spans="1:22">
      <c r="A26" s="1" t="s">
        <v>45</v>
      </c>
      <c r="B26" s="29">
        <v>22122.032850749674</v>
      </c>
      <c r="C26" s="30">
        <v>54696.6239843269</v>
      </c>
      <c r="D26" s="30">
        <v>-34407.295260335959</v>
      </c>
      <c r="E26" s="30">
        <v>0</v>
      </c>
      <c r="F26" s="30">
        <v>0</v>
      </c>
      <c r="G26" s="31">
        <f>SUM(MD_FINANCIAL)</f>
        <v>42411.361574740615</v>
      </c>
      <c r="H26" s="30"/>
      <c r="I26" s="34" t="s">
        <v>46</v>
      </c>
      <c r="J26" s="35">
        <f>SUM(ADD_FINANCIAL)-SUM(LESS_FINANCIAL)</f>
        <v>12760003.5</v>
      </c>
      <c r="K26" s="30"/>
      <c r="L26" s="29">
        <v>1350000</v>
      </c>
      <c r="M26" s="30">
        <v>0</v>
      </c>
      <c r="N26" s="30"/>
      <c r="O26" s="30">
        <v>0</v>
      </c>
      <c r="P26" s="30">
        <v>0</v>
      </c>
      <c r="Q26" s="30"/>
      <c r="R26" s="30">
        <v>0</v>
      </c>
      <c r="S26" s="30">
        <v>0</v>
      </c>
      <c r="T26" s="30"/>
      <c r="U26" s="30">
        <v>0</v>
      </c>
      <c r="V26" s="31">
        <v>0</v>
      </c>
    </row>
    <row r="27" spans="1:22">
      <c r="A27" s="1" t="s">
        <v>47</v>
      </c>
      <c r="B27" s="29">
        <v>-17379.578934084187</v>
      </c>
      <c r="C27" s="30">
        <v>-15188.805018426065</v>
      </c>
      <c r="D27" s="30">
        <v>-1091.3382145511077</v>
      </c>
      <c r="E27" s="30">
        <v>0</v>
      </c>
      <c r="F27" s="30">
        <v>0</v>
      </c>
      <c r="G27" s="31">
        <f>SUM(MA_FINANCIAL)</f>
        <v>-33659.722167061358</v>
      </c>
      <c r="H27" s="30"/>
      <c r="I27" s="34" t="s">
        <v>48</v>
      </c>
      <c r="J27" s="35">
        <f>SUM(ALL_BLOCKS)</f>
        <v>12760003.499999996</v>
      </c>
      <c r="K27" s="30"/>
      <c r="L27" s="29">
        <v>150000</v>
      </c>
      <c r="M27" s="30">
        <v>0</v>
      </c>
      <c r="N27" s="30"/>
      <c r="O27" s="30">
        <v>0</v>
      </c>
      <c r="P27" s="30">
        <v>0</v>
      </c>
      <c r="Q27" s="30"/>
      <c r="R27" s="30">
        <v>0</v>
      </c>
      <c r="S27" s="30">
        <v>0</v>
      </c>
      <c r="T27" s="30"/>
      <c r="U27" s="30">
        <v>0</v>
      </c>
      <c r="V27" s="31">
        <v>0</v>
      </c>
    </row>
    <row r="28" spans="1:22">
      <c r="A28" s="1" t="s">
        <v>49</v>
      </c>
      <c r="B28" s="29">
        <v>439071.53926010849</v>
      </c>
      <c r="C28" s="30">
        <v>797723.41487585753</v>
      </c>
      <c r="D28" s="30">
        <v>1346.8103660120278</v>
      </c>
      <c r="E28" s="30">
        <v>0</v>
      </c>
      <c r="F28" s="30">
        <v>0</v>
      </c>
      <c r="G28" s="31">
        <f>SUM(MI_FINANCIAL)</f>
        <v>1238141.7645019779</v>
      </c>
      <c r="H28" s="30"/>
      <c r="I28" s="36"/>
      <c r="J28" s="37"/>
      <c r="K28" s="30"/>
      <c r="L28" s="29">
        <v>4690700</v>
      </c>
      <c r="M28" s="30">
        <v>2950000</v>
      </c>
      <c r="N28" s="30"/>
      <c r="O28" s="30">
        <v>4559300</v>
      </c>
      <c r="P28" s="30">
        <v>708000</v>
      </c>
      <c r="Q28" s="30"/>
      <c r="R28" s="30">
        <v>0</v>
      </c>
      <c r="S28" s="30">
        <v>0</v>
      </c>
      <c r="T28" s="30"/>
      <c r="U28" s="30">
        <v>0</v>
      </c>
      <c r="V28" s="31">
        <v>0</v>
      </c>
    </row>
    <row r="29" spans="1:22">
      <c r="A29" s="1" t="s">
        <v>50</v>
      </c>
      <c r="B29" s="29">
        <v>378109.08234880352</v>
      </c>
      <c r="C29" s="30">
        <v>1065773.0305906613</v>
      </c>
      <c r="D29" s="30">
        <v>5862.1024698830006</v>
      </c>
      <c r="E29" s="30">
        <v>0</v>
      </c>
      <c r="F29" s="30">
        <v>0</v>
      </c>
      <c r="G29" s="31">
        <f>SUM(MN_FINANCIAL)</f>
        <v>1449744.2154093478</v>
      </c>
      <c r="H29" s="30"/>
      <c r="I29" s="30"/>
      <c r="J29" s="30"/>
      <c r="K29" s="30"/>
      <c r="L29" s="29">
        <v>3413000</v>
      </c>
      <c r="M29" s="30">
        <v>1670481</v>
      </c>
      <c r="N29" s="30"/>
      <c r="O29" s="30">
        <v>5537000</v>
      </c>
      <c r="P29" s="30">
        <v>2625507</v>
      </c>
      <c r="Q29" s="30"/>
      <c r="R29" s="30">
        <v>26500</v>
      </c>
      <c r="S29" s="30">
        <v>0</v>
      </c>
      <c r="T29" s="30"/>
      <c r="U29" s="30">
        <v>0</v>
      </c>
      <c r="V29" s="31">
        <v>0</v>
      </c>
    </row>
    <row r="30" spans="1:22">
      <c r="A30" s="1" t="s">
        <v>51</v>
      </c>
      <c r="B30" s="29">
        <v>4627.8937689592331</v>
      </c>
      <c r="C30" s="30">
        <v>15697.355976600749</v>
      </c>
      <c r="D30" s="30">
        <v>-33355.364115062148</v>
      </c>
      <c r="E30" s="30">
        <v>0</v>
      </c>
      <c r="F30" s="30">
        <v>0</v>
      </c>
      <c r="G30" s="31">
        <f>SUM(MS_FINANCIAL)</f>
        <v>-13030.114369502167</v>
      </c>
      <c r="H30" s="30"/>
      <c r="I30" s="30"/>
      <c r="J30" s="30"/>
      <c r="K30" s="30"/>
      <c r="L30" s="29">
        <v>25000</v>
      </c>
      <c r="M30" s="30">
        <v>0</v>
      </c>
      <c r="N30" s="30"/>
      <c r="O30" s="30">
        <v>50000</v>
      </c>
      <c r="P30" s="30">
        <v>0</v>
      </c>
      <c r="Q30" s="30"/>
      <c r="R30" s="30">
        <v>161306</v>
      </c>
      <c r="S30" s="30">
        <v>0</v>
      </c>
      <c r="T30" s="30"/>
      <c r="U30" s="30">
        <v>0</v>
      </c>
      <c r="V30" s="31">
        <v>0</v>
      </c>
    </row>
    <row r="31" spans="1:22">
      <c r="A31" s="1" t="s">
        <v>52</v>
      </c>
      <c r="B31" s="29">
        <v>8218.3973918817646</v>
      </c>
      <c r="C31" s="30">
        <v>23863.307335293182</v>
      </c>
      <c r="D31" s="30">
        <v>-56088.949454425368</v>
      </c>
      <c r="E31" s="30">
        <v>0</v>
      </c>
      <c r="F31" s="30">
        <v>0</v>
      </c>
      <c r="G31" s="31">
        <f>SUM(MO_FINANCIAL)</f>
        <v>-24007.244727250421</v>
      </c>
      <c r="H31" s="30"/>
      <c r="I31" s="30"/>
      <c r="J31" s="30"/>
      <c r="K31" s="30"/>
      <c r="L31" s="29">
        <v>0</v>
      </c>
      <c r="M31" s="30">
        <v>0</v>
      </c>
      <c r="N31" s="30"/>
      <c r="O31" s="30">
        <v>300000</v>
      </c>
      <c r="P31" s="30">
        <v>0</v>
      </c>
      <c r="Q31" s="30"/>
      <c r="R31" s="30">
        <v>0</v>
      </c>
      <c r="S31" s="30">
        <v>0</v>
      </c>
      <c r="T31" s="30"/>
      <c r="U31" s="30">
        <v>0</v>
      </c>
      <c r="V31" s="31">
        <v>0</v>
      </c>
    </row>
    <row r="32" spans="1:22">
      <c r="A32" s="1" t="s">
        <v>53</v>
      </c>
      <c r="B32" s="29">
        <v>-9847.3424059351819</v>
      </c>
      <c r="C32" s="30">
        <v>-265.15989239015255</v>
      </c>
      <c r="D32" s="30">
        <v>-195.33458605850436</v>
      </c>
      <c r="E32" s="30">
        <v>0</v>
      </c>
      <c r="F32" s="30">
        <v>0</v>
      </c>
      <c r="G32" s="31">
        <f>SUM(MT_FINANCIAL)</f>
        <v>-10307.83688438384</v>
      </c>
      <c r="H32" s="30"/>
      <c r="I32" s="30"/>
      <c r="J32" s="30"/>
      <c r="K32" s="30"/>
      <c r="L32" s="29">
        <v>60000</v>
      </c>
      <c r="M32" s="30">
        <v>0</v>
      </c>
      <c r="N32" s="30"/>
      <c r="O32" s="30">
        <v>0</v>
      </c>
      <c r="P32" s="30">
        <v>0</v>
      </c>
      <c r="Q32" s="30"/>
      <c r="R32" s="30">
        <v>0</v>
      </c>
      <c r="S32" s="30">
        <v>0</v>
      </c>
      <c r="T32" s="30"/>
      <c r="U32" s="30">
        <v>0</v>
      </c>
      <c r="V32" s="31">
        <v>0</v>
      </c>
    </row>
    <row r="33" spans="1:22">
      <c r="A33" s="1" t="s">
        <v>54</v>
      </c>
      <c r="B33" s="29">
        <v>-308271.60349836387</v>
      </c>
      <c r="C33" s="30">
        <v>378798.288370625</v>
      </c>
      <c r="D33" s="30">
        <v>-3388028.2879662104</v>
      </c>
      <c r="E33" s="30">
        <v>0</v>
      </c>
      <c r="F33" s="30">
        <v>0</v>
      </c>
      <c r="G33" s="31">
        <f>SUM(NE_FINANCIAL)</f>
        <v>-3317501.6030939491</v>
      </c>
      <c r="H33" s="30"/>
      <c r="I33" s="30"/>
      <c r="J33" s="30"/>
      <c r="K33" s="30"/>
      <c r="L33" s="29">
        <v>492432</v>
      </c>
      <c r="M33" s="30">
        <v>0</v>
      </c>
      <c r="N33" s="30"/>
      <c r="O33" s="30">
        <v>0</v>
      </c>
      <c r="P33" s="30">
        <v>11100</v>
      </c>
      <c r="Q33" s="30"/>
      <c r="R33" s="30">
        <v>50000</v>
      </c>
      <c r="S33" s="30">
        <v>0</v>
      </c>
      <c r="T33" s="30"/>
      <c r="U33" s="30">
        <v>0</v>
      </c>
      <c r="V33" s="31">
        <v>0</v>
      </c>
    </row>
    <row r="34" spans="1:22">
      <c r="A34" s="1" t="s">
        <v>55</v>
      </c>
      <c r="B34" s="29">
        <v>-54410.052308716608</v>
      </c>
      <c r="C34" s="30">
        <v>-57631.253597382085</v>
      </c>
      <c r="D34" s="30">
        <v>-8549.6865397068632</v>
      </c>
      <c r="E34" s="30">
        <v>0</v>
      </c>
      <c r="F34" s="30">
        <v>0</v>
      </c>
      <c r="G34" s="31">
        <f>SUM(NV_FINANCIAL)</f>
        <v>-120590.99244580555</v>
      </c>
      <c r="H34" s="30"/>
      <c r="I34" s="30"/>
      <c r="J34" s="30"/>
      <c r="K34" s="30"/>
      <c r="L34" s="29">
        <v>51500</v>
      </c>
      <c r="M34" s="30">
        <v>0</v>
      </c>
      <c r="N34" s="30"/>
      <c r="O34" s="30">
        <v>87200</v>
      </c>
      <c r="P34" s="30">
        <v>0</v>
      </c>
      <c r="Q34" s="30"/>
      <c r="R34" s="30">
        <v>0</v>
      </c>
      <c r="S34" s="30">
        <v>0</v>
      </c>
      <c r="T34" s="30"/>
      <c r="U34" s="30">
        <v>0</v>
      </c>
      <c r="V34" s="31">
        <v>0</v>
      </c>
    </row>
    <row r="35" spans="1:22">
      <c r="A35" s="1" t="s">
        <v>56</v>
      </c>
      <c r="B35" s="29">
        <v>-5468.5119497962696</v>
      </c>
      <c r="C35" s="30">
        <v>-8539.8260477564836</v>
      </c>
      <c r="D35" s="30">
        <v>-49.696259627225402</v>
      </c>
      <c r="E35" s="30">
        <v>0</v>
      </c>
      <c r="F35" s="30">
        <v>0</v>
      </c>
      <c r="G35" s="31">
        <f>SUM(NH_FINANCIAL)</f>
        <v>-14058.034257179979</v>
      </c>
      <c r="H35" s="30"/>
      <c r="I35" s="30"/>
      <c r="J35" s="30"/>
      <c r="K35" s="30"/>
      <c r="L35" s="29">
        <v>50000</v>
      </c>
      <c r="M35" s="30">
        <v>0</v>
      </c>
      <c r="N35" s="30"/>
      <c r="O35" s="30">
        <v>50000</v>
      </c>
      <c r="P35" s="30">
        <v>0</v>
      </c>
      <c r="Q35" s="30"/>
      <c r="R35" s="30">
        <v>0</v>
      </c>
      <c r="S35" s="30">
        <v>0</v>
      </c>
      <c r="T35" s="30"/>
      <c r="U35" s="30">
        <v>0</v>
      </c>
      <c r="V35" s="31">
        <v>0</v>
      </c>
    </row>
    <row r="36" spans="1:22">
      <c r="A36" s="1" t="s">
        <v>57</v>
      </c>
      <c r="B36" s="29">
        <v>0</v>
      </c>
      <c r="C36" s="30">
        <v>0</v>
      </c>
      <c r="D36" s="30">
        <v>0</v>
      </c>
      <c r="E36" s="30">
        <v>0</v>
      </c>
      <c r="F36" s="30">
        <v>0</v>
      </c>
      <c r="G36" s="31">
        <f>SUM(NJ_FINANCIAL)</f>
        <v>0</v>
      </c>
      <c r="H36" s="30"/>
      <c r="I36" s="30"/>
      <c r="J36" s="30"/>
      <c r="K36" s="30"/>
      <c r="L36" s="29"/>
      <c r="M36" s="30"/>
      <c r="N36" s="30"/>
      <c r="O36" s="30"/>
      <c r="P36" s="30"/>
      <c r="Q36" s="30"/>
      <c r="R36" s="30"/>
      <c r="S36" s="30"/>
      <c r="T36" s="30"/>
      <c r="U36" s="30"/>
      <c r="V36" s="31"/>
    </row>
    <row r="37" spans="1:22">
      <c r="A37" s="1" t="s">
        <v>58</v>
      </c>
      <c r="B37" s="29">
        <v>-30187.264812835281</v>
      </c>
      <c r="C37" s="30">
        <v>-16590.99579736578</v>
      </c>
      <c r="D37" s="30">
        <v>-28836.544691196814</v>
      </c>
      <c r="E37" s="30">
        <v>0</v>
      </c>
      <c r="F37" s="30">
        <v>0</v>
      </c>
      <c r="G37" s="31">
        <f>SUM(NM_FINANCIAL)</f>
        <v>-75614.805301397879</v>
      </c>
      <c r="H37" s="30"/>
      <c r="I37" s="30"/>
      <c r="J37" s="30"/>
      <c r="K37" s="30"/>
      <c r="L37" s="29"/>
      <c r="M37" s="30"/>
      <c r="N37" s="30"/>
      <c r="O37" s="30"/>
      <c r="P37" s="30"/>
      <c r="Q37" s="30"/>
      <c r="R37" s="30"/>
      <c r="S37" s="30"/>
      <c r="T37" s="30"/>
      <c r="U37" s="30"/>
      <c r="V37" s="31"/>
    </row>
    <row r="38" spans="1:22">
      <c r="A38" s="1" t="s">
        <v>59</v>
      </c>
      <c r="B38" s="29">
        <v>0</v>
      </c>
      <c r="C38" s="30">
        <v>0</v>
      </c>
      <c r="D38" s="30">
        <v>0</v>
      </c>
      <c r="E38" s="30">
        <v>0</v>
      </c>
      <c r="F38" s="30">
        <v>0</v>
      </c>
      <c r="G38" s="31">
        <f>SUM(NY_FINANCIAL)</f>
        <v>0</v>
      </c>
      <c r="H38" s="30"/>
      <c r="I38" s="30"/>
      <c r="J38" s="30"/>
      <c r="K38" s="30"/>
      <c r="L38" s="29"/>
      <c r="M38" s="30"/>
      <c r="N38" s="30"/>
      <c r="O38" s="30"/>
      <c r="P38" s="30"/>
      <c r="Q38" s="30"/>
      <c r="R38" s="30"/>
      <c r="S38" s="30"/>
      <c r="T38" s="30"/>
      <c r="U38" s="30"/>
      <c r="V38" s="31"/>
    </row>
    <row r="39" spans="1:22">
      <c r="A39" s="1" t="s">
        <v>60</v>
      </c>
      <c r="B39" s="29">
        <v>-31355.737315974082</v>
      </c>
      <c r="C39" s="30">
        <v>-39046.35892348655</v>
      </c>
      <c r="D39" s="30">
        <v>-1096.4525577662159</v>
      </c>
      <c r="E39" s="30">
        <v>0</v>
      </c>
      <c r="F39" s="30">
        <v>0</v>
      </c>
      <c r="G39" s="31">
        <f>SUM(NC_FINANCIAL)</f>
        <v>-71498.548797226846</v>
      </c>
      <c r="H39" s="30"/>
      <c r="I39" s="30"/>
      <c r="J39" s="30"/>
      <c r="K39" s="30"/>
      <c r="L39" s="29">
        <v>350000</v>
      </c>
      <c r="M39" s="30">
        <v>289750</v>
      </c>
      <c r="N39" s="30"/>
      <c r="O39" s="30">
        <v>250000</v>
      </c>
      <c r="P39" s="30">
        <v>235250</v>
      </c>
      <c r="Q39" s="30"/>
      <c r="R39" s="30">
        <v>0</v>
      </c>
      <c r="S39" s="30">
        <v>0</v>
      </c>
      <c r="T39" s="30"/>
      <c r="U39" s="30">
        <v>0</v>
      </c>
      <c r="V39" s="31">
        <v>0</v>
      </c>
    </row>
    <row r="40" spans="1:22">
      <c r="A40" s="1" t="s">
        <v>61</v>
      </c>
      <c r="B40" s="29">
        <v>-65444.288407243512</v>
      </c>
      <c r="C40" s="30">
        <v>-44442.819796349082</v>
      </c>
      <c r="D40" s="30">
        <v>-1454.3483159333646</v>
      </c>
      <c r="E40" s="30">
        <v>0</v>
      </c>
      <c r="F40" s="30">
        <v>0</v>
      </c>
      <c r="G40" s="31">
        <f>SUM(ND_FINANCIAL)</f>
        <v>-111341.45651952596</v>
      </c>
      <c r="H40" s="30"/>
      <c r="I40" s="30"/>
      <c r="J40" s="30"/>
      <c r="K40" s="30"/>
      <c r="L40" s="29">
        <v>96400</v>
      </c>
      <c r="M40" s="30">
        <v>0</v>
      </c>
      <c r="N40" s="30"/>
      <c r="O40" s="30">
        <v>147500</v>
      </c>
      <c r="P40" s="30">
        <v>0</v>
      </c>
      <c r="Q40" s="30"/>
      <c r="R40" s="30">
        <v>0</v>
      </c>
      <c r="S40" s="30">
        <v>0</v>
      </c>
      <c r="T40" s="30"/>
      <c r="U40" s="30">
        <v>66890</v>
      </c>
      <c r="V40" s="31">
        <v>0</v>
      </c>
    </row>
    <row r="41" spans="1:22">
      <c r="A41" s="1" t="s">
        <v>62</v>
      </c>
      <c r="B41" s="29">
        <v>173910.54883989575</v>
      </c>
      <c r="C41" s="30">
        <v>497854.41362456512</v>
      </c>
      <c r="D41" s="30">
        <v>3483.1675583067772</v>
      </c>
      <c r="E41" s="30">
        <v>11438.903533431439</v>
      </c>
      <c r="F41" s="30">
        <v>0</v>
      </c>
      <c r="G41" s="31">
        <f>SUM(OH_FINANCIAL)</f>
        <v>686687.03355619917</v>
      </c>
      <c r="H41" s="30"/>
      <c r="I41" s="30"/>
      <c r="J41" s="30"/>
      <c r="K41" s="30"/>
      <c r="L41" s="29">
        <v>4860000</v>
      </c>
      <c r="M41" s="30">
        <v>0</v>
      </c>
      <c r="N41" s="30"/>
      <c r="O41" s="30">
        <v>8640000</v>
      </c>
      <c r="P41" s="30">
        <v>0</v>
      </c>
      <c r="Q41" s="30"/>
      <c r="R41" s="30">
        <v>0</v>
      </c>
      <c r="S41" s="30">
        <v>0</v>
      </c>
      <c r="T41" s="30"/>
      <c r="U41" s="30">
        <v>0</v>
      </c>
      <c r="V41" s="31">
        <v>0</v>
      </c>
    </row>
    <row r="42" spans="1:22">
      <c r="A42" s="1" t="s">
        <v>63</v>
      </c>
      <c r="B42" s="29">
        <v>-82980.673349031538</v>
      </c>
      <c r="C42" s="30">
        <v>-124486.00390926097</v>
      </c>
      <c r="D42" s="30">
        <v>-407658.49542452494</v>
      </c>
      <c r="E42" s="30">
        <v>0</v>
      </c>
      <c r="F42" s="30">
        <v>0</v>
      </c>
      <c r="G42" s="31">
        <f>SUM(OK_FINANCIAL)</f>
        <v>-615125.17268281744</v>
      </c>
      <c r="H42" s="30"/>
      <c r="I42" s="30"/>
      <c r="J42" s="30"/>
      <c r="K42" s="30"/>
      <c r="L42" s="29">
        <v>666000</v>
      </c>
      <c r="M42" s="30">
        <v>432900</v>
      </c>
      <c r="N42" s="30"/>
      <c r="O42" s="30">
        <v>721000</v>
      </c>
      <c r="P42" s="30">
        <v>468000</v>
      </c>
      <c r="Q42" s="30"/>
      <c r="R42" s="30">
        <v>414000</v>
      </c>
      <c r="S42" s="30">
        <v>269100</v>
      </c>
      <c r="T42" s="30"/>
      <c r="U42" s="30">
        <v>0</v>
      </c>
      <c r="V42" s="31">
        <v>0</v>
      </c>
    </row>
    <row r="43" spans="1:22">
      <c r="A43" s="1" t="s">
        <v>64</v>
      </c>
      <c r="B43" s="29">
        <v>-5191.8490080028278</v>
      </c>
      <c r="C43" s="30">
        <v>-19453.446786187764</v>
      </c>
      <c r="D43" s="30">
        <v>-20.068906851282861</v>
      </c>
      <c r="E43" s="30">
        <v>0</v>
      </c>
      <c r="F43" s="30">
        <v>0</v>
      </c>
      <c r="G43" s="31">
        <f>SUM(OR_FINANCIAL)</f>
        <v>-24665.364701041875</v>
      </c>
      <c r="H43" s="30"/>
      <c r="I43" s="30"/>
      <c r="J43" s="30"/>
      <c r="K43" s="30"/>
      <c r="L43" s="29">
        <v>166015</v>
      </c>
      <c r="M43" s="30">
        <v>0</v>
      </c>
      <c r="N43" s="30"/>
      <c r="O43" s="30">
        <v>738136</v>
      </c>
      <c r="P43" s="30">
        <v>0</v>
      </c>
      <c r="Q43" s="30"/>
      <c r="R43" s="30">
        <v>0</v>
      </c>
      <c r="S43" s="30">
        <v>0</v>
      </c>
      <c r="T43" s="30"/>
      <c r="U43" s="30">
        <v>0</v>
      </c>
      <c r="V43" s="31">
        <v>0</v>
      </c>
    </row>
    <row r="44" spans="1:22">
      <c r="A44" s="1" t="s">
        <v>65</v>
      </c>
      <c r="B44" s="29">
        <v>299302.13858891861</v>
      </c>
      <c r="C44" s="30">
        <v>1031941.9077955522</v>
      </c>
      <c r="D44" s="30">
        <v>6745.9693798064691</v>
      </c>
      <c r="E44" s="30">
        <v>0</v>
      </c>
      <c r="F44" s="30">
        <v>0</v>
      </c>
      <c r="G44" s="31">
        <f>SUM(PA_FINANCIAL)</f>
        <v>1337990.0157642772</v>
      </c>
      <c r="H44" s="30"/>
      <c r="I44" s="30"/>
      <c r="J44" s="30"/>
      <c r="K44" s="30"/>
      <c r="L44" s="29">
        <v>2700000</v>
      </c>
      <c r="M44" s="30">
        <v>0</v>
      </c>
      <c r="N44" s="30"/>
      <c r="O44" s="30">
        <v>8300000</v>
      </c>
      <c r="P44" s="30">
        <v>0</v>
      </c>
      <c r="Q44" s="30"/>
      <c r="R44" s="30">
        <v>0</v>
      </c>
      <c r="S44" s="30">
        <v>0</v>
      </c>
      <c r="T44" s="30"/>
      <c r="U44" s="30">
        <v>0</v>
      </c>
      <c r="V44" s="31">
        <v>0</v>
      </c>
    </row>
    <row r="45" spans="1:22">
      <c r="A45" s="1" t="s">
        <v>66</v>
      </c>
      <c r="B45" s="29">
        <v>0</v>
      </c>
      <c r="C45" s="30">
        <v>0</v>
      </c>
      <c r="D45" s="30">
        <v>0</v>
      </c>
      <c r="E45" s="30">
        <v>0</v>
      </c>
      <c r="F45" s="30">
        <v>0</v>
      </c>
      <c r="G45" s="31">
        <f>SUM(PR_FINANCIAL)</f>
        <v>0</v>
      </c>
      <c r="H45" s="30"/>
      <c r="I45" s="30"/>
      <c r="J45" s="30"/>
      <c r="K45" s="30"/>
      <c r="L45" s="29"/>
      <c r="M45" s="30"/>
      <c r="N45" s="30"/>
      <c r="O45" s="30"/>
      <c r="P45" s="30"/>
      <c r="Q45" s="30"/>
      <c r="R45" s="30"/>
      <c r="S45" s="30"/>
      <c r="T45" s="30"/>
      <c r="U45" s="30"/>
      <c r="V45" s="31"/>
    </row>
    <row r="46" spans="1:22">
      <c r="A46" s="1" t="s">
        <v>67</v>
      </c>
      <c r="B46" s="29">
        <v>0</v>
      </c>
      <c r="C46" s="30">
        <v>0</v>
      </c>
      <c r="D46" s="30">
        <v>0</v>
      </c>
      <c r="E46" s="30">
        <v>0</v>
      </c>
      <c r="F46" s="30">
        <v>0</v>
      </c>
      <c r="G46" s="31">
        <f>SUM(RI_FINANCIAL)</f>
        <v>0</v>
      </c>
      <c r="H46" s="30"/>
      <c r="I46" s="30"/>
      <c r="J46" s="30"/>
      <c r="K46" s="30"/>
      <c r="L46" s="29"/>
      <c r="M46" s="30"/>
      <c r="N46" s="30"/>
      <c r="O46" s="30"/>
      <c r="P46" s="30"/>
      <c r="Q46" s="30"/>
      <c r="R46" s="30"/>
      <c r="S46" s="30"/>
      <c r="T46" s="30"/>
      <c r="U46" s="30"/>
      <c r="V46" s="31"/>
    </row>
    <row r="47" spans="1:22">
      <c r="A47" s="1" t="s">
        <v>68</v>
      </c>
      <c r="B47" s="29">
        <v>58123.038212561223</v>
      </c>
      <c r="C47" s="30">
        <v>20048.862237735244</v>
      </c>
      <c r="D47" s="30">
        <v>-503.67295264158304</v>
      </c>
      <c r="E47" s="30">
        <v>0</v>
      </c>
      <c r="F47" s="30">
        <v>0</v>
      </c>
      <c r="G47" s="31">
        <f>SUM(SC_FINANCIAL)</f>
        <v>77668.22749765488</v>
      </c>
      <c r="H47" s="30"/>
      <c r="I47" s="30"/>
      <c r="J47" s="30"/>
      <c r="K47" s="30"/>
      <c r="L47" s="29">
        <v>519500</v>
      </c>
      <c r="M47" s="30">
        <v>0</v>
      </c>
      <c r="N47" s="30"/>
      <c r="O47" s="30">
        <v>80500</v>
      </c>
      <c r="P47" s="30">
        <v>0</v>
      </c>
      <c r="Q47" s="30"/>
      <c r="R47" s="30">
        <v>0</v>
      </c>
      <c r="S47" s="30">
        <v>0</v>
      </c>
      <c r="T47" s="30"/>
      <c r="U47" s="30">
        <v>0</v>
      </c>
      <c r="V47" s="31">
        <v>0</v>
      </c>
    </row>
    <row r="48" spans="1:22">
      <c r="A48" s="1" t="s">
        <v>69</v>
      </c>
      <c r="B48" s="29">
        <v>58216.103826197563</v>
      </c>
      <c r="C48" s="30">
        <v>95627.756164336228</v>
      </c>
      <c r="D48" s="30">
        <v>2210.395021056589</v>
      </c>
      <c r="E48" s="30">
        <v>0</v>
      </c>
      <c r="F48" s="30">
        <v>0</v>
      </c>
      <c r="G48" s="31">
        <f>SUM(SD_FINANCIAL)</f>
        <v>156054.25501159037</v>
      </c>
      <c r="H48" s="30"/>
      <c r="I48" s="30"/>
      <c r="J48" s="30"/>
      <c r="K48" s="30"/>
      <c r="L48" s="29">
        <v>342154</v>
      </c>
      <c r="M48" s="30">
        <v>0</v>
      </c>
      <c r="N48" s="30"/>
      <c r="O48" s="30">
        <v>692351</v>
      </c>
      <c r="P48" s="30">
        <v>528151</v>
      </c>
      <c r="Q48" s="30"/>
      <c r="R48" s="30">
        <v>57868</v>
      </c>
      <c r="S48" s="30">
        <v>0</v>
      </c>
      <c r="T48" s="30"/>
      <c r="U48" s="30">
        <v>0</v>
      </c>
      <c r="V48" s="31">
        <v>0</v>
      </c>
    </row>
    <row r="49" spans="1:22">
      <c r="A49" s="1" t="s">
        <v>70</v>
      </c>
      <c r="B49" s="29">
        <v>25729.668151394144</v>
      </c>
      <c r="C49" s="30">
        <v>46569.846868887311</v>
      </c>
      <c r="D49" s="30">
        <v>-7802.1777959438841</v>
      </c>
      <c r="E49" s="30">
        <v>0</v>
      </c>
      <c r="F49" s="30">
        <v>0</v>
      </c>
      <c r="G49" s="31">
        <f>SUM(TN_FINANCIAL)</f>
        <v>64497.337224337571</v>
      </c>
      <c r="H49" s="30"/>
      <c r="I49" s="30"/>
      <c r="J49" s="30"/>
      <c r="K49" s="30"/>
      <c r="L49" s="29">
        <v>375000</v>
      </c>
      <c r="M49" s="30">
        <v>0</v>
      </c>
      <c r="N49" s="30"/>
      <c r="O49" s="30">
        <v>600000</v>
      </c>
      <c r="P49" s="30">
        <v>0</v>
      </c>
      <c r="Q49" s="30"/>
      <c r="R49" s="30">
        <v>0</v>
      </c>
      <c r="S49" s="30">
        <v>0</v>
      </c>
      <c r="T49" s="30"/>
      <c r="U49" s="30">
        <v>0</v>
      </c>
      <c r="V49" s="31">
        <v>0</v>
      </c>
    </row>
    <row r="50" spans="1:22">
      <c r="A50" s="1" t="s">
        <v>71</v>
      </c>
      <c r="B50" s="29">
        <v>103300.36328828876</v>
      </c>
      <c r="C50" s="30">
        <v>72811.623648613575</v>
      </c>
      <c r="D50" s="30">
        <v>-2239209.2565708389</v>
      </c>
      <c r="E50" s="30">
        <v>12549.438508991581</v>
      </c>
      <c r="F50" s="30">
        <v>0</v>
      </c>
      <c r="G50" s="31">
        <f>SUM(TX_FINANCIAL)</f>
        <v>-2050547.8311249448</v>
      </c>
      <c r="H50" s="30"/>
      <c r="I50" s="30"/>
      <c r="J50" s="30"/>
      <c r="K50" s="30"/>
      <c r="L50" s="29">
        <v>2050596</v>
      </c>
      <c r="M50" s="30">
        <v>1352869.3488</v>
      </c>
      <c r="N50" s="30"/>
      <c r="O50" s="30">
        <v>53829</v>
      </c>
      <c r="P50" s="30">
        <v>35582.820800000001</v>
      </c>
      <c r="Q50" s="30"/>
      <c r="R50" s="30">
        <v>2245379</v>
      </c>
      <c r="S50" s="30">
        <v>1481437.8303999999</v>
      </c>
      <c r="T50" s="30"/>
      <c r="U50" s="30">
        <v>0</v>
      </c>
      <c r="V50" s="31">
        <v>0</v>
      </c>
    </row>
    <row r="51" spans="1:22">
      <c r="A51" s="1" t="s">
        <v>72</v>
      </c>
      <c r="B51" s="29">
        <v>-26758.909047053814</v>
      </c>
      <c r="C51" s="30">
        <v>-3910.7300734674836</v>
      </c>
      <c r="D51" s="30">
        <v>0</v>
      </c>
      <c r="E51" s="30">
        <v>0</v>
      </c>
      <c r="F51" s="30">
        <v>0</v>
      </c>
      <c r="G51" s="31">
        <f>SUM(UT_FINANCIAL)</f>
        <v>-30669.639120521297</v>
      </c>
      <c r="H51" s="30"/>
      <c r="I51" s="30"/>
      <c r="J51" s="30"/>
      <c r="K51" s="30"/>
      <c r="L51" s="29">
        <v>23475</v>
      </c>
      <c r="M51" s="30">
        <v>0</v>
      </c>
      <c r="N51" s="30"/>
      <c r="O51" s="30">
        <v>0</v>
      </c>
      <c r="P51" s="30">
        <v>0</v>
      </c>
      <c r="Q51" s="30"/>
      <c r="R51" s="30">
        <v>0</v>
      </c>
      <c r="S51" s="30">
        <v>0</v>
      </c>
      <c r="T51" s="30"/>
      <c r="U51" s="30">
        <v>0</v>
      </c>
      <c r="V51" s="31">
        <v>0</v>
      </c>
    </row>
    <row r="52" spans="1:22">
      <c r="A52" s="1" t="s">
        <v>73</v>
      </c>
      <c r="B52" s="29">
        <v>0</v>
      </c>
      <c r="C52" s="30">
        <v>0</v>
      </c>
      <c r="D52" s="30">
        <v>0</v>
      </c>
      <c r="E52" s="30">
        <v>0</v>
      </c>
      <c r="F52" s="30">
        <v>0</v>
      </c>
      <c r="G52" s="31">
        <f>SUM(VT_FINANCIAL)</f>
        <v>0</v>
      </c>
      <c r="H52" s="30"/>
      <c r="I52" s="30"/>
      <c r="J52" s="30"/>
      <c r="K52" s="30"/>
      <c r="L52" s="29"/>
      <c r="M52" s="30"/>
      <c r="N52" s="30"/>
      <c r="O52" s="30"/>
      <c r="P52" s="30"/>
      <c r="Q52" s="30"/>
      <c r="R52" s="30"/>
      <c r="S52" s="30"/>
      <c r="T52" s="30"/>
      <c r="U52" s="30"/>
      <c r="V52" s="31"/>
    </row>
    <row r="53" spans="1:22">
      <c r="A53" s="1" t="s">
        <v>74</v>
      </c>
      <c r="B53" s="29">
        <v>172744.09225102933</v>
      </c>
      <c r="C53" s="30">
        <v>806538.35561187845</v>
      </c>
      <c r="D53" s="30">
        <v>171.96100499915974</v>
      </c>
      <c r="E53" s="30">
        <v>0</v>
      </c>
      <c r="F53" s="30">
        <v>0</v>
      </c>
      <c r="G53" s="31">
        <f>SUM(VA_FINANCIAL)</f>
        <v>979454.4088679069</v>
      </c>
      <c r="H53" s="30"/>
      <c r="I53" s="30"/>
      <c r="J53" s="30"/>
      <c r="K53" s="30"/>
      <c r="L53" s="29">
        <v>2600000</v>
      </c>
      <c r="M53" s="30">
        <v>1639270</v>
      </c>
      <c r="N53" s="30"/>
      <c r="O53" s="30">
        <v>8600000</v>
      </c>
      <c r="P53" s="30">
        <v>12272233</v>
      </c>
      <c r="Q53" s="30"/>
      <c r="R53" s="30">
        <v>25500</v>
      </c>
      <c r="S53" s="30">
        <v>0</v>
      </c>
      <c r="T53" s="30"/>
      <c r="U53" s="30">
        <v>0</v>
      </c>
      <c r="V53" s="31">
        <v>0</v>
      </c>
    </row>
    <row r="54" spans="1:22">
      <c r="A54" s="1" t="s">
        <v>75</v>
      </c>
      <c r="B54" s="29">
        <v>29734.264872057538</v>
      </c>
      <c r="C54" s="30">
        <v>151884.11028400576</v>
      </c>
      <c r="D54" s="30">
        <v>261.9219238312578</v>
      </c>
      <c r="E54" s="30">
        <v>701.13090579386699</v>
      </c>
      <c r="F54" s="30">
        <v>0</v>
      </c>
      <c r="G54" s="31">
        <f>SUM(WA_FINANCIAL)</f>
        <v>182581.42798568841</v>
      </c>
      <c r="H54" s="30"/>
      <c r="I54" s="30"/>
      <c r="J54" s="30"/>
      <c r="K54" s="30"/>
      <c r="L54" s="29">
        <v>250000</v>
      </c>
      <c r="M54" s="30">
        <v>298366</v>
      </c>
      <c r="N54" s="30"/>
      <c r="O54" s="30">
        <v>700000</v>
      </c>
      <c r="P54" s="30">
        <v>396051</v>
      </c>
      <c r="Q54" s="30"/>
      <c r="R54" s="30">
        <v>0</v>
      </c>
      <c r="S54" s="30">
        <v>0</v>
      </c>
      <c r="T54" s="30"/>
      <c r="U54" s="30">
        <v>0</v>
      </c>
      <c r="V54" s="31">
        <v>0</v>
      </c>
    </row>
    <row r="55" spans="1:22">
      <c r="A55" s="1" t="s">
        <v>76</v>
      </c>
      <c r="B55" s="29">
        <v>7864.3156726769666</v>
      </c>
      <c r="C55" s="30">
        <v>17698.381353603181</v>
      </c>
      <c r="D55" s="30">
        <v>0</v>
      </c>
      <c r="E55" s="30">
        <v>0</v>
      </c>
      <c r="F55" s="30">
        <v>0</v>
      </c>
      <c r="G55" s="31">
        <f>SUM(WV_FINANCIAL)</f>
        <v>25562.697026280148</v>
      </c>
      <c r="H55" s="30"/>
      <c r="I55" s="30"/>
      <c r="J55" s="30"/>
      <c r="K55" s="30"/>
      <c r="L55" s="29">
        <v>332438</v>
      </c>
      <c r="M55" s="30">
        <v>235821</v>
      </c>
      <c r="N55" s="30"/>
      <c r="O55" s="30">
        <v>4165</v>
      </c>
      <c r="P55" s="30">
        <v>4869</v>
      </c>
      <c r="Q55" s="30"/>
      <c r="R55" s="30">
        <v>79887</v>
      </c>
      <c r="S55" s="30">
        <v>100588</v>
      </c>
      <c r="T55" s="30"/>
      <c r="U55" s="30">
        <v>0</v>
      </c>
      <c r="V55" s="31">
        <v>0</v>
      </c>
    </row>
    <row r="56" spans="1:22">
      <c r="A56" s="1" t="s">
        <v>77</v>
      </c>
      <c r="B56" s="29">
        <v>4595.5933621714357</v>
      </c>
      <c r="C56" s="30">
        <v>4679.1649107092235</v>
      </c>
      <c r="D56" s="30">
        <v>892.0176251292105</v>
      </c>
      <c r="E56" s="30">
        <v>0</v>
      </c>
      <c r="F56" s="30">
        <v>0</v>
      </c>
      <c r="G56" s="31">
        <f>SUM(WI_FINANCIAL)</f>
        <v>10166.77589800987</v>
      </c>
      <c r="H56" s="30"/>
      <c r="I56" s="30"/>
      <c r="J56" s="30"/>
      <c r="K56" s="30"/>
      <c r="L56" s="29">
        <v>180000</v>
      </c>
      <c r="M56" s="30">
        <v>0</v>
      </c>
      <c r="N56" s="30"/>
      <c r="O56" s="30">
        <v>80000</v>
      </c>
      <c r="P56" s="30">
        <v>0</v>
      </c>
      <c r="Q56" s="30"/>
      <c r="R56" s="30">
        <v>0</v>
      </c>
      <c r="S56" s="30">
        <v>0</v>
      </c>
      <c r="T56" s="30"/>
      <c r="U56" s="30">
        <v>0</v>
      </c>
      <c r="V56" s="31">
        <v>0</v>
      </c>
    </row>
    <row r="57" spans="1:22">
      <c r="A57" s="1" t="s">
        <v>78</v>
      </c>
      <c r="B57" s="29">
        <v>9312.8478393583973</v>
      </c>
      <c r="C57" s="30">
        <v>16858.152160641832</v>
      </c>
      <c r="D57" s="30">
        <v>0</v>
      </c>
      <c r="E57" s="30">
        <v>0</v>
      </c>
      <c r="F57" s="30">
        <v>0</v>
      </c>
      <c r="G57" s="31">
        <f>SUM(WY_FINANCIAL)</f>
        <v>26171.000000000229</v>
      </c>
      <c r="H57" s="30"/>
      <c r="I57" s="30"/>
      <c r="J57" s="30"/>
      <c r="K57" s="30"/>
      <c r="L57" s="29">
        <v>0</v>
      </c>
      <c r="M57" s="30">
        <v>389762</v>
      </c>
      <c r="N57" s="30"/>
      <c r="O57" s="30">
        <v>0</v>
      </c>
      <c r="P57" s="30">
        <v>389761</v>
      </c>
      <c r="Q57" s="30"/>
      <c r="R57" s="30">
        <v>0</v>
      </c>
      <c r="S57" s="30">
        <v>0</v>
      </c>
      <c r="T57" s="30"/>
      <c r="U57" s="30">
        <v>0</v>
      </c>
      <c r="V57" s="31">
        <v>0</v>
      </c>
    </row>
    <row r="58" spans="1:22">
      <c r="A58" s="1" t="s">
        <v>79</v>
      </c>
      <c r="B58" s="29">
        <v>0</v>
      </c>
      <c r="C58" s="30">
        <v>0</v>
      </c>
      <c r="D58" s="30">
        <v>0</v>
      </c>
      <c r="E58" s="30">
        <v>0</v>
      </c>
      <c r="F58" s="30">
        <v>0</v>
      </c>
      <c r="G58" s="31">
        <f>SUM(OT_FINANCIAL)</f>
        <v>0</v>
      </c>
      <c r="H58" s="30"/>
      <c r="I58" s="30"/>
      <c r="J58" s="30"/>
      <c r="K58" s="30"/>
      <c r="L58" s="29"/>
      <c r="M58" s="30"/>
      <c r="N58" s="30"/>
      <c r="O58" s="30"/>
      <c r="P58" s="30"/>
      <c r="Q58" s="30"/>
      <c r="R58" s="30"/>
      <c r="S58" s="30"/>
      <c r="T58" s="30"/>
      <c r="U58" s="30"/>
      <c r="V58" s="31"/>
    </row>
    <row r="59" spans="1:22">
      <c r="B59" s="29"/>
      <c r="C59" s="30"/>
      <c r="D59" s="30"/>
      <c r="E59" s="30"/>
      <c r="F59" s="30"/>
      <c r="G59" s="31"/>
      <c r="H59" s="30"/>
      <c r="I59" s="30"/>
      <c r="J59" s="30"/>
      <c r="K59" s="30"/>
      <c r="L59" s="29"/>
      <c r="M59" s="30"/>
      <c r="N59" s="30"/>
      <c r="O59" s="30"/>
      <c r="P59" s="30"/>
      <c r="Q59" s="30"/>
      <c r="R59" s="30"/>
      <c r="S59" s="30"/>
      <c r="T59" s="30"/>
      <c r="U59" s="30"/>
      <c r="V59" s="31"/>
    </row>
    <row r="60" spans="1:22">
      <c r="A60" s="1" t="s">
        <v>8</v>
      </c>
      <c r="B60" s="29">
        <f>SUM(LIFE)</f>
        <v>3156843.32973589</v>
      </c>
      <c r="C60" s="30">
        <f>SUM(ALLOCATED)</f>
        <v>11290437.844675858</v>
      </c>
      <c r="D60" s="30">
        <f>SUM(HEALTH)</f>
        <v>-6405966.9312069416</v>
      </c>
      <c r="E60" s="30">
        <f>SUM(UNALLOCATED)</f>
        <v>4718689.2567951931</v>
      </c>
      <c r="F60" s="30">
        <f>SUM(LTC)</f>
        <v>0</v>
      </c>
      <c r="G60" s="31">
        <f>SUM(ALL_BLOCKS)</f>
        <v>12760003.499999996</v>
      </c>
      <c r="H60" s="30"/>
      <c r="I60" s="30"/>
      <c r="J60" s="30"/>
      <c r="K60" s="30"/>
      <c r="L60" s="29">
        <f>SUM(LIFE_CALLED)</f>
        <v>53434308</v>
      </c>
      <c r="M60" s="30">
        <f>SUM(LIFE_REFUNDED)</f>
        <v>16260675.3488</v>
      </c>
      <c r="N60" s="30"/>
      <c r="O60" s="30">
        <f>SUM(ALLOC_CALLED)</f>
        <v>117647747</v>
      </c>
      <c r="P60" s="30">
        <f>SUM(ALLOC_REFUNDED)</f>
        <v>23197622.820799999</v>
      </c>
      <c r="Q60" s="30"/>
      <c r="R60" s="30">
        <f>SUM(HEALTH_CALLED)</f>
        <v>3972146</v>
      </c>
      <c r="S60" s="30">
        <f>SUM(HEALTH_REFUNDED)</f>
        <v>2032125.8303999999</v>
      </c>
      <c r="T60" s="30"/>
      <c r="U60" s="30">
        <f>SUM(UNALLOC_CALLED)</f>
        <v>96890</v>
      </c>
      <c r="V60" s="31">
        <f>SUM(UNALLOC_REFUNDED)</f>
        <v>84000</v>
      </c>
    </row>
    <row r="61" spans="1:22" ht="5.0999999999999996" customHeight="1">
      <c r="B61" s="8"/>
      <c r="G61" s="11"/>
      <c r="L61" s="8"/>
      <c r="V61" s="11"/>
    </row>
    <row r="62" spans="1:22">
      <c r="B62" s="8"/>
      <c r="G62" s="11"/>
      <c r="L62" s="122" t="s">
        <v>80</v>
      </c>
      <c r="M62" s="123"/>
      <c r="N62" s="123"/>
      <c r="O62" s="123"/>
      <c r="P62" s="123"/>
      <c r="Q62" s="123"/>
      <c r="R62" s="123"/>
      <c r="S62" s="123"/>
      <c r="T62" s="123"/>
      <c r="U62" s="123"/>
      <c r="V62" s="124"/>
    </row>
    <row r="63" spans="1:22">
      <c r="B63" s="8"/>
      <c r="G63" s="11"/>
      <c r="L63" s="125"/>
      <c r="M63" s="123"/>
      <c r="N63" s="123"/>
      <c r="O63" s="123"/>
      <c r="P63" s="123"/>
      <c r="Q63" s="123"/>
      <c r="R63" s="123"/>
      <c r="S63" s="123"/>
      <c r="T63" s="123"/>
      <c r="U63" s="123"/>
      <c r="V63" s="124"/>
    </row>
    <row r="64" spans="1:22">
      <c r="B64" s="10"/>
      <c r="C64" s="7"/>
      <c r="D64" s="7"/>
      <c r="E64" s="7"/>
      <c r="F64" s="7"/>
      <c r="G64" s="13"/>
      <c r="L64" s="126"/>
      <c r="M64" s="127"/>
      <c r="N64" s="127"/>
      <c r="O64" s="127"/>
      <c r="P64" s="127"/>
      <c r="Q64" s="127"/>
      <c r="R64" s="127"/>
      <c r="S64" s="127"/>
      <c r="T64" s="127"/>
      <c r="U64" s="127"/>
      <c r="V64" s="128"/>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pageSetUpPr fitToPage="1"/>
  </sheetPr>
  <dimension ref="A1:V64"/>
  <sheetViews>
    <sheetView zoomScale="75" workbookViewId="0">
      <selection sqref="A1:XFD1048576"/>
    </sheetView>
  </sheetViews>
  <sheetFormatPr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129" t="s">
        <v>144</v>
      </c>
      <c r="B1" s="123"/>
      <c r="C1" s="123"/>
      <c r="D1" s="123"/>
      <c r="E1" s="123"/>
      <c r="F1" s="123"/>
      <c r="G1" s="123"/>
    </row>
    <row r="3" spans="1:22">
      <c r="B3" s="130" t="s">
        <v>1</v>
      </c>
      <c r="C3" s="131"/>
      <c r="D3" s="131"/>
      <c r="E3" s="131"/>
      <c r="F3" s="131"/>
      <c r="G3" s="132"/>
      <c r="L3" s="133" t="s">
        <v>2</v>
      </c>
      <c r="M3" s="134"/>
      <c r="N3" s="134"/>
      <c r="O3" s="134"/>
      <c r="P3" s="134"/>
      <c r="Q3" s="134"/>
      <c r="R3" s="134"/>
      <c r="S3" s="134"/>
      <c r="T3" s="134"/>
      <c r="U3" s="134"/>
      <c r="V3" s="135"/>
    </row>
    <row r="4" spans="1:22">
      <c r="B4" s="8"/>
      <c r="G4" s="11"/>
      <c r="L4" s="136" t="s">
        <v>3</v>
      </c>
      <c r="M4" s="137"/>
      <c r="N4" s="4"/>
      <c r="O4" s="138" t="s">
        <v>4</v>
      </c>
      <c r="P4" s="137"/>
      <c r="Q4" s="4"/>
      <c r="R4" s="138" t="s">
        <v>5</v>
      </c>
      <c r="S4" s="137"/>
      <c r="T4" s="4"/>
      <c r="U4" s="138" t="s">
        <v>6</v>
      </c>
      <c r="V4" s="139"/>
    </row>
    <row r="5" spans="1:22" ht="60" customHeight="1">
      <c r="B5" s="9" t="s">
        <v>3</v>
      </c>
      <c r="C5" s="5" t="s">
        <v>4</v>
      </c>
      <c r="D5" s="5" t="s">
        <v>5</v>
      </c>
      <c r="E5" s="5" t="s">
        <v>6</v>
      </c>
      <c r="F5" s="5" t="s">
        <v>7</v>
      </c>
      <c r="G5" s="12" t="s">
        <v>8</v>
      </c>
      <c r="L5" s="15" t="s">
        <v>9</v>
      </c>
      <c r="M5" s="14" t="s">
        <v>10</v>
      </c>
      <c r="N5" s="14"/>
      <c r="O5" s="14" t="s">
        <v>9</v>
      </c>
      <c r="P5" s="14" t="s">
        <v>10</v>
      </c>
      <c r="Q5" s="14"/>
      <c r="R5" s="14" t="s">
        <v>9</v>
      </c>
      <c r="S5" s="14" t="s">
        <v>10</v>
      </c>
      <c r="T5" s="14"/>
      <c r="U5" s="14" t="s">
        <v>9</v>
      </c>
      <c r="V5" s="16" t="s">
        <v>10</v>
      </c>
    </row>
    <row r="6" spans="1:22">
      <c r="A6" s="1" t="s">
        <v>11</v>
      </c>
      <c r="B6" s="29">
        <v>34184.238043767786</v>
      </c>
      <c r="C6" s="30">
        <v>0</v>
      </c>
      <c r="D6" s="30">
        <v>3559.4864104407725</v>
      </c>
      <c r="E6" s="30">
        <v>0</v>
      </c>
      <c r="F6" s="30">
        <v>0</v>
      </c>
      <c r="G6" s="31">
        <f>SUM(AL_FINANCIAL)</f>
        <v>37743.724454208561</v>
      </c>
      <c r="H6" s="30"/>
      <c r="I6" s="30"/>
      <c r="J6" s="30"/>
      <c r="K6" s="30"/>
      <c r="L6" s="29"/>
      <c r="M6" s="30"/>
      <c r="N6" s="30"/>
      <c r="O6" s="30"/>
      <c r="P6" s="30"/>
      <c r="Q6" s="30"/>
      <c r="R6" s="30"/>
      <c r="S6" s="30"/>
      <c r="T6" s="30"/>
      <c r="U6" s="30"/>
      <c r="V6" s="31"/>
    </row>
    <row r="7" spans="1:22">
      <c r="A7" s="1" t="s">
        <v>12</v>
      </c>
      <c r="B7" s="29">
        <v>0</v>
      </c>
      <c r="C7" s="30">
        <v>0</v>
      </c>
      <c r="D7" s="30">
        <v>0</v>
      </c>
      <c r="E7" s="30">
        <v>0</v>
      </c>
      <c r="F7" s="30">
        <v>0</v>
      </c>
      <c r="G7" s="31">
        <f>SUM(AK_FINANCIAL)</f>
        <v>0</v>
      </c>
      <c r="H7" s="30"/>
      <c r="I7" s="32"/>
      <c r="J7" s="33"/>
      <c r="K7" s="30"/>
      <c r="L7" s="29"/>
      <c r="M7" s="30"/>
      <c r="N7" s="30"/>
      <c r="O7" s="30"/>
      <c r="P7" s="30"/>
      <c r="Q7" s="30"/>
      <c r="R7" s="30"/>
      <c r="S7" s="30"/>
      <c r="T7" s="30"/>
      <c r="U7" s="30"/>
      <c r="V7" s="31"/>
    </row>
    <row r="8" spans="1:22">
      <c r="A8" s="1" t="s">
        <v>13</v>
      </c>
      <c r="B8" s="29">
        <v>0</v>
      </c>
      <c r="C8" s="30">
        <v>0</v>
      </c>
      <c r="D8" s="30">
        <v>0</v>
      </c>
      <c r="E8" s="30">
        <v>0</v>
      </c>
      <c r="F8" s="30">
        <v>0</v>
      </c>
      <c r="G8" s="31">
        <f>SUM(AZ_FINANCIAL)</f>
        <v>0</v>
      </c>
      <c r="H8" s="30"/>
      <c r="I8" s="34" t="s">
        <v>14</v>
      </c>
      <c r="J8" s="35"/>
      <c r="K8" s="30"/>
      <c r="L8" s="29"/>
      <c r="M8" s="30"/>
      <c r="N8" s="30"/>
      <c r="O8" s="30"/>
      <c r="P8" s="30"/>
      <c r="Q8" s="30"/>
      <c r="R8" s="30"/>
      <c r="S8" s="30"/>
      <c r="T8" s="30"/>
      <c r="U8" s="30"/>
      <c r="V8" s="31"/>
    </row>
    <row r="9" spans="1:22">
      <c r="A9" s="1" t="s">
        <v>15</v>
      </c>
      <c r="B9" s="29">
        <v>0</v>
      </c>
      <c r="C9" s="30">
        <v>0</v>
      </c>
      <c r="D9" s="30">
        <v>0</v>
      </c>
      <c r="E9" s="30">
        <v>0</v>
      </c>
      <c r="F9" s="30">
        <v>0</v>
      </c>
      <c r="G9" s="31">
        <f>SUM(AR_FINANCIAL)</f>
        <v>0</v>
      </c>
      <c r="H9" s="30"/>
      <c r="I9" s="34"/>
      <c r="J9" s="35"/>
      <c r="K9" s="30"/>
      <c r="L9" s="29"/>
      <c r="M9" s="30"/>
      <c r="N9" s="30"/>
      <c r="O9" s="30"/>
      <c r="P9" s="30"/>
      <c r="Q9" s="30"/>
      <c r="R9" s="30"/>
      <c r="S9" s="30"/>
      <c r="T9" s="30"/>
      <c r="U9" s="30"/>
      <c r="V9" s="31"/>
    </row>
    <row r="10" spans="1:22">
      <c r="A10" s="1" t="s">
        <v>16</v>
      </c>
      <c r="B10" s="29">
        <v>0</v>
      </c>
      <c r="C10" s="30">
        <v>0</v>
      </c>
      <c r="D10" s="30">
        <v>0</v>
      </c>
      <c r="E10" s="30">
        <v>0</v>
      </c>
      <c r="F10" s="30">
        <v>0</v>
      </c>
      <c r="G10" s="31">
        <f>SUM(CA_FINANCIAL)</f>
        <v>0</v>
      </c>
      <c r="H10" s="30"/>
      <c r="I10" s="34" t="s">
        <v>17</v>
      </c>
      <c r="J10" s="35">
        <v>3559238</v>
      </c>
      <c r="K10" s="30"/>
      <c r="L10" s="29"/>
      <c r="M10" s="30"/>
      <c r="N10" s="30"/>
      <c r="O10" s="30"/>
      <c r="P10" s="30"/>
      <c r="Q10" s="30"/>
      <c r="R10" s="30"/>
      <c r="S10" s="30"/>
      <c r="T10" s="30"/>
      <c r="U10" s="30"/>
      <c r="V10" s="31"/>
    </row>
    <row r="11" spans="1:22">
      <c r="A11" s="1" t="s">
        <v>18</v>
      </c>
      <c r="B11" s="29">
        <v>0</v>
      </c>
      <c r="C11" s="30">
        <v>0</v>
      </c>
      <c r="D11" s="30">
        <v>0</v>
      </c>
      <c r="E11" s="30">
        <v>0</v>
      </c>
      <c r="F11" s="30">
        <v>0</v>
      </c>
      <c r="G11" s="31">
        <f>SUM(CO_FINANCIAL)</f>
        <v>0</v>
      </c>
      <c r="H11" s="30"/>
      <c r="I11" s="34"/>
      <c r="J11" s="35"/>
      <c r="K11" s="30"/>
      <c r="L11" s="29"/>
      <c r="M11" s="30"/>
      <c r="N11" s="30"/>
      <c r="O11" s="30"/>
      <c r="P11" s="30"/>
      <c r="Q11" s="30"/>
      <c r="R11" s="30"/>
      <c r="S11" s="30"/>
      <c r="T11" s="30"/>
      <c r="U11" s="30"/>
      <c r="V11" s="31"/>
    </row>
    <row r="12" spans="1:22">
      <c r="A12" s="1" t="s">
        <v>19</v>
      </c>
      <c r="B12" s="29">
        <v>0</v>
      </c>
      <c r="C12" s="30">
        <v>0</v>
      </c>
      <c r="D12" s="30">
        <v>0</v>
      </c>
      <c r="E12" s="30">
        <v>0</v>
      </c>
      <c r="F12" s="30">
        <v>0</v>
      </c>
      <c r="G12" s="31">
        <f>SUM(CT_FINANCIAL)</f>
        <v>0</v>
      </c>
      <c r="H12" s="30"/>
      <c r="I12" s="34" t="s">
        <v>20</v>
      </c>
      <c r="J12" s="35"/>
      <c r="K12" s="30"/>
      <c r="L12" s="29"/>
      <c r="M12" s="30"/>
      <c r="N12" s="30"/>
      <c r="O12" s="30"/>
      <c r="P12" s="30"/>
      <c r="Q12" s="30"/>
      <c r="R12" s="30"/>
      <c r="S12" s="30"/>
      <c r="T12" s="30"/>
      <c r="U12" s="30"/>
      <c r="V12" s="31"/>
    </row>
    <row r="13" spans="1:22">
      <c r="A13" s="1" t="s">
        <v>21</v>
      </c>
      <c r="B13" s="29">
        <v>0</v>
      </c>
      <c r="C13" s="30">
        <v>0</v>
      </c>
      <c r="D13" s="30">
        <v>0</v>
      </c>
      <c r="E13" s="30">
        <v>0</v>
      </c>
      <c r="F13" s="30">
        <v>0</v>
      </c>
      <c r="G13" s="31">
        <f>SUM(DE_FINANCIAL)</f>
        <v>0</v>
      </c>
      <c r="H13" s="30"/>
      <c r="I13" s="34" t="s">
        <v>22</v>
      </c>
      <c r="J13" s="35">
        <v>6291</v>
      </c>
      <c r="K13" s="30"/>
      <c r="L13" s="29"/>
      <c r="M13" s="30"/>
      <c r="N13" s="30"/>
      <c r="O13" s="30"/>
      <c r="P13" s="30"/>
      <c r="Q13" s="30"/>
      <c r="R13" s="30"/>
      <c r="S13" s="30"/>
      <c r="T13" s="30"/>
      <c r="U13" s="30"/>
      <c r="V13" s="31"/>
    </row>
    <row r="14" spans="1:22">
      <c r="A14" s="1" t="s">
        <v>23</v>
      </c>
      <c r="B14" s="29">
        <v>31017.068603495085</v>
      </c>
      <c r="C14" s="30">
        <v>0</v>
      </c>
      <c r="D14" s="30">
        <v>0</v>
      </c>
      <c r="E14" s="30">
        <v>0</v>
      </c>
      <c r="F14" s="30">
        <v>0</v>
      </c>
      <c r="G14" s="31">
        <f>SUM(DC_FINANCIAL)</f>
        <v>31017.068603495085</v>
      </c>
      <c r="H14" s="30"/>
      <c r="I14" s="34" t="s">
        <v>24</v>
      </c>
      <c r="J14" s="35">
        <v>260012.00000000003</v>
      </c>
      <c r="K14" s="30"/>
      <c r="L14" s="29">
        <v>51000</v>
      </c>
      <c r="M14" s="30">
        <v>18927</v>
      </c>
      <c r="N14" s="30"/>
      <c r="O14" s="30">
        <v>0</v>
      </c>
      <c r="P14" s="30">
        <v>0</v>
      </c>
      <c r="Q14" s="30"/>
      <c r="R14" s="30">
        <v>0</v>
      </c>
      <c r="S14" s="30">
        <v>1257</v>
      </c>
      <c r="T14" s="30"/>
      <c r="U14" s="30">
        <v>0</v>
      </c>
      <c r="V14" s="31">
        <v>0</v>
      </c>
    </row>
    <row r="15" spans="1:22">
      <c r="A15" s="1" t="s">
        <v>25</v>
      </c>
      <c r="B15" s="29">
        <v>56630.919449818437</v>
      </c>
      <c r="C15" s="30">
        <v>61.011392140270431</v>
      </c>
      <c r="D15" s="30">
        <v>0</v>
      </c>
      <c r="E15" s="30">
        <v>0</v>
      </c>
      <c r="F15" s="30">
        <v>0</v>
      </c>
      <c r="G15" s="31">
        <f>SUM(FL_FINANCIAL)</f>
        <v>56691.930841958711</v>
      </c>
      <c r="H15" s="30"/>
      <c r="I15" s="34" t="s">
        <v>26</v>
      </c>
      <c r="J15" s="35">
        <v>399603.27999999991</v>
      </c>
      <c r="K15" s="30"/>
      <c r="L15" s="29"/>
      <c r="M15" s="30"/>
      <c r="N15" s="30"/>
      <c r="O15" s="30"/>
      <c r="P15" s="30"/>
      <c r="Q15" s="30"/>
      <c r="R15" s="30"/>
      <c r="S15" s="30"/>
      <c r="T15" s="30"/>
      <c r="U15" s="30"/>
      <c r="V15" s="31"/>
    </row>
    <row r="16" spans="1:22">
      <c r="A16" s="1" t="s">
        <v>27</v>
      </c>
      <c r="B16" s="29">
        <v>0</v>
      </c>
      <c r="C16" s="30">
        <v>0</v>
      </c>
      <c r="D16" s="30">
        <v>0</v>
      </c>
      <c r="E16" s="30">
        <v>0</v>
      </c>
      <c r="F16" s="30">
        <v>0</v>
      </c>
      <c r="G16" s="31">
        <f>SUM(GA_FINANCIAL)</f>
        <v>0</v>
      </c>
      <c r="H16" s="30"/>
      <c r="I16" s="34" t="s">
        <v>28</v>
      </c>
      <c r="J16" s="35">
        <v>0</v>
      </c>
      <c r="K16" s="30"/>
      <c r="L16" s="29"/>
      <c r="M16" s="30"/>
      <c r="N16" s="30"/>
      <c r="O16" s="30"/>
      <c r="P16" s="30"/>
      <c r="Q16" s="30"/>
      <c r="R16" s="30"/>
      <c r="S16" s="30"/>
      <c r="T16" s="30"/>
      <c r="U16" s="30"/>
      <c r="V16" s="31"/>
    </row>
    <row r="17" spans="1:22">
      <c r="A17" s="1" t="s">
        <v>29</v>
      </c>
      <c r="B17" s="29">
        <v>0</v>
      </c>
      <c r="C17" s="30">
        <v>0</v>
      </c>
      <c r="D17" s="30">
        <v>0</v>
      </c>
      <c r="E17" s="30">
        <v>0</v>
      </c>
      <c r="F17" s="30">
        <v>0</v>
      </c>
      <c r="G17" s="31">
        <f>SUM(HI_FINANCIAL)</f>
        <v>0</v>
      </c>
      <c r="H17" s="30"/>
      <c r="I17" s="34"/>
      <c r="J17" s="35"/>
      <c r="K17" s="30"/>
      <c r="L17" s="29"/>
      <c r="M17" s="30"/>
      <c r="N17" s="30"/>
      <c r="O17" s="30"/>
      <c r="P17" s="30"/>
      <c r="Q17" s="30"/>
      <c r="R17" s="30"/>
      <c r="S17" s="30"/>
      <c r="T17" s="30"/>
      <c r="U17" s="30"/>
      <c r="V17" s="31"/>
    </row>
    <row r="18" spans="1:22">
      <c r="A18" s="1" t="s">
        <v>30</v>
      </c>
      <c r="B18" s="29">
        <v>0</v>
      </c>
      <c r="C18" s="30">
        <v>0</v>
      </c>
      <c r="D18" s="30">
        <v>0</v>
      </c>
      <c r="E18" s="30">
        <v>0</v>
      </c>
      <c r="F18" s="30">
        <v>0</v>
      </c>
      <c r="G18" s="31">
        <f>SUM(ID_FINANCIAL)</f>
        <v>0</v>
      </c>
      <c r="H18" s="30"/>
      <c r="I18" s="34" t="s">
        <v>31</v>
      </c>
      <c r="J18" s="35"/>
      <c r="K18" s="30"/>
      <c r="L18" s="29"/>
      <c r="M18" s="30"/>
      <c r="N18" s="30"/>
      <c r="O18" s="30"/>
      <c r="P18" s="30"/>
      <c r="Q18" s="30"/>
      <c r="R18" s="30"/>
      <c r="S18" s="30"/>
      <c r="T18" s="30"/>
      <c r="U18" s="30"/>
      <c r="V18" s="31"/>
    </row>
    <row r="19" spans="1:22">
      <c r="A19" s="1" t="s">
        <v>32</v>
      </c>
      <c r="B19" s="29">
        <v>0</v>
      </c>
      <c r="C19" s="30">
        <v>0</v>
      </c>
      <c r="D19" s="30">
        <v>0</v>
      </c>
      <c r="E19" s="30">
        <v>0</v>
      </c>
      <c r="F19" s="30">
        <v>0</v>
      </c>
      <c r="G19" s="31">
        <f>SUM(IL_FINANCIAL)</f>
        <v>0</v>
      </c>
      <c r="H19" s="30"/>
      <c r="I19" s="34" t="s">
        <v>33</v>
      </c>
      <c r="J19" s="35">
        <v>809429</v>
      </c>
      <c r="K19" s="30"/>
      <c r="L19" s="29"/>
      <c r="M19" s="30"/>
      <c r="N19" s="30"/>
      <c r="O19" s="30"/>
      <c r="P19" s="30"/>
      <c r="Q19" s="30"/>
      <c r="R19" s="30"/>
      <c r="S19" s="30"/>
      <c r="T19" s="30"/>
      <c r="U19" s="30"/>
      <c r="V19" s="31"/>
    </row>
    <row r="20" spans="1:22">
      <c r="A20" s="1" t="s">
        <v>34</v>
      </c>
      <c r="B20" s="29">
        <v>1629.3945315993642</v>
      </c>
      <c r="C20" s="30">
        <v>0</v>
      </c>
      <c r="D20" s="30">
        <v>274.89376697325861</v>
      </c>
      <c r="E20" s="30">
        <v>0</v>
      </c>
      <c r="F20" s="30">
        <v>0</v>
      </c>
      <c r="G20" s="31">
        <f>SUM(IN_FINANCIAL)</f>
        <v>1904.2882985726228</v>
      </c>
      <c r="H20" s="30"/>
      <c r="I20" s="34" t="s">
        <v>35</v>
      </c>
      <c r="J20" s="35">
        <v>-5909.8728585120343</v>
      </c>
      <c r="K20" s="30"/>
      <c r="L20" s="29"/>
      <c r="M20" s="30"/>
      <c r="N20" s="30"/>
      <c r="O20" s="30"/>
      <c r="P20" s="30"/>
      <c r="Q20" s="30"/>
      <c r="R20" s="30"/>
      <c r="S20" s="30"/>
      <c r="T20" s="30"/>
      <c r="U20" s="30"/>
      <c r="V20" s="31"/>
    </row>
    <row r="21" spans="1:22">
      <c r="A21" s="1" t="s">
        <v>36</v>
      </c>
      <c r="B21" s="29">
        <v>0</v>
      </c>
      <c r="C21" s="30">
        <v>0</v>
      </c>
      <c r="D21" s="30">
        <v>0</v>
      </c>
      <c r="E21" s="30">
        <v>0</v>
      </c>
      <c r="F21" s="30">
        <v>0</v>
      </c>
      <c r="G21" s="31">
        <f>SUM(IA_FINANCIAL)</f>
        <v>0</v>
      </c>
      <c r="H21" s="30"/>
      <c r="I21" s="34" t="s">
        <v>37</v>
      </c>
      <c r="J21" s="35"/>
      <c r="K21" s="30"/>
      <c r="L21" s="29"/>
      <c r="M21" s="30"/>
      <c r="N21" s="30"/>
      <c r="O21" s="30"/>
      <c r="P21" s="30"/>
      <c r="Q21" s="30"/>
      <c r="R21" s="30"/>
      <c r="S21" s="30"/>
      <c r="T21" s="30"/>
      <c r="U21" s="30"/>
      <c r="V21" s="31"/>
    </row>
    <row r="22" spans="1:22">
      <c r="A22" s="1" t="s">
        <v>38</v>
      </c>
      <c r="B22" s="29">
        <v>0</v>
      </c>
      <c r="C22" s="30">
        <v>0</v>
      </c>
      <c r="D22" s="30">
        <v>0</v>
      </c>
      <c r="E22" s="30">
        <v>0</v>
      </c>
      <c r="F22" s="30">
        <v>0</v>
      </c>
      <c r="G22" s="31">
        <f>SUM(KS_FINANCIAL)</f>
        <v>0</v>
      </c>
      <c r="H22" s="30"/>
      <c r="I22" s="34" t="s">
        <v>39</v>
      </c>
      <c r="J22" s="35">
        <v>355362</v>
      </c>
      <c r="K22" s="30"/>
      <c r="L22" s="29"/>
      <c r="M22" s="30"/>
      <c r="N22" s="30"/>
      <c r="O22" s="30"/>
      <c r="P22" s="30"/>
      <c r="Q22" s="30"/>
      <c r="R22" s="30"/>
      <c r="S22" s="30"/>
      <c r="T22" s="30"/>
      <c r="U22" s="30"/>
      <c r="V22" s="31"/>
    </row>
    <row r="23" spans="1:22">
      <c r="A23" s="1" t="s">
        <v>40</v>
      </c>
      <c r="B23" s="29">
        <v>0</v>
      </c>
      <c r="C23" s="30">
        <v>0</v>
      </c>
      <c r="D23" s="30">
        <v>0</v>
      </c>
      <c r="E23" s="30">
        <v>0</v>
      </c>
      <c r="F23" s="30">
        <v>0</v>
      </c>
      <c r="G23" s="31">
        <f>SUM(KY_FINANCIAL)</f>
        <v>0</v>
      </c>
      <c r="H23" s="30"/>
      <c r="I23" s="34" t="s">
        <v>41</v>
      </c>
      <c r="J23" s="35"/>
      <c r="K23" s="30"/>
      <c r="L23" s="29"/>
      <c r="M23" s="30"/>
      <c r="N23" s="30"/>
      <c r="O23" s="30"/>
      <c r="P23" s="30"/>
      <c r="Q23" s="30"/>
      <c r="R23" s="30"/>
      <c r="S23" s="30"/>
      <c r="T23" s="30"/>
      <c r="U23" s="30"/>
      <c r="V23" s="31"/>
    </row>
    <row r="24" spans="1:22">
      <c r="A24" s="1" t="s">
        <v>42</v>
      </c>
      <c r="B24" s="29">
        <v>731221.15143802366</v>
      </c>
      <c r="C24" s="30">
        <v>114506.94213649716</v>
      </c>
      <c r="D24" s="30">
        <v>1412.181655125926</v>
      </c>
      <c r="E24" s="30">
        <v>0</v>
      </c>
      <c r="F24" s="30">
        <v>0</v>
      </c>
      <c r="G24" s="31">
        <f>SUM(LA_FINANCIAL)</f>
        <v>847140.27522964671</v>
      </c>
      <c r="H24" s="30"/>
      <c r="I24" s="34" t="s">
        <v>43</v>
      </c>
      <c r="J24" s="35">
        <v>1757175.0000000002</v>
      </c>
      <c r="K24" s="30"/>
      <c r="L24" s="29">
        <v>1022989</v>
      </c>
      <c r="M24" s="30">
        <v>0</v>
      </c>
      <c r="N24" s="30"/>
      <c r="O24" s="30">
        <v>35389</v>
      </c>
      <c r="P24" s="30">
        <v>0</v>
      </c>
      <c r="Q24" s="30"/>
      <c r="R24" s="30">
        <v>587622</v>
      </c>
      <c r="S24" s="30">
        <v>0</v>
      </c>
      <c r="T24" s="30"/>
      <c r="U24" s="30">
        <v>0</v>
      </c>
      <c r="V24" s="31">
        <v>0</v>
      </c>
    </row>
    <row r="25" spans="1:22">
      <c r="A25" s="1" t="s">
        <v>44</v>
      </c>
      <c r="B25" s="29">
        <v>0</v>
      </c>
      <c r="C25" s="30">
        <v>0</v>
      </c>
      <c r="D25" s="30">
        <v>0</v>
      </c>
      <c r="E25" s="30">
        <v>0</v>
      </c>
      <c r="F25" s="30">
        <v>0</v>
      </c>
      <c r="G25" s="31">
        <f>SUM(ME_FINANCIAL)</f>
        <v>0</v>
      </c>
      <c r="H25" s="30"/>
      <c r="I25" s="34"/>
      <c r="J25" s="35"/>
      <c r="K25" s="30"/>
      <c r="L25" s="29"/>
      <c r="M25" s="30"/>
      <c r="N25" s="30"/>
      <c r="O25" s="30"/>
      <c r="P25" s="30"/>
      <c r="Q25" s="30"/>
      <c r="R25" s="30"/>
      <c r="S25" s="30"/>
      <c r="T25" s="30"/>
      <c r="U25" s="30"/>
      <c r="V25" s="31"/>
    </row>
    <row r="26" spans="1:22">
      <c r="A26" s="1" t="s">
        <v>45</v>
      </c>
      <c r="B26" s="29">
        <v>76632.289400443231</v>
      </c>
      <c r="C26" s="30">
        <v>24.577172916140665</v>
      </c>
      <c r="D26" s="30">
        <v>292.93333124373066</v>
      </c>
      <c r="E26" s="30">
        <v>0</v>
      </c>
      <c r="F26" s="30">
        <v>0</v>
      </c>
      <c r="G26" s="31">
        <f>SUM(MD_FINANCIAL)</f>
        <v>76949.799904603104</v>
      </c>
      <c r="H26" s="30"/>
      <c r="I26" s="34" t="s">
        <v>46</v>
      </c>
      <c r="J26" s="35">
        <f>SUM(ADD_FINANCIAL)-SUM(LESS_FINANCIAL)</f>
        <v>1309088.152858512</v>
      </c>
      <c r="K26" s="30"/>
      <c r="L26" s="29"/>
      <c r="M26" s="30"/>
      <c r="N26" s="30"/>
      <c r="O26" s="30"/>
      <c r="P26" s="30"/>
      <c r="Q26" s="30"/>
      <c r="R26" s="30"/>
      <c r="S26" s="30"/>
      <c r="T26" s="30"/>
      <c r="U26" s="30"/>
      <c r="V26" s="31"/>
    </row>
    <row r="27" spans="1:22">
      <c r="A27" s="1" t="s">
        <v>47</v>
      </c>
      <c r="B27" s="29">
        <v>0</v>
      </c>
      <c r="C27" s="30">
        <v>0</v>
      </c>
      <c r="D27" s="30">
        <v>0</v>
      </c>
      <c r="E27" s="30">
        <v>0</v>
      </c>
      <c r="F27" s="30">
        <v>0</v>
      </c>
      <c r="G27" s="31">
        <f>SUM(MA_FINANCIAL)</f>
        <v>0</v>
      </c>
      <c r="H27" s="30"/>
      <c r="I27" s="34" t="s">
        <v>48</v>
      </c>
      <c r="J27" s="35">
        <f>SUM(ALL_BLOCKS)</f>
        <v>1309088.1528585118</v>
      </c>
      <c r="K27" s="30"/>
      <c r="L27" s="29"/>
      <c r="M27" s="30"/>
      <c r="N27" s="30"/>
      <c r="O27" s="30"/>
      <c r="P27" s="30"/>
      <c r="Q27" s="30"/>
      <c r="R27" s="30"/>
      <c r="S27" s="30"/>
      <c r="T27" s="30"/>
      <c r="U27" s="30"/>
      <c r="V27" s="31"/>
    </row>
    <row r="28" spans="1:22">
      <c r="A28" s="1" t="s">
        <v>49</v>
      </c>
      <c r="B28" s="29">
        <v>0</v>
      </c>
      <c r="C28" s="30">
        <v>0</v>
      </c>
      <c r="D28" s="30">
        <v>0</v>
      </c>
      <c r="E28" s="30">
        <v>0</v>
      </c>
      <c r="F28" s="30">
        <v>0</v>
      </c>
      <c r="G28" s="31">
        <f>SUM(MI_FINANCIAL)</f>
        <v>0</v>
      </c>
      <c r="H28" s="30"/>
      <c r="I28" s="36"/>
      <c r="J28" s="37"/>
      <c r="K28" s="30"/>
      <c r="L28" s="29"/>
      <c r="M28" s="30"/>
      <c r="N28" s="30"/>
      <c r="O28" s="30"/>
      <c r="P28" s="30"/>
      <c r="Q28" s="30"/>
      <c r="R28" s="30"/>
      <c r="S28" s="30"/>
      <c r="T28" s="30"/>
      <c r="U28" s="30"/>
      <c r="V28" s="31"/>
    </row>
    <row r="29" spans="1:22">
      <c r="A29" s="1" t="s">
        <v>50</v>
      </c>
      <c r="B29" s="29">
        <v>0</v>
      </c>
      <c r="C29" s="30">
        <v>0</v>
      </c>
      <c r="D29" s="30">
        <v>0</v>
      </c>
      <c r="E29" s="30">
        <v>0</v>
      </c>
      <c r="F29" s="30">
        <v>0</v>
      </c>
      <c r="G29" s="31">
        <f>SUM(MN_FINANCIAL)</f>
        <v>0</v>
      </c>
      <c r="H29" s="30"/>
      <c r="I29" s="30"/>
      <c r="J29" s="30"/>
      <c r="K29" s="30"/>
      <c r="L29" s="29"/>
      <c r="M29" s="30"/>
      <c r="N29" s="30"/>
      <c r="O29" s="30"/>
      <c r="P29" s="30"/>
      <c r="Q29" s="30"/>
      <c r="R29" s="30"/>
      <c r="S29" s="30"/>
      <c r="T29" s="30"/>
      <c r="U29" s="30"/>
      <c r="V29" s="31"/>
    </row>
    <row r="30" spans="1:22">
      <c r="A30" s="1" t="s">
        <v>51</v>
      </c>
      <c r="B30" s="29">
        <v>7642.3368316237274</v>
      </c>
      <c r="C30" s="30">
        <v>1778.2004135559041</v>
      </c>
      <c r="D30" s="30">
        <v>1560.6652338953049</v>
      </c>
      <c r="E30" s="30">
        <v>0</v>
      </c>
      <c r="F30" s="30">
        <v>0</v>
      </c>
      <c r="G30" s="31">
        <f>SUM(MS_FINANCIAL)</f>
        <v>10981.202479074936</v>
      </c>
      <c r="H30" s="30"/>
      <c r="I30" s="30"/>
      <c r="J30" s="30"/>
      <c r="K30" s="30"/>
      <c r="L30" s="29"/>
      <c r="M30" s="30"/>
      <c r="N30" s="30"/>
      <c r="O30" s="30"/>
      <c r="P30" s="30"/>
      <c r="Q30" s="30"/>
      <c r="R30" s="30"/>
      <c r="S30" s="30"/>
      <c r="T30" s="30"/>
      <c r="U30" s="30"/>
      <c r="V30" s="31"/>
    </row>
    <row r="31" spans="1:22">
      <c r="A31" s="1" t="s">
        <v>52</v>
      </c>
      <c r="B31" s="29">
        <v>0</v>
      </c>
      <c r="C31" s="30">
        <v>0</v>
      </c>
      <c r="D31" s="30">
        <v>0</v>
      </c>
      <c r="E31" s="30">
        <v>0</v>
      </c>
      <c r="F31" s="30">
        <v>0</v>
      </c>
      <c r="G31" s="31">
        <f>SUM(MO_FINANCIAL)</f>
        <v>0</v>
      </c>
      <c r="H31" s="30"/>
      <c r="I31" s="30"/>
      <c r="J31" s="30"/>
      <c r="K31" s="30"/>
      <c r="L31" s="29"/>
      <c r="M31" s="30"/>
      <c r="N31" s="30"/>
      <c r="O31" s="30"/>
      <c r="P31" s="30"/>
      <c r="Q31" s="30"/>
      <c r="R31" s="30"/>
      <c r="S31" s="30"/>
      <c r="T31" s="30"/>
      <c r="U31" s="30"/>
      <c r="V31" s="31"/>
    </row>
    <row r="32" spans="1:22">
      <c r="A32" s="1" t="s">
        <v>53</v>
      </c>
      <c r="B32" s="29">
        <v>-1012</v>
      </c>
      <c r="C32" s="30">
        <v>0</v>
      </c>
      <c r="D32" s="30">
        <v>0</v>
      </c>
      <c r="E32" s="30">
        <v>0</v>
      </c>
      <c r="F32" s="30">
        <v>0</v>
      </c>
      <c r="G32" s="31">
        <f>SUM(MT_FINANCIAL)</f>
        <v>-1012</v>
      </c>
      <c r="H32" s="30"/>
      <c r="I32" s="30"/>
      <c r="J32" s="30"/>
      <c r="K32" s="30"/>
      <c r="L32" s="29"/>
      <c r="M32" s="30"/>
      <c r="N32" s="30"/>
      <c r="O32" s="30"/>
      <c r="P32" s="30"/>
      <c r="Q32" s="30"/>
      <c r="R32" s="30"/>
      <c r="S32" s="30"/>
      <c r="T32" s="30"/>
      <c r="U32" s="30"/>
      <c r="V32" s="31"/>
    </row>
    <row r="33" spans="1:22">
      <c r="A33" s="1" t="s">
        <v>54</v>
      </c>
      <c r="B33" s="29">
        <v>5353.1020387688059</v>
      </c>
      <c r="C33" s="30">
        <v>0</v>
      </c>
      <c r="D33" s="30">
        <v>0</v>
      </c>
      <c r="E33" s="30">
        <v>0</v>
      </c>
      <c r="F33" s="30">
        <v>0</v>
      </c>
      <c r="G33" s="31">
        <f>SUM(NE_FINANCIAL)</f>
        <v>5353.1020387688059</v>
      </c>
      <c r="H33" s="30"/>
      <c r="I33" s="30"/>
      <c r="J33" s="30"/>
      <c r="K33" s="30"/>
      <c r="L33" s="29"/>
      <c r="M33" s="30"/>
      <c r="N33" s="30"/>
      <c r="O33" s="30"/>
      <c r="P33" s="30"/>
      <c r="Q33" s="30"/>
      <c r="R33" s="30"/>
      <c r="S33" s="30"/>
      <c r="T33" s="30"/>
      <c r="U33" s="30"/>
      <c r="V33" s="31"/>
    </row>
    <row r="34" spans="1:22">
      <c r="A34" s="1" t="s">
        <v>55</v>
      </c>
      <c r="B34" s="29">
        <v>-1559</v>
      </c>
      <c r="C34" s="30">
        <v>0</v>
      </c>
      <c r="D34" s="30">
        <v>0</v>
      </c>
      <c r="E34" s="30">
        <v>0</v>
      </c>
      <c r="F34" s="30">
        <v>0</v>
      </c>
      <c r="G34" s="31">
        <f>SUM(NV_FINANCIAL)</f>
        <v>-1559</v>
      </c>
      <c r="H34" s="30"/>
      <c r="I34" s="30"/>
      <c r="J34" s="30"/>
      <c r="K34" s="30"/>
      <c r="L34" s="29"/>
      <c r="M34" s="30"/>
      <c r="N34" s="30"/>
      <c r="O34" s="30"/>
      <c r="P34" s="30"/>
      <c r="Q34" s="30"/>
      <c r="R34" s="30"/>
      <c r="S34" s="30"/>
      <c r="T34" s="30"/>
      <c r="U34" s="30"/>
      <c r="V34" s="31"/>
    </row>
    <row r="35" spans="1:22">
      <c r="A35" s="1" t="s">
        <v>56</v>
      </c>
      <c r="B35" s="29">
        <v>0</v>
      </c>
      <c r="C35" s="30">
        <v>0</v>
      </c>
      <c r="D35" s="30">
        <v>0</v>
      </c>
      <c r="E35" s="30">
        <v>0</v>
      </c>
      <c r="F35" s="30">
        <v>0</v>
      </c>
      <c r="G35" s="31">
        <f>SUM(NH_FINANCIAL)</f>
        <v>0</v>
      </c>
      <c r="H35" s="30"/>
      <c r="I35" s="30"/>
      <c r="J35" s="30"/>
      <c r="K35" s="30"/>
      <c r="L35" s="29"/>
      <c r="M35" s="30"/>
      <c r="N35" s="30"/>
      <c r="O35" s="30"/>
      <c r="P35" s="30"/>
      <c r="Q35" s="30"/>
      <c r="R35" s="30"/>
      <c r="S35" s="30"/>
      <c r="T35" s="30"/>
      <c r="U35" s="30"/>
      <c r="V35" s="31"/>
    </row>
    <row r="36" spans="1:22">
      <c r="A36" s="1" t="s">
        <v>57</v>
      </c>
      <c r="B36" s="29">
        <v>0</v>
      </c>
      <c r="C36" s="30">
        <v>0</v>
      </c>
      <c r="D36" s="30">
        <v>0</v>
      </c>
      <c r="E36" s="30">
        <v>0</v>
      </c>
      <c r="F36" s="30">
        <v>0</v>
      </c>
      <c r="G36" s="31">
        <f>SUM(NJ_FINANCIAL)</f>
        <v>0</v>
      </c>
      <c r="H36" s="30"/>
      <c r="I36" s="30"/>
      <c r="J36" s="30"/>
      <c r="K36" s="30"/>
      <c r="L36" s="29"/>
      <c r="M36" s="30"/>
      <c r="N36" s="30"/>
      <c r="O36" s="30"/>
      <c r="P36" s="30"/>
      <c r="Q36" s="30"/>
      <c r="R36" s="30"/>
      <c r="S36" s="30"/>
      <c r="T36" s="30"/>
      <c r="U36" s="30"/>
      <c r="V36" s="31"/>
    </row>
    <row r="37" spans="1:22">
      <c r="A37" s="1" t="s">
        <v>58</v>
      </c>
      <c r="B37" s="29">
        <v>67264.517523129412</v>
      </c>
      <c r="C37" s="30">
        <v>0</v>
      </c>
      <c r="D37" s="30">
        <v>2534.9068877856935</v>
      </c>
      <c r="E37" s="30">
        <v>0</v>
      </c>
      <c r="F37" s="30">
        <v>0</v>
      </c>
      <c r="G37" s="31">
        <f>SUM(NM_FINANCIAL)</f>
        <v>69799.424410915104</v>
      </c>
      <c r="H37" s="30"/>
      <c r="I37" s="30"/>
      <c r="J37" s="30"/>
      <c r="K37" s="30"/>
      <c r="L37" s="29"/>
      <c r="M37" s="30"/>
      <c r="N37" s="30"/>
      <c r="O37" s="30"/>
      <c r="P37" s="30"/>
      <c r="Q37" s="30"/>
      <c r="R37" s="30"/>
      <c r="S37" s="30"/>
      <c r="T37" s="30"/>
      <c r="U37" s="30"/>
      <c r="V37" s="31"/>
    </row>
    <row r="38" spans="1:22">
      <c r="A38" s="1" t="s">
        <v>59</v>
      </c>
      <c r="B38" s="29">
        <v>0</v>
      </c>
      <c r="C38" s="30">
        <v>0</v>
      </c>
      <c r="D38" s="30">
        <v>0</v>
      </c>
      <c r="E38" s="30">
        <v>0</v>
      </c>
      <c r="F38" s="30">
        <v>0</v>
      </c>
      <c r="G38" s="31">
        <f>SUM(NY_FINANCIAL)</f>
        <v>0</v>
      </c>
      <c r="H38" s="30"/>
      <c r="I38" s="30"/>
      <c r="J38" s="30"/>
      <c r="K38" s="30"/>
      <c r="L38" s="29"/>
      <c r="M38" s="30"/>
      <c r="N38" s="30"/>
      <c r="O38" s="30"/>
      <c r="P38" s="30"/>
      <c r="Q38" s="30"/>
      <c r="R38" s="30"/>
      <c r="S38" s="30"/>
      <c r="T38" s="30"/>
      <c r="U38" s="30"/>
      <c r="V38" s="31"/>
    </row>
    <row r="39" spans="1:22">
      <c r="A39" s="1" t="s">
        <v>60</v>
      </c>
      <c r="B39" s="29">
        <v>0</v>
      </c>
      <c r="C39" s="30">
        <v>0</v>
      </c>
      <c r="D39" s="30">
        <v>0</v>
      </c>
      <c r="E39" s="30">
        <v>0</v>
      </c>
      <c r="F39" s="30">
        <v>0</v>
      </c>
      <c r="G39" s="31">
        <f>SUM(NC_FINANCIAL)</f>
        <v>0</v>
      </c>
      <c r="H39" s="30"/>
      <c r="I39" s="30"/>
      <c r="J39" s="30"/>
      <c r="K39" s="30"/>
      <c r="L39" s="29"/>
      <c r="M39" s="30"/>
      <c r="N39" s="30"/>
      <c r="O39" s="30"/>
      <c r="P39" s="30"/>
      <c r="Q39" s="30"/>
      <c r="R39" s="30"/>
      <c r="S39" s="30"/>
      <c r="T39" s="30"/>
      <c r="U39" s="30"/>
      <c r="V39" s="31"/>
    </row>
    <row r="40" spans="1:22">
      <c r="A40" s="1" t="s">
        <v>61</v>
      </c>
      <c r="B40" s="29">
        <v>0</v>
      </c>
      <c r="C40" s="30">
        <v>0</v>
      </c>
      <c r="D40" s="30">
        <v>0</v>
      </c>
      <c r="E40" s="30">
        <v>0</v>
      </c>
      <c r="F40" s="30">
        <v>0</v>
      </c>
      <c r="G40" s="31">
        <f>SUM(ND_FINANCIAL)</f>
        <v>0</v>
      </c>
      <c r="H40" s="30"/>
      <c r="I40" s="30"/>
      <c r="J40" s="30"/>
      <c r="K40" s="30"/>
      <c r="L40" s="29"/>
      <c r="M40" s="30"/>
      <c r="N40" s="30"/>
      <c r="O40" s="30"/>
      <c r="P40" s="30"/>
      <c r="Q40" s="30"/>
      <c r="R40" s="30"/>
      <c r="S40" s="30"/>
      <c r="T40" s="30"/>
      <c r="U40" s="30"/>
      <c r="V40" s="31"/>
    </row>
    <row r="41" spans="1:22">
      <c r="A41" s="1" t="s">
        <v>62</v>
      </c>
      <c r="B41" s="29">
        <v>0</v>
      </c>
      <c r="C41" s="30">
        <v>0</v>
      </c>
      <c r="D41" s="30">
        <v>0</v>
      </c>
      <c r="E41" s="30">
        <v>0</v>
      </c>
      <c r="F41" s="30">
        <v>0</v>
      </c>
      <c r="G41" s="31">
        <f>SUM(OH_FINANCIAL)</f>
        <v>0</v>
      </c>
      <c r="H41" s="30"/>
      <c r="I41" s="30"/>
      <c r="J41" s="30"/>
      <c r="K41" s="30"/>
      <c r="L41" s="29"/>
      <c r="M41" s="30"/>
      <c r="N41" s="30"/>
      <c r="O41" s="30"/>
      <c r="P41" s="30"/>
      <c r="Q41" s="30"/>
      <c r="R41" s="30"/>
      <c r="S41" s="30"/>
      <c r="T41" s="30"/>
      <c r="U41" s="30"/>
      <c r="V41" s="31"/>
    </row>
    <row r="42" spans="1:22">
      <c r="A42" s="1" t="s">
        <v>63</v>
      </c>
      <c r="B42" s="29">
        <v>2522.4714453297092</v>
      </c>
      <c r="C42" s="30">
        <v>0</v>
      </c>
      <c r="D42" s="30">
        <v>0</v>
      </c>
      <c r="E42" s="30">
        <v>0</v>
      </c>
      <c r="F42" s="30">
        <v>0</v>
      </c>
      <c r="G42" s="31">
        <f>SUM(OK_FINANCIAL)</f>
        <v>2522.4714453297092</v>
      </c>
      <c r="H42" s="30"/>
      <c r="I42" s="30"/>
      <c r="J42" s="30"/>
      <c r="K42" s="30"/>
      <c r="L42" s="29">
        <v>31000</v>
      </c>
      <c r="M42" s="30">
        <v>0</v>
      </c>
      <c r="N42" s="30"/>
      <c r="O42" s="30">
        <v>0</v>
      </c>
      <c r="P42" s="30">
        <v>0</v>
      </c>
      <c r="Q42" s="30"/>
      <c r="R42" s="30">
        <v>19000</v>
      </c>
      <c r="S42" s="30">
        <v>0</v>
      </c>
      <c r="T42" s="30"/>
      <c r="U42" s="30">
        <v>0</v>
      </c>
      <c r="V42" s="31">
        <v>0</v>
      </c>
    </row>
    <row r="43" spans="1:22">
      <c r="A43" s="1" t="s">
        <v>64</v>
      </c>
      <c r="B43" s="29">
        <v>0</v>
      </c>
      <c r="C43" s="30">
        <v>0</v>
      </c>
      <c r="D43" s="30">
        <v>0</v>
      </c>
      <c r="E43" s="30">
        <v>0</v>
      </c>
      <c r="F43" s="30">
        <v>0</v>
      </c>
      <c r="G43" s="31">
        <f>SUM(OR_FINANCIAL)</f>
        <v>0</v>
      </c>
      <c r="H43" s="30"/>
      <c r="I43" s="30"/>
      <c r="J43" s="30"/>
      <c r="K43" s="30"/>
      <c r="L43" s="29"/>
      <c r="M43" s="30"/>
      <c r="N43" s="30"/>
      <c r="O43" s="30"/>
      <c r="P43" s="30"/>
      <c r="Q43" s="30"/>
      <c r="R43" s="30"/>
      <c r="S43" s="30"/>
      <c r="T43" s="30"/>
      <c r="U43" s="30"/>
      <c r="V43" s="31"/>
    </row>
    <row r="44" spans="1:22">
      <c r="A44" s="1" t="s">
        <v>65</v>
      </c>
      <c r="B44" s="29">
        <v>0</v>
      </c>
      <c r="C44" s="30">
        <v>0</v>
      </c>
      <c r="D44" s="30">
        <v>0</v>
      </c>
      <c r="E44" s="30">
        <v>0</v>
      </c>
      <c r="F44" s="30">
        <v>0</v>
      </c>
      <c r="G44" s="31">
        <f>SUM(PA_FINANCIAL)</f>
        <v>0</v>
      </c>
      <c r="H44" s="30"/>
      <c r="I44" s="30"/>
      <c r="J44" s="30"/>
      <c r="K44" s="30"/>
      <c r="L44" s="29"/>
      <c r="M44" s="30"/>
      <c r="N44" s="30"/>
      <c r="O44" s="30"/>
      <c r="P44" s="30"/>
      <c r="Q44" s="30"/>
      <c r="R44" s="30"/>
      <c r="S44" s="30"/>
      <c r="T44" s="30"/>
      <c r="U44" s="30"/>
      <c r="V44" s="31"/>
    </row>
    <row r="45" spans="1:22">
      <c r="A45" s="1" t="s">
        <v>66</v>
      </c>
      <c r="B45" s="29">
        <v>0</v>
      </c>
      <c r="C45" s="30">
        <v>0</v>
      </c>
      <c r="D45" s="30">
        <v>0</v>
      </c>
      <c r="E45" s="30">
        <v>0</v>
      </c>
      <c r="F45" s="30">
        <v>0</v>
      </c>
      <c r="G45" s="31">
        <f>SUM(PR_FINANCIAL)</f>
        <v>0</v>
      </c>
      <c r="H45" s="30"/>
      <c r="I45" s="30"/>
      <c r="J45" s="30"/>
      <c r="K45" s="30"/>
      <c r="L45" s="29"/>
      <c r="M45" s="30"/>
      <c r="N45" s="30"/>
      <c r="O45" s="30"/>
      <c r="P45" s="30"/>
      <c r="Q45" s="30"/>
      <c r="R45" s="30"/>
      <c r="S45" s="30"/>
      <c r="T45" s="30"/>
      <c r="U45" s="30"/>
      <c r="V45" s="31"/>
    </row>
    <row r="46" spans="1:22">
      <c r="A46" s="1" t="s">
        <v>67</v>
      </c>
      <c r="B46" s="29">
        <v>0</v>
      </c>
      <c r="C46" s="30">
        <v>0</v>
      </c>
      <c r="D46" s="30">
        <v>0</v>
      </c>
      <c r="E46" s="30">
        <v>0</v>
      </c>
      <c r="F46" s="30">
        <v>0</v>
      </c>
      <c r="G46" s="31">
        <f>SUM(RI_FINANCIAL)</f>
        <v>0</v>
      </c>
      <c r="H46" s="30"/>
      <c r="I46" s="30"/>
      <c r="J46" s="30"/>
      <c r="K46" s="30"/>
      <c r="L46" s="29"/>
      <c r="M46" s="30"/>
      <c r="N46" s="30"/>
      <c r="O46" s="30"/>
      <c r="P46" s="30"/>
      <c r="Q46" s="30"/>
      <c r="R46" s="30"/>
      <c r="S46" s="30"/>
      <c r="T46" s="30"/>
      <c r="U46" s="30"/>
      <c r="V46" s="31"/>
    </row>
    <row r="47" spans="1:22">
      <c r="A47" s="1" t="s">
        <v>68</v>
      </c>
      <c r="B47" s="29">
        <v>179806.64730371768</v>
      </c>
      <c r="C47" s="30">
        <v>0</v>
      </c>
      <c r="D47" s="30">
        <v>0</v>
      </c>
      <c r="E47" s="30">
        <v>0</v>
      </c>
      <c r="F47" s="30">
        <v>0</v>
      </c>
      <c r="G47" s="31">
        <f>SUM(SC_FINANCIAL)</f>
        <v>179806.64730371768</v>
      </c>
      <c r="H47" s="30"/>
      <c r="I47" s="30"/>
      <c r="J47" s="30"/>
      <c r="K47" s="30"/>
      <c r="L47" s="29"/>
      <c r="M47" s="30"/>
      <c r="N47" s="30"/>
      <c r="O47" s="30"/>
      <c r="P47" s="30"/>
      <c r="Q47" s="30"/>
      <c r="R47" s="30"/>
      <c r="S47" s="30"/>
      <c r="T47" s="30"/>
      <c r="U47" s="30"/>
      <c r="V47" s="31"/>
    </row>
    <row r="48" spans="1:22">
      <c r="A48" s="1" t="s">
        <v>69</v>
      </c>
      <c r="B48" s="29">
        <v>-39798</v>
      </c>
      <c r="C48" s="30">
        <v>0</v>
      </c>
      <c r="D48" s="30">
        <v>0</v>
      </c>
      <c r="E48" s="30">
        <v>0</v>
      </c>
      <c r="F48" s="30">
        <v>0</v>
      </c>
      <c r="G48" s="31">
        <f>SUM(SD_FINANCIAL)</f>
        <v>-39798</v>
      </c>
      <c r="H48" s="30"/>
      <c r="I48" s="30"/>
      <c r="J48" s="30"/>
      <c r="K48" s="30"/>
      <c r="L48" s="29"/>
      <c r="M48" s="30"/>
      <c r="N48" s="30"/>
      <c r="O48" s="30"/>
      <c r="P48" s="30"/>
      <c r="Q48" s="30"/>
      <c r="R48" s="30"/>
      <c r="S48" s="30"/>
      <c r="T48" s="30"/>
      <c r="U48" s="30"/>
      <c r="V48" s="31"/>
    </row>
    <row r="49" spans="1:22">
      <c r="A49" s="1" t="s">
        <v>70</v>
      </c>
      <c r="B49" s="29">
        <v>8511.2144964711097</v>
      </c>
      <c r="C49" s="30">
        <v>6498.5305469191553</v>
      </c>
      <c r="D49" s="30">
        <v>0</v>
      </c>
      <c r="E49" s="30">
        <v>0</v>
      </c>
      <c r="F49" s="30">
        <v>0</v>
      </c>
      <c r="G49" s="31">
        <f>SUM(TN_FINANCIAL)</f>
        <v>15009.745043390265</v>
      </c>
      <c r="H49" s="30"/>
      <c r="I49" s="30"/>
      <c r="J49" s="30"/>
      <c r="K49" s="30"/>
      <c r="L49" s="29"/>
      <c r="M49" s="30"/>
      <c r="N49" s="30"/>
      <c r="O49" s="30"/>
      <c r="P49" s="30"/>
      <c r="Q49" s="30"/>
      <c r="R49" s="30"/>
      <c r="S49" s="30"/>
      <c r="T49" s="30"/>
      <c r="U49" s="30"/>
      <c r="V49" s="31"/>
    </row>
    <row r="50" spans="1:22">
      <c r="A50" s="1" t="s">
        <v>71</v>
      </c>
      <c r="B50" s="29">
        <v>17992.472804830657</v>
      </c>
      <c r="C50" s="30">
        <v>0</v>
      </c>
      <c r="D50" s="30">
        <v>0</v>
      </c>
      <c r="E50" s="30">
        <v>0</v>
      </c>
      <c r="F50" s="30">
        <v>0</v>
      </c>
      <c r="G50" s="31">
        <f>SUM(TX_FINANCIAL)</f>
        <v>17992.472804830657</v>
      </c>
      <c r="H50" s="30"/>
      <c r="I50" s="30"/>
      <c r="J50" s="30"/>
      <c r="K50" s="30"/>
      <c r="L50" s="29">
        <v>40003</v>
      </c>
      <c r="M50" s="30">
        <v>22198</v>
      </c>
      <c r="N50" s="30"/>
      <c r="O50" s="30">
        <v>0</v>
      </c>
      <c r="P50" s="30">
        <v>0</v>
      </c>
      <c r="Q50" s="30"/>
      <c r="R50" s="30">
        <v>0</v>
      </c>
      <c r="S50" s="30">
        <v>0</v>
      </c>
      <c r="T50" s="30"/>
      <c r="U50" s="30">
        <v>0</v>
      </c>
      <c r="V50" s="31">
        <v>0</v>
      </c>
    </row>
    <row r="51" spans="1:22">
      <c r="A51" s="1" t="s">
        <v>72</v>
      </c>
      <c r="B51" s="29">
        <v>0</v>
      </c>
      <c r="C51" s="30">
        <v>0</v>
      </c>
      <c r="D51" s="30">
        <v>0</v>
      </c>
      <c r="E51" s="30">
        <v>0</v>
      </c>
      <c r="F51" s="30">
        <v>0</v>
      </c>
      <c r="G51" s="31">
        <f>SUM(UT_FINANCIAL)</f>
        <v>0</v>
      </c>
      <c r="H51" s="30"/>
      <c r="I51" s="30"/>
      <c r="J51" s="30"/>
      <c r="K51" s="30"/>
      <c r="L51" s="29"/>
      <c r="M51" s="30"/>
      <c r="N51" s="30"/>
      <c r="O51" s="30"/>
      <c r="P51" s="30"/>
      <c r="Q51" s="30"/>
      <c r="R51" s="30"/>
      <c r="S51" s="30"/>
      <c r="T51" s="30"/>
      <c r="U51" s="30"/>
      <c r="V51" s="31"/>
    </row>
    <row r="52" spans="1:22">
      <c r="A52" s="1" t="s">
        <v>73</v>
      </c>
      <c r="B52" s="29">
        <v>0</v>
      </c>
      <c r="C52" s="30">
        <v>0</v>
      </c>
      <c r="D52" s="30">
        <v>0</v>
      </c>
      <c r="E52" s="30">
        <v>0</v>
      </c>
      <c r="F52" s="30">
        <v>0</v>
      </c>
      <c r="G52" s="31">
        <f>SUM(VT_FINANCIAL)</f>
        <v>0</v>
      </c>
      <c r="H52" s="30"/>
      <c r="I52" s="30"/>
      <c r="J52" s="30"/>
      <c r="K52" s="30"/>
      <c r="L52" s="29"/>
      <c r="M52" s="30"/>
      <c r="N52" s="30"/>
      <c r="O52" s="30"/>
      <c r="P52" s="30"/>
      <c r="Q52" s="30"/>
      <c r="R52" s="30"/>
      <c r="S52" s="30"/>
      <c r="T52" s="30"/>
      <c r="U52" s="30"/>
      <c r="V52" s="31"/>
    </row>
    <row r="53" spans="1:22">
      <c r="A53" s="1" t="s">
        <v>74</v>
      </c>
      <c r="B53" s="29">
        <v>0</v>
      </c>
      <c r="C53" s="30">
        <v>0</v>
      </c>
      <c r="D53" s="30">
        <v>0</v>
      </c>
      <c r="E53" s="30">
        <v>0</v>
      </c>
      <c r="F53" s="30">
        <v>0</v>
      </c>
      <c r="G53" s="31">
        <f>SUM(VA_FINANCIAL)</f>
        <v>0</v>
      </c>
      <c r="H53" s="30"/>
      <c r="I53" s="30"/>
      <c r="J53" s="30"/>
      <c r="K53" s="30"/>
      <c r="L53" s="29"/>
      <c r="M53" s="30"/>
      <c r="N53" s="30"/>
      <c r="O53" s="30"/>
      <c r="P53" s="30"/>
      <c r="Q53" s="30"/>
      <c r="R53" s="30"/>
      <c r="S53" s="30"/>
      <c r="T53" s="30"/>
      <c r="U53" s="30"/>
      <c r="V53" s="31"/>
    </row>
    <row r="54" spans="1:22">
      <c r="A54" s="1" t="s">
        <v>75</v>
      </c>
      <c r="B54" s="29">
        <v>0</v>
      </c>
      <c r="C54" s="30">
        <v>0</v>
      </c>
      <c r="D54" s="30">
        <v>0</v>
      </c>
      <c r="E54" s="30">
        <v>0</v>
      </c>
      <c r="F54" s="30">
        <v>0</v>
      </c>
      <c r="G54" s="31">
        <f>SUM(WA_FINANCIAL)</f>
        <v>0</v>
      </c>
      <c r="H54" s="30"/>
      <c r="I54" s="30"/>
      <c r="J54" s="30"/>
      <c r="K54" s="30"/>
      <c r="L54" s="29"/>
      <c r="M54" s="30"/>
      <c r="N54" s="30"/>
      <c r="O54" s="30"/>
      <c r="P54" s="30"/>
      <c r="Q54" s="30"/>
      <c r="R54" s="30"/>
      <c r="S54" s="30"/>
      <c r="T54" s="30"/>
      <c r="U54" s="30"/>
      <c r="V54" s="31"/>
    </row>
    <row r="55" spans="1:22">
      <c r="A55" s="1" t="s">
        <v>76</v>
      </c>
      <c r="B55" s="29">
        <v>0</v>
      </c>
      <c r="C55" s="30">
        <v>0</v>
      </c>
      <c r="D55" s="30">
        <v>0</v>
      </c>
      <c r="E55" s="30">
        <v>0</v>
      </c>
      <c r="F55" s="30">
        <v>0</v>
      </c>
      <c r="G55" s="31">
        <f>SUM(WV_FINANCIAL)</f>
        <v>0</v>
      </c>
      <c r="H55" s="30"/>
      <c r="I55" s="30"/>
      <c r="J55" s="30"/>
      <c r="K55" s="30"/>
      <c r="L55" s="29"/>
      <c r="M55" s="30"/>
      <c r="N55" s="30"/>
      <c r="O55" s="30"/>
      <c r="P55" s="30"/>
      <c r="Q55" s="30"/>
      <c r="R55" s="30"/>
      <c r="S55" s="30"/>
      <c r="T55" s="30"/>
      <c r="U55" s="30"/>
      <c r="V55" s="31"/>
    </row>
    <row r="56" spans="1:22">
      <c r="A56" s="1" t="s">
        <v>77</v>
      </c>
      <c r="B56" s="29">
        <v>0</v>
      </c>
      <c r="C56" s="30">
        <v>0</v>
      </c>
      <c r="D56" s="30">
        <v>0</v>
      </c>
      <c r="E56" s="30">
        <v>0</v>
      </c>
      <c r="F56" s="30">
        <v>0</v>
      </c>
      <c r="G56" s="31">
        <f>SUM(WI_FINANCIAL)</f>
        <v>0</v>
      </c>
      <c r="H56" s="30"/>
      <c r="I56" s="30"/>
      <c r="J56" s="30"/>
      <c r="K56" s="30"/>
      <c r="L56" s="29"/>
      <c r="M56" s="30"/>
      <c r="N56" s="30"/>
      <c r="O56" s="30"/>
      <c r="P56" s="30"/>
      <c r="Q56" s="30"/>
      <c r="R56" s="30"/>
      <c r="S56" s="30"/>
      <c r="T56" s="30"/>
      <c r="U56" s="30"/>
      <c r="V56" s="31"/>
    </row>
    <row r="57" spans="1:22">
      <c r="A57" s="1" t="s">
        <v>78</v>
      </c>
      <c r="B57" s="29">
        <v>-1455</v>
      </c>
      <c r="C57" s="30">
        <v>0</v>
      </c>
      <c r="D57" s="30">
        <v>0</v>
      </c>
      <c r="E57" s="30">
        <v>0</v>
      </c>
      <c r="F57" s="30">
        <v>0</v>
      </c>
      <c r="G57" s="31">
        <f>SUM(WY_FINANCIAL)</f>
        <v>-1455</v>
      </c>
      <c r="H57" s="30"/>
      <c r="I57" s="30"/>
      <c r="J57" s="30"/>
      <c r="K57" s="30"/>
      <c r="L57" s="29"/>
      <c r="M57" s="30"/>
      <c r="N57" s="30"/>
      <c r="O57" s="30"/>
      <c r="P57" s="30"/>
      <c r="Q57" s="30"/>
      <c r="R57" s="30"/>
      <c r="S57" s="30"/>
      <c r="T57" s="30"/>
      <c r="U57" s="30"/>
      <c r="V57" s="31"/>
    </row>
    <row r="58" spans="1:22">
      <c r="A58" s="1" t="s">
        <v>79</v>
      </c>
      <c r="B58" s="29">
        <v>0</v>
      </c>
      <c r="C58" s="30">
        <v>0</v>
      </c>
      <c r="D58" s="30">
        <v>0</v>
      </c>
      <c r="E58" s="30">
        <v>0</v>
      </c>
      <c r="F58" s="30">
        <v>0</v>
      </c>
      <c r="G58" s="31">
        <f>SUM(OT_FINANCIAL)</f>
        <v>0</v>
      </c>
      <c r="H58" s="30"/>
      <c r="I58" s="30"/>
      <c r="J58" s="30"/>
      <c r="K58" s="30"/>
      <c r="L58" s="29"/>
      <c r="M58" s="30"/>
      <c r="N58" s="30"/>
      <c r="O58" s="30"/>
      <c r="P58" s="30"/>
      <c r="Q58" s="30"/>
      <c r="R58" s="30"/>
      <c r="S58" s="30"/>
      <c r="T58" s="30"/>
      <c r="U58" s="30"/>
      <c r="V58" s="31"/>
    </row>
    <row r="59" spans="1:22">
      <c r="B59" s="29"/>
      <c r="C59" s="30"/>
      <c r="D59" s="30"/>
      <c r="E59" s="30"/>
      <c r="F59" s="30"/>
      <c r="G59" s="31"/>
      <c r="H59" s="30"/>
      <c r="I59" s="30"/>
      <c r="J59" s="30"/>
      <c r="K59" s="30"/>
      <c r="L59" s="29"/>
      <c r="M59" s="30"/>
      <c r="N59" s="30"/>
      <c r="O59" s="30"/>
      <c r="P59" s="30"/>
      <c r="Q59" s="30"/>
      <c r="R59" s="30"/>
      <c r="S59" s="30"/>
      <c r="T59" s="30"/>
      <c r="U59" s="30"/>
      <c r="V59" s="31"/>
    </row>
    <row r="60" spans="1:22">
      <c r="A60" s="1" t="s">
        <v>8</v>
      </c>
      <c r="B60" s="29">
        <f>SUM(LIFE)</f>
        <v>1176583.8239110187</v>
      </c>
      <c r="C60" s="30">
        <f>SUM(ALLOCATED)</f>
        <v>122869.26166202863</v>
      </c>
      <c r="D60" s="30">
        <f>SUM(HEALTH)</f>
        <v>9635.0672854646855</v>
      </c>
      <c r="E60" s="30">
        <f>SUM(UNALLOCATED)</f>
        <v>0</v>
      </c>
      <c r="F60" s="30">
        <f>SUM(LTC)</f>
        <v>0</v>
      </c>
      <c r="G60" s="31">
        <f>SUM(ALL_BLOCKS)</f>
        <v>1309088.1528585118</v>
      </c>
      <c r="H60" s="30"/>
      <c r="I60" s="30"/>
      <c r="J60" s="30"/>
      <c r="K60" s="30"/>
      <c r="L60" s="29">
        <f>SUM(LIFE_CALLED)</f>
        <v>1144992</v>
      </c>
      <c r="M60" s="30">
        <f>SUM(LIFE_REFUNDED)</f>
        <v>41125</v>
      </c>
      <c r="N60" s="30"/>
      <c r="O60" s="30">
        <f>SUM(ALLOC_CALLED)</f>
        <v>35389</v>
      </c>
      <c r="P60" s="30">
        <f>SUM(ALLOC_REFUNDED)</f>
        <v>0</v>
      </c>
      <c r="Q60" s="30"/>
      <c r="R60" s="30">
        <f>SUM(HEALTH_CALLED)</f>
        <v>606622</v>
      </c>
      <c r="S60" s="30">
        <f>SUM(HEALTH_REFUNDED)</f>
        <v>1257</v>
      </c>
      <c r="T60" s="30"/>
      <c r="U60" s="30">
        <f>SUM(UNALLOC_CALLED)</f>
        <v>0</v>
      </c>
      <c r="V60" s="31">
        <f>SUM(UNALLOC_REFUNDED)</f>
        <v>0</v>
      </c>
    </row>
    <row r="61" spans="1:22" ht="5.0999999999999996" customHeight="1">
      <c r="B61" s="8"/>
      <c r="G61" s="11"/>
      <c r="L61" s="8"/>
      <c r="V61" s="11"/>
    </row>
    <row r="62" spans="1:22">
      <c r="B62" s="8"/>
      <c r="G62" s="11"/>
      <c r="L62" s="122" t="s">
        <v>80</v>
      </c>
      <c r="M62" s="123"/>
      <c r="N62" s="123"/>
      <c r="O62" s="123"/>
      <c r="P62" s="123"/>
      <c r="Q62" s="123"/>
      <c r="R62" s="123"/>
      <c r="S62" s="123"/>
      <c r="T62" s="123"/>
      <c r="U62" s="123"/>
      <c r="V62" s="124"/>
    </row>
    <row r="63" spans="1:22">
      <c r="B63" s="8"/>
      <c r="G63" s="11"/>
      <c r="L63" s="125"/>
      <c r="M63" s="123"/>
      <c r="N63" s="123"/>
      <c r="O63" s="123"/>
      <c r="P63" s="123"/>
      <c r="Q63" s="123"/>
      <c r="R63" s="123"/>
      <c r="S63" s="123"/>
      <c r="T63" s="123"/>
      <c r="U63" s="123"/>
      <c r="V63" s="124"/>
    </row>
    <row r="64" spans="1:22">
      <c r="B64" s="10"/>
      <c r="C64" s="7"/>
      <c r="D64" s="7"/>
      <c r="E64" s="7"/>
      <c r="F64" s="7"/>
      <c r="G64" s="13"/>
      <c r="L64" s="126"/>
      <c r="M64" s="127"/>
      <c r="N64" s="127"/>
      <c r="O64" s="127"/>
      <c r="P64" s="127"/>
      <c r="Q64" s="127"/>
      <c r="R64" s="127"/>
      <c r="S64" s="127"/>
      <c r="T64" s="127"/>
      <c r="U64" s="127"/>
      <c r="V64" s="128"/>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pageSetUpPr fitToPage="1"/>
  </sheetPr>
  <dimension ref="A1:V64"/>
  <sheetViews>
    <sheetView zoomScale="75" workbookViewId="0">
      <selection sqref="A1:XFD1048576"/>
    </sheetView>
  </sheetViews>
  <sheetFormatPr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129" t="s">
        <v>145</v>
      </c>
      <c r="B1" s="123"/>
      <c r="C1" s="123"/>
      <c r="D1" s="123"/>
      <c r="E1" s="123"/>
      <c r="F1" s="123"/>
      <c r="G1" s="123"/>
    </row>
    <row r="3" spans="1:22">
      <c r="B3" s="130" t="s">
        <v>1</v>
      </c>
      <c r="C3" s="131"/>
      <c r="D3" s="131"/>
      <c r="E3" s="131"/>
      <c r="F3" s="131"/>
      <c r="G3" s="132"/>
      <c r="L3" s="133" t="s">
        <v>2</v>
      </c>
      <c r="M3" s="134"/>
      <c r="N3" s="134"/>
      <c r="O3" s="134"/>
      <c r="P3" s="134"/>
      <c r="Q3" s="134"/>
      <c r="R3" s="134"/>
      <c r="S3" s="134"/>
      <c r="T3" s="134"/>
      <c r="U3" s="134"/>
      <c r="V3" s="135"/>
    </row>
    <row r="4" spans="1:22">
      <c r="B4" s="8"/>
      <c r="G4" s="11"/>
      <c r="L4" s="136" t="s">
        <v>3</v>
      </c>
      <c r="M4" s="137"/>
      <c r="N4" s="4"/>
      <c r="O4" s="138" t="s">
        <v>4</v>
      </c>
      <c r="P4" s="137"/>
      <c r="Q4" s="4"/>
      <c r="R4" s="138" t="s">
        <v>5</v>
      </c>
      <c r="S4" s="137"/>
      <c r="T4" s="4"/>
      <c r="U4" s="138" t="s">
        <v>6</v>
      </c>
      <c r="V4" s="139"/>
    </row>
    <row r="5" spans="1:22" ht="60" customHeight="1">
      <c r="B5" s="9" t="s">
        <v>3</v>
      </c>
      <c r="C5" s="5" t="s">
        <v>4</v>
      </c>
      <c r="D5" s="5" t="s">
        <v>5</v>
      </c>
      <c r="E5" s="5" t="s">
        <v>6</v>
      </c>
      <c r="F5" s="5" t="s">
        <v>7</v>
      </c>
      <c r="G5" s="12" t="s">
        <v>8</v>
      </c>
      <c r="L5" s="15" t="s">
        <v>9</v>
      </c>
      <c r="M5" s="14" t="s">
        <v>10</v>
      </c>
      <c r="N5" s="14"/>
      <c r="O5" s="14" t="s">
        <v>9</v>
      </c>
      <c r="P5" s="14" t="s">
        <v>10</v>
      </c>
      <c r="Q5" s="14"/>
      <c r="R5" s="14" t="s">
        <v>9</v>
      </c>
      <c r="S5" s="14" t="s">
        <v>10</v>
      </c>
      <c r="T5" s="14"/>
      <c r="U5" s="14" t="s">
        <v>9</v>
      </c>
      <c r="V5" s="16" t="s">
        <v>10</v>
      </c>
    </row>
    <row r="6" spans="1:22">
      <c r="A6" s="1" t="s">
        <v>11</v>
      </c>
      <c r="B6" s="29">
        <v>0</v>
      </c>
      <c r="C6" s="30">
        <v>12091.022601349927</v>
      </c>
      <c r="D6" s="30">
        <v>0</v>
      </c>
      <c r="E6" s="30">
        <v>0</v>
      </c>
      <c r="F6" s="30">
        <v>0</v>
      </c>
      <c r="G6" s="31">
        <f>SUM(AL_FINANCIAL)</f>
        <v>12091.022601349927</v>
      </c>
      <c r="H6" s="30"/>
      <c r="I6" s="30"/>
      <c r="J6" s="30"/>
      <c r="K6" s="30"/>
      <c r="L6" s="29"/>
      <c r="M6" s="30"/>
      <c r="N6" s="30"/>
      <c r="O6" s="30"/>
      <c r="P6" s="30"/>
      <c r="Q6" s="30"/>
      <c r="R6" s="30"/>
      <c r="S6" s="30"/>
      <c r="T6" s="30"/>
      <c r="U6" s="30"/>
      <c r="V6" s="31"/>
    </row>
    <row r="7" spans="1:22">
      <c r="A7" s="1" t="s">
        <v>12</v>
      </c>
      <c r="B7" s="29">
        <v>0</v>
      </c>
      <c r="C7" s="30">
        <v>0</v>
      </c>
      <c r="D7" s="30">
        <v>0</v>
      </c>
      <c r="E7" s="30">
        <v>0</v>
      </c>
      <c r="F7" s="30">
        <v>0</v>
      </c>
      <c r="G7" s="31">
        <f>SUM(AK_FINANCIAL)</f>
        <v>0</v>
      </c>
      <c r="H7" s="30"/>
      <c r="I7" s="32"/>
      <c r="J7" s="33"/>
      <c r="K7" s="30"/>
      <c r="L7" s="29"/>
      <c r="M7" s="30"/>
      <c r="N7" s="30"/>
      <c r="O7" s="30"/>
      <c r="P7" s="30"/>
      <c r="Q7" s="30"/>
      <c r="R7" s="30"/>
      <c r="S7" s="30"/>
      <c r="T7" s="30"/>
      <c r="U7" s="30"/>
      <c r="V7" s="31"/>
    </row>
    <row r="8" spans="1:22">
      <c r="A8" s="1" t="s">
        <v>13</v>
      </c>
      <c r="B8" s="29">
        <v>0</v>
      </c>
      <c r="C8" s="30">
        <v>742927.39241458219</v>
      </c>
      <c r="D8" s="30">
        <v>0</v>
      </c>
      <c r="E8" s="30">
        <v>0</v>
      </c>
      <c r="F8" s="30">
        <v>0</v>
      </c>
      <c r="G8" s="31">
        <f>SUM(AZ_FINANCIAL)</f>
        <v>742927.39241458219</v>
      </c>
      <c r="H8" s="30"/>
      <c r="I8" s="34" t="s">
        <v>14</v>
      </c>
      <c r="J8" s="35"/>
      <c r="K8" s="30"/>
      <c r="L8" s="29">
        <v>0</v>
      </c>
      <c r="M8" s="30">
        <v>0</v>
      </c>
      <c r="N8" s="30"/>
      <c r="O8" s="30">
        <v>644884</v>
      </c>
      <c r="P8" s="30">
        <v>0</v>
      </c>
      <c r="Q8" s="30"/>
      <c r="R8" s="30">
        <v>0</v>
      </c>
      <c r="S8" s="30">
        <v>0</v>
      </c>
      <c r="T8" s="30"/>
      <c r="U8" s="30">
        <v>0</v>
      </c>
      <c r="V8" s="31">
        <v>0</v>
      </c>
    </row>
    <row r="9" spans="1:22">
      <c r="A9" s="1" t="s">
        <v>15</v>
      </c>
      <c r="B9" s="29">
        <v>0</v>
      </c>
      <c r="C9" s="30">
        <v>186986.0746837609</v>
      </c>
      <c r="D9" s="30">
        <v>0</v>
      </c>
      <c r="E9" s="30">
        <v>0</v>
      </c>
      <c r="F9" s="30">
        <v>0</v>
      </c>
      <c r="G9" s="31">
        <f>SUM(AR_FINANCIAL)</f>
        <v>186986.0746837609</v>
      </c>
      <c r="H9" s="30"/>
      <c r="I9" s="34"/>
      <c r="J9" s="35"/>
      <c r="K9" s="30"/>
      <c r="L9" s="29">
        <v>123926</v>
      </c>
      <c r="M9" s="30">
        <v>0</v>
      </c>
      <c r="N9" s="30"/>
      <c r="O9" s="30">
        <v>0</v>
      </c>
      <c r="P9" s="30">
        <v>0</v>
      </c>
      <c r="Q9" s="30"/>
      <c r="R9" s="30">
        <v>0</v>
      </c>
      <c r="S9" s="30">
        <v>0</v>
      </c>
      <c r="T9" s="30"/>
      <c r="U9" s="30">
        <v>0</v>
      </c>
      <c r="V9" s="31">
        <v>0</v>
      </c>
    </row>
    <row r="10" spans="1:22">
      <c r="A10" s="1" t="s">
        <v>16</v>
      </c>
      <c r="B10" s="29">
        <v>591.7989819193491</v>
      </c>
      <c r="C10" s="30">
        <v>3738210.144872711</v>
      </c>
      <c r="D10" s="30">
        <v>3230.6939813131739</v>
      </c>
      <c r="E10" s="30">
        <v>0</v>
      </c>
      <c r="F10" s="30">
        <v>0</v>
      </c>
      <c r="G10" s="31">
        <f>SUM(CA_FINANCIAL)</f>
        <v>3742032.6378359436</v>
      </c>
      <c r="H10" s="30"/>
      <c r="I10" s="34" t="s">
        <v>17</v>
      </c>
      <c r="J10" s="35">
        <v>110355316</v>
      </c>
      <c r="K10" s="30"/>
      <c r="L10" s="29">
        <v>97750</v>
      </c>
      <c r="M10" s="30">
        <v>150000</v>
      </c>
      <c r="N10" s="30"/>
      <c r="O10" s="30">
        <v>9531750</v>
      </c>
      <c r="P10" s="30">
        <v>4870000</v>
      </c>
      <c r="Q10" s="30"/>
      <c r="R10" s="30">
        <v>627500</v>
      </c>
      <c r="S10" s="30">
        <v>900000</v>
      </c>
      <c r="T10" s="30"/>
      <c r="U10" s="30">
        <v>0</v>
      </c>
      <c r="V10" s="31">
        <v>0</v>
      </c>
    </row>
    <row r="11" spans="1:22">
      <c r="A11" s="1" t="s">
        <v>18</v>
      </c>
      <c r="B11" s="29">
        <v>0</v>
      </c>
      <c r="C11" s="30">
        <v>2440607.4554233905</v>
      </c>
      <c r="D11" s="30">
        <v>0</v>
      </c>
      <c r="E11" s="30">
        <v>0</v>
      </c>
      <c r="F11" s="30">
        <v>0</v>
      </c>
      <c r="G11" s="31">
        <f>SUM(CO_FINANCIAL)</f>
        <v>2440607.4554233905</v>
      </c>
      <c r="H11" s="30"/>
      <c r="I11" s="34"/>
      <c r="J11" s="35"/>
      <c r="K11" s="30"/>
      <c r="L11" s="29">
        <v>0</v>
      </c>
      <c r="M11" s="30">
        <v>0</v>
      </c>
      <c r="N11" s="30"/>
      <c r="O11" s="30">
        <v>4750000</v>
      </c>
      <c r="P11" s="30">
        <v>36245050</v>
      </c>
      <c r="Q11" s="30"/>
      <c r="R11" s="30">
        <v>0</v>
      </c>
      <c r="S11" s="30">
        <v>0</v>
      </c>
      <c r="T11" s="30"/>
      <c r="U11" s="30">
        <v>0</v>
      </c>
      <c r="V11" s="31">
        <v>0</v>
      </c>
    </row>
    <row r="12" spans="1:22">
      <c r="A12" s="1" t="s">
        <v>19</v>
      </c>
      <c r="B12" s="29">
        <v>0</v>
      </c>
      <c r="C12" s="30">
        <v>9547.2925326373479</v>
      </c>
      <c r="D12" s="30">
        <v>0</v>
      </c>
      <c r="E12" s="30">
        <v>0</v>
      </c>
      <c r="F12" s="30">
        <v>0</v>
      </c>
      <c r="G12" s="31">
        <f>SUM(CT_FINANCIAL)</f>
        <v>9547.2925326373479</v>
      </c>
      <c r="H12" s="30"/>
      <c r="I12" s="34" t="s">
        <v>20</v>
      </c>
      <c r="J12" s="35"/>
      <c r="K12" s="30"/>
      <c r="L12" s="29"/>
      <c r="M12" s="30"/>
      <c r="N12" s="30"/>
      <c r="O12" s="30"/>
      <c r="P12" s="30"/>
      <c r="Q12" s="30"/>
      <c r="R12" s="30"/>
      <c r="S12" s="30"/>
      <c r="T12" s="30"/>
      <c r="U12" s="30"/>
      <c r="V12" s="31"/>
    </row>
    <row r="13" spans="1:22">
      <c r="A13" s="1" t="s">
        <v>21</v>
      </c>
      <c r="B13" s="29">
        <v>0</v>
      </c>
      <c r="C13" s="30">
        <v>0</v>
      </c>
      <c r="D13" s="30">
        <v>0</v>
      </c>
      <c r="E13" s="30">
        <v>0</v>
      </c>
      <c r="F13" s="30">
        <v>0</v>
      </c>
      <c r="G13" s="31">
        <f>SUM(DE_FINANCIAL)</f>
        <v>0</v>
      </c>
      <c r="H13" s="30"/>
      <c r="I13" s="34" t="s">
        <v>22</v>
      </c>
      <c r="J13" s="35">
        <v>669896</v>
      </c>
      <c r="K13" s="30"/>
      <c r="L13" s="29"/>
      <c r="M13" s="30"/>
      <c r="N13" s="30"/>
      <c r="O13" s="30"/>
      <c r="P13" s="30"/>
      <c r="Q13" s="30"/>
      <c r="R13" s="30"/>
      <c r="S13" s="30"/>
      <c r="T13" s="30"/>
      <c r="U13" s="30"/>
      <c r="V13" s="31"/>
    </row>
    <row r="14" spans="1:22">
      <c r="A14" s="1" t="s">
        <v>23</v>
      </c>
      <c r="B14" s="29">
        <v>0</v>
      </c>
      <c r="C14" s="30">
        <v>0</v>
      </c>
      <c r="D14" s="30">
        <v>0</v>
      </c>
      <c r="E14" s="30">
        <v>0</v>
      </c>
      <c r="F14" s="30">
        <v>0</v>
      </c>
      <c r="G14" s="31">
        <f>SUM(DC_FINANCIAL)</f>
        <v>0</v>
      </c>
      <c r="H14" s="30"/>
      <c r="I14" s="34" t="s">
        <v>24</v>
      </c>
      <c r="J14" s="35">
        <v>784288</v>
      </c>
      <c r="K14" s="30"/>
      <c r="L14" s="29"/>
      <c r="M14" s="30"/>
      <c r="N14" s="30"/>
      <c r="O14" s="30"/>
      <c r="P14" s="30"/>
      <c r="Q14" s="30"/>
      <c r="R14" s="30"/>
      <c r="S14" s="30"/>
      <c r="T14" s="30"/>
      <c r="U14" s="30"/>
      <c r="V14" s="31"/>
    </row>
    <row r="15" spans="1:22">
      <c r="A15" s="1" t="s">
        <v>25</v>
      </c>
      <c r="B15" s="29">
        <v>1409.5105336718602</v>
      </c>
      <c r="C15" s="30">
        <v>2373393.5665416829</v>
      </c>
      <c r="D15" s="30">
        <v>0</v>
      </c>
      <c r="E15" s="30">
        <v>0</v>
      </c>
      <c r="F15" s="30">
        <v>0</v>
      </c>
      <c r="G15" s="31">
        <f>SUM(FL_FINANCIAL)</f>
        <v>2374803.0770753548</v>
      </c>
      <c r="H15" s="30"/>
      <c r="I15" s="34" t="s">
        <v>26</v>
      </c>
      <c r="J15" s="35">
        <v>590262.02999999956</v>
      </c>
      <c r="K15" s="30"/>
      <c r="L15" s="29">
        <v>0</v>
      </c>
      <c r="M15" s="30">
        <v>0</v>
      </c>
      <c r="N15" s="30"/>
      <c r="O15" s="30">
        <v>5300000</v>
      </c>
      <c r="P15" s="30">
        <v>142450</v>
      </c>
      <c r="Q15" s="30"/>
      <c r="R15" s="30">
        <v>0</v>
      </c>
      <c r="S15" s="30">
        <v>0</v>
      </c>
      <c r="T15" s="30"/>
      <c r="U15" s="30">
        <v>0</v>
      </c>
      <c r="V15" s="31">
        <v>0</v>
      </c>
    </row>
    <row r="16" spans="1:22">
      <c r="A16" s="1" t="s">
        <v>27</v>
      </c>
      <c r="B16" s="29">
        <v>440.00652362093956</v>
      </c>
      <c r="C16" s="30">
        <v>216462.37733216991</v>
      </c>
      <c r="D16" s="30">
        <v>2817.1996630782805</v>
      </c>
      <c r="E16" s="30">
        <v>0</v>
      </c>
      <c r="F16" s="30">
        <v>0</v>
      </c>
      <c r="G16" s="31">
        <f>SUM(GA_FINANCIAL)</f>
        <v>219719.58351886913</v>
      </c>
      <c r="H16" s="30"/>
      <c r="I16" s="34" t="s">
        <v>28</v>
      </c>
      <c r="J16" s="35">
        <v>0</v>
      </c>
      <c r="K16" s="30"/>
      <c r="L16" s="29">
        <v>664</v>
      </c>
      <c r="M16" s="30">
        <v>0</v>
      </c>
      <c r="N16" s="30"/>
      <c r="O16" s="30">
        <v>380963</v>
      </c>
      <c r="P16" s="30">
        <v>1461.13</v>
      </c>
      <c r="Q16" s="30"/>
      <c r="R16" s="30">
        <v>0</v>
      </c>
      <c r="S16" s="30">
        <v>0</v>
      </c>
      <c r="T16" s="30"/>
      <c r="U16" s="30">
        <v>0</v>
      </c>
      <c r="V16" s="31">
        <v>0</v>
      </c>
    </row>
    <row r="17" spans="1:22">
      <c r="A17" s="1" t="s">
        <v>29</v>
      </c>
      <c r="B17" s="29">
        <v>0</v>
      </c>
      <c r="C17" s="30">
        <v>9925.8612108935122</v>
      </c>
      <c r="D17" s="30">
        <v>0</v>
      </c>
      <c r="E17" s="30">
        <v>0</v>
      </c>
      <c r="F17" s="30">
        <v>0</v>
      </c>
      <c r="G17" s="31">
        <f>SUM(HI_FINANCIAL)</f>
        <v>9925.8612108935122</v>
      </c>
      <c r="H17" s="30"/>
      <c r="I17" s="34"/>
      <c r="J17" s="35"/>
      <c r="K17" s="30"/>
      <c r="L17" s="29">
        <v>0</v>
      </c>
      <c r="M17" s="30">
        <v>0</v>
      </c>
      <c r="N17" s="30"/>
      <c r="O17" s="30">
        <v>23025</v>
      </c>
      <c r="P17" s="30">
        <v>0</v>
      </c>
      <c r="Q17" s="30"/>
      <c r="R17" s="30">
        <v>33</v>
      </c>
      <c r="S17" s="30">
        <v>0</v>
      </c>
      <c r="T17" s="30"/>
      <c r="U17" s="30">
        <v>0</v>
      </c>
      <c r="V17" s="31">
        <v>0</v>
      </c>
    </row>
    <row r="18" spans="1:22">
      <c r="A18" s="1" t="s">
        <v>30</v>
      </c>
      <c r="B18" s="29">
        <v>0</v>
      </c>
      <c r="C18" s="30">
        <v>16726.614513525499</v>
      </c>
      <c r="D18" s="30">
        <v>0</v>
      </c>
      <c r="E18" s="30">
        <v>0</v>
      </c>
      <c r="F18" s="30">
        <v>0</v>
      </c>
      <c r="G18" s="31">
        <f>SUM(ID_FINANCIAL)</f>
        <v>16726.614513525499</v>
      </c>
      <c r="H18" s="30"/>
      <c r="I18" s="34" t="s">
        <v>31</v>
      </c>
      <c r="J18" s="35"/>
      <c r="K18" s="30"/>
      <c r="L18" s="29">
        <v>0</v>
      </c>
      <c r="M18" s="30">
        <v>0</v>
      </c>
      <c r="N18" s="30"/>
      <c r="O18" s="30">
        <v>20000</v>
      </c>
      <c r="P18" s="30">
        <v>0</v>
      </c>
      <c r="Q18" s="30"/>
      <c r="R18" s="30">
        <v>0</v>
      </c>
      <c r="S18" s="30">
        <v>0</v>
      </c>
      <c r="T18" s="30"/>
      <c r="U18" s="30">
        <v>0</v>
      </c>
      <c r="V18" s="31">
        <v>0</v>
      </c>
    </row>
    <row r="19" spans="1:22">
      <c r="A19" s="1" t="s">
        <v>32</v>
      </c>
      <c r="B19" s="29">
        <v>0</v>
      </c>
      <c r="C19" s="30">
        <v>19658.363204731722</v>
      </c>
      <c r="D19" s="30">
        <v>0</v>
      </c>
      <c r="E19" s="30">
        <v>0</v>
      </c>
      <c r="F19" s="30">
        <v>0</v>
      </c>
      <c r="G19" s="31">
        <f>SUM(IL_FINANCIAL)</f>
        <v>19658.363204731722</v>
      </c>
      <c r="H19" s="30"/>
      <c r="I19" s="34" t="s">
        <v>33</v>
      </c>
      <c r="J19" s="35">
        <v>81145732</v>
      </c>
      <c r="K19" s="30"/>
      <c r="L19" s="29">
        <v>0</v>
      </c>
      <c r="M19" s="30">
        <v>0</v>
      </c>
      <c r="N19" s="30"/>
      <c r="O19" s="30">
        <v>75000</v>
      </c>
      <c r="P19" s="30">
        <v>0</v>
      </c>
      <c r="Q19" s="30"/>
      <c r="R19" s="30">
        <v>0</v>
      </c>
      <c r="S19" s="30">
        <v>0</v>
      </c>
      <c r="T19" s="30"/>
      <c r="U19" s="30">
        <v>0</v>
      </c>
      <c r="V19" s="31">
        <v>0</v>
      </c>
    </row>
    <row r="20" spans="1:22">
      <c r="A20" s="1" t="s">
        <v>34</v>
      </c>
      <c r="B20" s="29">
        <v>0</v>
      </c>
      <c r="C20" s="30">
        <v>76898.382198956475</v>
      </c>
      <c r="D20" s="30">
        <v>0</v>
      </c>
      <c r="E20" s="30">
        <v>0</v>
      </c>
      <c r="F20" s="30">
        <v>0</v>
      </c>
      <c r="G20" s="31">
        <f>SUM(IN_FINANCIAL)</f>
        <v>76898.382198956475</v>
      </c>
      <c r="H20" s="30"/>
      <c r="I20" s="34" t="s">
        <v>35</v>
      </c>
      <c r="J20" s="35">
        <v>-1295162.1681421685</v>
      </c>
      <c r="K20" s="30"/>
      <c r="L20" s="29"/>
      <c r="M20" s="30"/>
      <c r="N20" s="30"/>
      <c r="O20" s="30"/>
      <c r="P20" s="30"/>
      <c r="Q20" s="30"/>
      <c r="R20" s="30"/>
      <c r="S20" s="30"/>
      <c r="T20" s="30"/>
      <c r="U20" s="30"/>
      <c r="V20" s="31"/>
    </row>
    <row r="21" spans="1:22">
      <c r="A21" s="1" t="s">
        <v>36</v>
      </c>
      <c r="B21" s="29">
        <v>0</v>
      </c>
      <c r="C21" s="30">
        <v>10536.329283769355</v>
      </c>
      <c r="D21" s="30">
        <v>0</v>
      </c>
      <c r="E21" s="30">
        <v>0</v>
      </c>
      <c r="F21" s="30">
        <v>0</v>
      </c>
      <c r="G21" s="31">
        <f>SUM(IA_FINANCIAL)</f>
        <v>10536.329283769355</v>
      </c>
      <c r="H21" s="30"/>
      <c r="I21" s="34" t="s">
        <v>37</v>
      </c>
      <c r="J21" s="35"/>
      <c r="K21" s="30"/>
      <c r="L21" s="29"/>
      <c r="M21" s="30"/>
      <c r="N21" s="30"/>
      <c r="O21" s="30"/>
      <c r="P21" s="30"/>
      <c r="Q21" s="30"/>
      <c r="R21" s="30"/>
      <c r="S21" s="30"/>
      <c r="T21" s="30"/>
      <c r="U21" s="30"/>
      <c r="V21" s="31"/>
    </row>
    <row r="22" spans="1:22">
      <c r="A22" s="1" t="s">
        <v>38</v>
      </c>
      <c r="B22" s="29">
        <v>0</v>
      </c>
      <c r="C22" s="30">
        <v>41181.128435729042</v>
      </c>
      <c r="D22" s="30">
        <v>0</v>
      </c>
      <c r="E22" s="30">
        <v>0</v>
      </c>
      <c r="F22" s="30">
        <v>0</v>
      </c>
      <c r="G22" s="31">
        <f>SUM(KS_FINANCIAL)</f>
        <v>41181.128435729042</v>
      </c>
      <c r="H22" s="30"/>
      <c r="I22" s="34" t="s">
        <v>39</v>
      </c>
      <c r="J22" s="35">
        <v>3477487</v>
      </c>
      <c r="K22" s="30"/>
      <c r="L22" s="29"/>
      <c r="M22" s="30"/>
      <c r="N22" s="30"/>
      <c r="O22" s="30"/>
      <c r="P22" s="30"/>
      <c r="Q22" s="30"/>
      <c r="R22" s="30"/>
      <c r="S22" s="30"/>
      <c r="T22" s="30"/>
      <c r="U22" s="30"/>
      <c r="V22" s="31"/>
    </row>
    <row r="23" spans="1:22">
      <c r="A23" s="1" t="s">
        <v>40</v>
      </c>
      <c r="B23" s="29">
        <v>0</v>
      </c>
      <c r="C23" s="30">
        <v>4606.3948058370079</v>
      </c>
      <c r="D23" s="30">
        <v>0</v>
      </c>
      <c r="E23" s="30">
        <v>0</v>
      </c>
      <c r="F23" s="30">
        <v>0</v>
      </c>
      <c r="G23" s="31">
        <f>SUM(KY_FINANCIAL)</f>
        <v>4606.3948058370079</v>
      </c>
      <c r="H23" s="30"/>
      <c r="I23" s="34" t="s">
        <v>41</v>
      </c>
      <c r="J23" s="35"/>
      <c r="K23" s="30"/>
      <c r="L23" s="29"/>
      <c r="M23" s="30"/>
      <c r="N23" s="30"/>
      <c r="O23" s="30"/>
      <c r="P23" s="30"/>
      <c r="Q23" s="30"/>
      <c r="R23" s="30"/>
      <c r="S23" s="30"/>
      <c r="T23" s="30"/>
      <c r="U23" s="30"/>
      <c r="V23" s="31"/>
    </row>
    <row r="24" spans="1:22">
      <c r="A24" s="1" t="s">
        <v>42</v>
      </c>
      <c r="B24" s="29">
        <v>37.503581925921424</v>
      </c>
      <c r="C24" s="30">
        <v>105691.68233434166</v>
      </c>
      <c r="D24" s="30">
        <v>0</v>
      </c>
      <c r="E24" s="30">
        <v>0</v>
      </c>
      <c r="F24" s="30">
        <v>0</v>
      </c>
      <c r="G24" s="31">
        <f>SUM(LA_FINANCIAL)</f>
        <v>105729.18591626758</v>
      </c>
      <c r="H24" s="30"/>
      <c r="I24" s="34" t="s">
        <v>43</v>
      </c>
      <c r="J24" s="35">
        <v>15938260.882711198</v>
      </c>
      <c r="K24" s="30"/>
      <c r="L24" s="29">
        <v>3050</v>
      </c>
      <c r="M24" s="30">
        <v>0</v>
      </c>
      <c r="N24" s="30"/>
      <c r="O24" s="30">
        <v>301950</v>
      </c>
      <c r="P24" s="30">
        <v>0</v>
      </c>
      <c r="Q24" s="30"/>
      <c r="R24" s="30">
        <v>0</v>
      </c>
      <c r="S24" s="30">
        <v>0</v>
      </c>
      <c r="T24" s="30"/>
      <c r="U24" s="30">
        <v>0</v>
      </c>
      <c r="V24" s="31">
        <v>0</v>
      </c>
    </row>
    <row r="25" spans="1:22">
      <c r="A25" s="1" t="s">
        <v>44</v>
      </c>
      <c r="B25" s="29">
        <v>0</v>
      </c>
      <c r="C25" s="30">
        <v>7400.8863082567514</v>
      </c>
      <c r="D25" s="30">
        <v>0</v>
      </c>
      <c r="E25" s="30">
        <v>0</v>
      </c>
      <c r="F25" s="30">
        <v>0</v>
      </c>
      <c r="G25" s="31">
        <f>SUM(ME_FINANCIAL)</f>
        <v>7400.8863082567514</v>
      </c>
      <c r="H25" s="30"/>
      <c r="I25" s="34"/>
      <c r="J25" s="35"/>
      <c r="K25" s="30"/>
      <c r="L25" s="29">
        <v>0</v>
      </c>
      <c r="M25" s="30">
        <v>0</v>
      </c>
      <c r="N25" s="30"/>
      <c r="O25" s="30">
        <v>0</v>
      </c>
      <c r="P25" s="30">
        <v>0</v>
      </c>
      <c r="Q25" s="30"/>
      <c r="R25" s="30">
        <v>0</v>
      </c>
      <c r="S25" s="30">
        <v>0</v>
      </c>
      <c r="T25" s="30"/>
      <c r="U25" s="30">
        <v>0</v>
      </c>
      <c r="V25" s="31">
        <v>0</v>
      </c>
    </row>
    <row r="26" spans="1:22">
      <c r="A26" s="1" t="s">
        <v>45</v>
      </c>
      <c r="B26" s="29">
        <v>0</v>
      </c>
      <c r="C26" s="30">
        <v>37899.479761373979</v>
      </c>
      <c r="D26" s="30">
        <v>0</v>
      </c>
      <c r="E26" s="30">
        <v>0</v>
      </c>
      <c r="F26" s="30">
        <v>0</v>
      </c>
      <c r="G26" s="31">
        <f>SUM(MD_FINANCIAL)</f>
        <v>37899.479761373979</v>
      </c>
      <c r="H26" s="30"/>
      <c r="I26" s="34" t="s">
        <v>46</v>
      </c>
      <c r="J26" s="35">
        <f>SUM(ADD_FINANCIAL)-SUM(LESS_FINANCIAL)</f>
        <v>13133444.315430969</v>
      </c>
      <c r="K26" s="30"/>
      <c r="L26" s="29">
        <v>0</v>
      </c>
      <c r="M26" s="30">
        <v>0</v>
      </c>
      <c r="N26" s="30"/>
      <c r="O26" s="30">
        <v>79000</v>
      </c>
      <c r="P26" s="30">
        <v>0</v>
      </c>
      <c r="Q26" s="30"/>
      <c r="R26" s="30">
        <v>0</v>
      </c>
      <c r="S26" s="30">
        <v>0</v>
      </c>
      <c r="T26" s="30"/>
      <c r="U26" s="30">
        <v>0</v>
      </c>
      <c r="V26" s="31">
        <v>0</v>
      </c>
    </row>
    <row r="27" spans="1:22">
      <c r="A27" s="1" t="s">
        <v>47</v>
      </c>
      <c r="B27" s="29">
        <v>0</v>
      </c>
      <c r="C27" s="30">
        <v>0</v>
      </c>
      <c r="D27" s="30">
        <v>0</v>
      </c>
      <c r="E27" s="30">
        <v>0</v>
      </c>
      <c r="F27" s="30">
        <v>0</v>
      </c>
      <c r="G27" s="31">
        <f>SUM(MA_FINANCIAL)</f>
        <v>0</v>
      </c>
      <c r="H27" s="30"/>
      <c r="I27" s="34" t="s">
        <v>48</v>
      </c>
      <c r="J27" s="35">
        <f>SUM(ALL_BLOCKS)</f>
        <v>13133444.315430962</v>
      </c>
      <c r="K27" s="30"/>
      <c r="L27" s="29"/>
      <c r="M27" s="30"/>
      <c r="N27" s="30"/>
      <c r="O27" s="30"/>
      <c r="P27" s="30"/>
      <c r="Q27" s="30"/>
      <c r="R27" s="30"/>
      <c r="S27" s="30"/>
      <c r="T27" s="30"/>
      <c r="U27" s="30"/>
      <c r="V27" s="31"/>
    </row>
    <row r="28" spans="1:22">
      <c r="A28" s="1" t="s">
        <v>49</v>
      </c>
      <c r="B28" s="29">
        <v>0</v>
      </c>
      <c r="C28" s="30">
        <v>27886.549318686863</v>
      </c>
      <c r="D28" s="30">
        <v>0</v>
      </c>
      <c r="E28" s="30">
        <v>0</v>
      </c>
      <c r="F28" s="30">
        <v>0</v>
      </c>
      <c r="G28" s="31">
        <f>SUM(MI_FINANCIAL)</f>
        <v>27886.549318686863</v>
      </c>
      <c r="H28" s="30"/>
      <c r="I28" s="36"/>
      <c r="J28" s="37"/>
      <c r="K28" s="30"/>
      <c r="L28" s="29"/>
      <c r="M28" s="30"/>
      <c r="N28" s="30"/>
      <c r="O28" s="30"/>
      <c r="P28" s="30"/>
      <c r="Q28" s="30"/>
      <c r="R28" s="30"/>
      <c r="S28" s="30"/>
      <c r="T28" s="30"/>
      <c r="U28" s="30"/>
      <c r="V28" s="31"/>
    </row>
    <row r="29" spans="1:22">
      <c r="A29" s="1" t="s">
        <v>50</v>
      </c>
      <c r="B29" s="29">
        <v>0</v>
      </c>
      <c r="C29" s="30">
        <v>55630.540694449141</v>
      </c>
      <c r="D29" s="30">
        <v>0</v>
      </c>
      <c r="E29" s="30">
        <v>0</v>
      </c>
      <c r="F29" s="30">
        <v>0</v>
      </c>
      <c r="G29" s="31">
        <f>SUM(MN_FINANCIAL)</f>
        <v>55630.540694449141</v>
      </c>
      <c r="H29" s="30"/>
      <c r="I29" s="30"/>
      <c r="J29" s="30"/>
      <c r="K29" s="30"/>
      <c r="L29" s="29">
        <v>0</v>
      </c>
      <c r="M29" s="30">
        <v>0</v>
      </c>
      <c r="N29" s="30"/>
      <c r="O29" s="30">
        <v>125000</v>
      </c>
      <c r="P29" s="30">
        <v>0</v>
      </c>
      <c r="Q29" s="30"/>
      <c r="R29" s="30">
        <v>0</v>
      </c>
      <c r="S29" s="30">
        <v>0</v>
      </c>
      <c r="T29" s="30"/>
      <c r="U29" s="30">
        <v>0</v>
      </c>
      <c r="V29" s="31">
        <v>0</v>
      </c>
    </row>
    <row r="30" spans="1:22">
      <c r="A30" s="1" t="s">
        <v>51</v>
      </c>
      <c r="B30" s="29">
        <v>0</v>
      </c>
      <c r="C30" s="30">
        <v>103740.3287881471</v>
      </c>
      <c r="D30" s="30">
        <v>0</v>
      </c>
      <c r="E30" s="30">
        <v>0</v>
      </c>
      <c r="F30" s="30">
        <v>0</v>
      </c>
      <c r="G30" s="31">
        <f>SUM(MS_FINANCIAL)</f>
        <v>103740.3287881471</v>
      </c>
      <c r="H30" s="30"/>
      <c r="I30" s="30"/>
      <c r="J30" s="30"/>
      <c r="K30" s="30"/>
      <c r="L30" s="29">
        <v>288530</v>
      </c>
      <c r="M30" s="30">
        <v>0</v>
      </c>
      <c r="N30" s="30"/>
      <c r="O30" s="30">
        <v>0</v>
      </c>
      <c r="P30" s="30">
        <v>0</v>
      </c>
      <c r="Q30" s="30"/>
      <c r="R30" s="30">
        <v>0</v>
      </c>
      <c r="S30" s="30">
        <v>0</v>
      </c>
      <c r="T30" s="30"/>
      <c r="U30" s="30">
        <v>0</v>
      </c>
      <c r="V30" s="31">
        <v>0</v>
      </c>
    </row>
    <row r="31" spans="1:22">
      <c r="A31" s="1" t="s">
        <v>52</v>
      </c>
      <c r="B31" s="29">
        <v>0</v>
      </c>
      <c r="C31" s="30">
        <v>30577.759439716261</v>
      </c>
      <c r="D31" s="30">
        <v>0</v>
      </c>
      <c r="E31" s="30">
        <v>0</v>
      </c>
      <c r="F31" s="30">
        <v>0</v>
      </c>
      <c r="G31" s="31">
        <f>SUM(MO_FINANCIAL)</f>
        <v>30577.759439716261</v>
      </c>
      <c r="H31" s="30"/>
      <c r="I31" s="30"/>
      <c r="J31" s="30"/>
      <c r="K31" s="30"/>
      <c r="L31" s="29"/>
      <c r="M31" s="30"/>
      <c r="N31" s="30"/>
      <c r="O31" s="30"/>
      <c r="P31" s="30"/>
      <c r="Q31" s="30"/>
      <c r="R31" s="30"/>
      <c r="S31" s="30"/>
      <c r="T31" s="30"/>
      <c r="U31" s="30"/>
      <c r="V31" s="31"/>
    </row>
    <row r="32" spans="1:22">
      <c r="A32" s="1" t="s">
        <v>53</v>
      </c>
      <c r="B32" s="29">
        <v>0</v>
      </c>
      <c r="C32" s="30">
        <v>21667.005071138585</v>
      </c>
      <c r="D32" s="30">
        <v>0</v>
      </c>
      <c r="E32" s="30">
        <v>0</v>
      </c>
      <c r="F32" s="30">
        <v>0</v>
      </c>
      <c r="G32" s="31">
        <f>SUM(MT_FINANCIAL)</f>
        <v>21667.005071138585</v>
      </c>
      <c r="H32" s="30"/>
      <c r="I32" s="30"/>
      <c r="J32" s="30"/>
      <c r="K32" s="30"/>
      <c r="L32" s="29"/>
      <c r="M32" s="30"/>
      <c r="N32" s="30"/>
      <c r="O32" s="30"/>
      <c r="P32" s="30"/>
      <c r="Q32" s="30"/>
      <c r="R32" s="30"/>
      <c r="S32" s="30"/>
      <c r="T32" s="30"/>
      <c r="U32" s="30"/>
      <c r="V32" s="31"/>
    </row>
    <row r="33" spans="1:22">
      <c r="A33" s="1" t="s">
        <v>54</v>
      </c>
      <c r="B33" s="29">
        <v>0</v>
      </c>
      <c r="C33" s="30">
        <v>324355.70437298086</v>
      </c>
      <c r="D33" s="30">
        <v>0</v>
      </c>
      <c r="E33" s="30">
        <v>0</v>
      </c>
      <c r="F33" s="30">
        <v>0</v>
      </c>
      <c r="G33" s="31">
        <f>SUM(NE_FINANCIAL)</f>
        <v>324355.70437298086</v>
      </c>
      <c r="H33" s="30"/>
      <c r="I33" s="30"/>
      <c r="J33" s="30"/>
      <c r="K33" s="30"/>
      <c r="L33" s="29">
        <v>0</v>
      </c>
      <c r="M33" s="30">
        <v>0</v>
      </c>
      <c r="N33" s="30"/>
      <c r="O33" s="30">
        <v>831523</v>
      </c>
      <c r="P33" s="30">
        <v>0</v>
      </c>
      <c r="Q33" s="30"/>
      <c r="R33" s="30">
        <v>0</v>
      </c>
      <c r="S33" s="30">
        <v>0</v>
      </c>
      <c r="T33" s="30"/>
      <c r="U33" s="30">
        <v>0</v>
      </c>
      <c r="V33" s="31">
        <v>0</v>
      </c>
    </row>
    <row r="34" spans="1:22">
      <c r="A34" s="1" t="s">
        <v>55</v>
      </c>
      <c r="B34" s="29">
        <v>0</v>
      </c>
      <c r="C34" s="30">
        <v>271397.49351701094</v>
      </c>
      <c r="D34" s="30">
        <v>0</v>
      </c>
      <c r="E34" s="30">
        <v>0</v>
      </c>
      <c r="F34" s="30">
        <v>0</v>
      </c>
      <c r="G34" s="31">
        <f>SUM(NV_FINANCIAL)</f>
        <v>271397.49351701094</v>
      </c>
      <c r="H34" s="30"/>
      <c r="I34" s="30"/>
      <c r="J34" s="30"/>
      <c r="K34" s="30"/>
      <c r="L34" s="29">
        <v>0</v>
      </c>
      <c r="M34" s="30">
        <v>0</v>
      </c>
      <c r="N34" s="30"/>
      <c r="O34" s="30">
        <v>604300</v>
      </c>
      <c r="P34" s="30">
        <v>0</v>
      </c>
      <c r="Q34" s="30"/>
      <c r="R34" s="30">
        <v>0</v>
      </c>
      <c r="S34" s="30">
        <v>0</v>
      </c>
      <c r="T34" s="30"/>
      <c r="U34" s="30">
        <v>0</v>
      </c>
      <c r="V34" s="31">
        <v>0</v>
      </c>
    </row>
    <row r="35" spans="1:22">
      <c r="A35" s="1" t="s">
        <v>56</v>
      </c>
      <c r="B35" s="29">
        <v>0</v>
      </c>
      <c r="C35" s="30">
        <v>0</v>
      </c>
      <c r="D35" s="30">
        <v>0</v>
      </c>
      <c r="E35" s="30">
        <v>0</v>
      </c>
      <c r="F35" s="30">
        <v>0</v>
      </c>
      <c r="G35" s="31">
        <f>SUM(NH_FINANCIAL)</f>
        <v>0</v>
      </c>
      <c r="H35" s="30"/>
      <c r="I35" s="30"/>
      <c r="J35" s="30"/>
      <c r="K35" s="30"/>
      <c r="L35" s="29"/>
      <c r="M35" s="30"/>
      <c r="N35" s="30"/>
      <c r="O35" s="30"/>
      <c r="P35" s="30"/>
      <c r="Q35" s="30"/>
      <c r="R35" s="30"/>
      <c r="S35" s="30"/>
      <c r="T35" s="30"/>
      <c r="U35" s="30"/>
      <c r="V35" s="31"/>
    </row>
    <row r="36" spans="1:22">
      <c r="A36" s="1" t="s">
        <v>57</v>
      </c>
      <c r="B36" s="29">
        <v>0</v>
      </c>
      <c r="C36" s="30">
        <v>1589.7852731383782</v>
      </c>
      <c r="D36" s="30">
        <v>0</v>
      </c>
      <c r="E36" s="30">
        <v>0</v>
      </c>
      <c r="F36" s="30">
        <v>0</v>
      </c>
      <c r="G36" s="31">
        <f>SUM(NJ_FINANCIAL)</f>
        <v>1589.7852731383782</v>
      </c>
      <c r="H36" s="30"/>
      <c r="I36" s="30"/>
      <c r="J36" s="30"/>
      <c r="K36" s="30"/>
      <c r="L36" s="29"/>
      <c r="M36" s="30"/>
      <c r="N36" s="30"/>
      <c r="O36" s="30"/>
      <c r="P36" s="30"/>
      <c r="Q36" s="30"/>
      <c r="R36" s="30"/>
      <c r="S36" s="30"/>
      <c r="T36" s="30"/>
      <c r="U36" s="30"/>
      <c r="V36" s="31"/>
    </row>
    <row r="37" spans="1:22">
      <c r="A37" s="1" t="s">
        <v>58</v>
      </c>
      <c r="B37" s="29">
        <v>0</v>
      </c>
      <c r="C37" s="30">
        <v>322942.05497610546</v>
      </c>
      <c r="D37" s="30">
        <v>0</v>
      </c>
      <c r="E37" s="30">
        <v>0</v>
      </c>
      <c r="F37" s="30">
        <v>0</v>
      </c>
      <c r="G37" s="31">
        <f>SUM(NM_FINANCIAL)</f>
        <v>322942.05497610546</v>
      </c>
      <c r="H37" s="30"/>
      <c r="I37" s="30"/>
      <c r="J37" s="30"/>
      <c r="K37" s="30"/>
      <c r="L37" s="29"/>
      <c r="M37" s="30"/>
      <c r="N37" s="30"/>
      <c r="O37" s="30"/>
      <c r="P37" s="30"/>
      <c r="Q37" s="30"/>
      <c r="R37" s="30"/>
      <c r="S37" s="30"/>
      <c r="T37" s="30"/>
      <c r="U37" s="30"/>
      <c r="V37" s="31"/>
    </row>
    <row r="38" spans="1:22">
      <c r="A38" s="1" t="s">
        <v>59</v>
      </c>
      <c r="B38" s="29">
        <v>0</v>
      </c>
      <c r="C38" s="30">
        <v>0</v>
      </c>
      <c r="D38" s="30">
        <v>0</v>
      </c>
      <c r="E38" s="30">
        <v>0</v>
      </c>
      <c r="F38" s="30">
        <v>0</v>
      </c>
      <c r="G38" s="31">
        <f>SUM(NY_FINANCIAL)</f>
        <v>0</v>
      </c>
      <c r="H38" s="30"/>
      <c r="I38" s="30"/>
      <c r="J38" s="30"/>
      <c r="K38" s="30"/>
      <c r="L38" s="29"/>
      <c r="M38" s="30"/>
      <c r="N38" s="30"/>
      <c r="O38" s="30"/>
      <c r="P38" s="30"/>
      <c r="Q38" s="30"/>
      <c r="R38" s="30"/>
      <c r="S38" s="30"/>
      <c r="T38" s="30"/>
      <c r="U38" s="30"/>
      <c r="V38" s="31"/>
    </row>
    <row r="39" spans="1:22">
      <c r="A39" s="1" t="s">
        <v>60</v>
      </c>
      <c r="B39" s="29">
        <v>0</v>
      </c>
      <c r="C39" s="30">
        <v>556557.90700398572</v>
      </c>
      <c r="D39" s="30">
        <v>0</v>
      </c>
      <c r="E39" s="30">
        <v>0</v>
      </c>
      <c r="F39" s="30">
        <v>0</v>
      </c>
      <c r="G39" s="31">
        <f>SUM(NC_FINANCIAL)</f>
        <v>556557.90700398572</v>
      </c>
      <c r="H39" s="30"/>
      <c r="I39" s="30"/>
      <c r="J39" s="30"/>
      <c r="K39" s="30"/>
      <c r="L39" s="29">
        <v>0</v>
      </c>
      <c r="M39" s="30">
        <v>0</v>
      </c>
      <c r="N39" s="30"/>
      <c r="O39" s="30">
        <v>275000</v>
      </c>
      <c r="P39" s="30">
        <v>175000</v>
      </c>
      <c r="Q39" s="30"/>
      <c r="R39" s="30">
        <v>0</v>
      </c>
      <c r="S39" s="30">
        <v>0</v>
      </c>
      <c r="T39" s="30"/>
      <c r="U39" s="30">
        <v>0</v>
      </c>
      <c r="V39" s="31">
        <v>0</v>
      </c>
    </row>
    <row r="40" spans="1:22">
      <c r="A40" s="1" t="s">
        <v>61</v>
      </c>
      <c r="B40" s="29">
        <v>0</v>
      </c>
      <c r="C40" s="30">
        <v>22493.881040071414</v>
      </c>
      <c r="D40" s="30">
        <v>0</v>
      </c>
      <c r="E40" s="30">
        <v>0</v>
      </c>
      <c r="F40" s="30">
        <v>0</v>
      </c>
      <c r="G40" s="31">
        <f>SUM(ND_FINANCIAL)</f>
        <v>22493.881040071414</v>
      </c>
      <c r="H40" s="30"/>
      <c r="I40" s="30"/>
      <c r="J40" s="30"/>
      <c r="K40" s="30"/>
      <c r="L40" s="29">
        <v>0</v>
      </c>
      <c r="M40" s="30">
        <v>0</v>
      </c>
      <c r="N40" s="30"/>
      <c r="O40" s="30">
        <v>86000</v>
      </c>
      <c r="P40" s="30">
        <v>63400</v>
      </c>
      <c r="Q40" s="30"/>
      <c r="R40" s="30">
        <v>0</v>
      </c>
      <c r="S40" s="30">
        <v>0</v>
      </c>
      <c r="T40" s="30"/>
      <c r="U40" s="30">
        <v>0</v>
      </c>
      <c r="V40" s="31">
        <v>0</v>
      </c>
    </row>
    <row r="41" spans="1:22">
      <c r="A41" s="1" t="s">
        <v>62</v>
      </c>
      <c r="B41" s="29">
        <v>0</v>
      </c>
      <c r="C41" s="30">
        <v>60393.786333887634</v>
      </c>
      <c r="D41" s="30">
        <v>0</v>
      </c>
      <c r="E41" s="30">
        <v>0</v>
      </c>
      <c r="F41" s="30">
        <v>0</v>
      </c>
      <c r="G41" s="31">
        <f>SUM(OH_FINANCIAL)</f>
        <v>60393.786333887634</v>
      </c>
      <c r="H41" s="30"/>
      <c r="I41" s="30"/>
      <c r="J41" s="30"/>
      <c r="K41" s="30"/>
      <c r="L41" s="29">
        <v>0</v>
      </c>
      <c r="M41" s="30">
        <v>0</v>
      </c>
      <c r="N41" s="30"/>
      <c r="O41" s="30">
        <v>150000</v>
      </c>
      <c r="P41" s="30">
        <v>0</v>
      </c>
      <c r="Q41" s="30"/>
      <c r="R41" s="30">
        <v>0</v>
      </c>
      <c r="S41" s="30">
        <v>0</v>
      </c>
      <c r="T41" s="30"/>
      <c r="U41" s="30">
        <v>0</v>
      </c>
      <c r="V41" s="31">
        <v>0</v>
      </c>
    </row>
    <row r="42" spans="1:22">
      <c r="A42" s="1" t="s">
        <v>63</v>
      </c>
      <c r="B42" s="29">
        <v>0</v>
      </c>
      <c r="C42" s="30">
        <v>180263.73770215566</v>
      </c>
      <c r="D42" s="30">
        <v>0</v>
      </c>
      <c r="E42" s="30">
        <v>0</v>
      </c>
      <c r="F42" s="30">
        <v>0</v>
      </c>
      <c r="G42" s="31">
        <f>SUM(OK_FINANCIAL)</f>
        <v>180263.73770215566</v>
      </c>
      <c r="H42" s="30"/>
      <c r="I42" s="30"/>
      <c r="J42" s="30"/>
      <c r="K42" s="30"/>
      <c r="L42" s="29">
        <v>0</v>
      </c>
      <c r="M42" s="30">
        <v>0</v>
      </c>
      <c r="N42" s="30"/>
      <c r="O42" s="30">
        <v>550000</v>
      </c>
      <c r="P42" s="30">
        <v>225000</v>
      </c>
      <c r="Q42" s="30"/>
      <c r="R42" s="30">
        <v>0</v>
      </c>
      <c r="S42" s="30">
        <v>0</v>
      </c>
      <c r="T42" s="30"/>
      <c r="U42" s="30">
        <v>0</v>
      </c>
      <c r="V42" s="31">
        <v>0</v>
      </c>
    </row>
    <row r="43" spans="1:22">
      <c r="A43" s="1" t="s">
        <v>64</v>
      </c>
      <c r="B43" s="29">
        <v>0</v>
      </c>
      <c r="C43" s="30">
        <v>42705.059315762992</v>
      </c>
      <c r="D43" s="30">
        <v>0</v>
      </c>
      <c r="E43" s="30">
        <v>0</v>
      </c>
      <c r="F43" s="30">
        <v>0</v>
      </c>
      <c r="G43" s="31">
        <f>SUM(OR_FINANCIAL)</f>
        <v>42705.059315762992</v>
      </c>
      <c r="H43" s="30"/>
      <c r="I43" s="30"/>
      <c r="J43" s="30"/>
      <c r="K43" s="30"/>
      <c r="L43" s="29"/>
      <c r="M43" s="30"/>
      <c r="N43" s="30"/>
      <c r="O43" s="30"/>
      <c r="P43" s="30"/>
      <c r="Q43" s="30"/>
      <c r="R43" s="30"/>
      <c r="S43" s="30"/>
      <c r="T43" s="30"/>
      <c r="U43" s="30"/>
      <c r="V43" s="31"/>
    </row>
    <row r="44" spans="1:22">
      <c r="A44" s="1" t="s">
        <v>65</v>
      </c>
      <c r="B44" s="29">
        <v>0</v>
      </c>
      <c r="C44" s="30">
        <v>47280.00365285491</v>
      </c>
      <c r="D44" s="30">
        <v>0</v>
      </c>
      <c r="E44" s="30">
        <v>0</v>
      </c>
      <c r="F44" s="30">
        <v>0</v>
      </c>
      <c r="G44" s="31">
        <f>SUM(PA_FINANCIAL)</f>
        <v>47280.00365285491</v>
      </c>
      <c r="H44" s="30"/>
      <c r="I44" s="30"/>
      <c r="J44" s="30"/>
      <c r="K44" s="30"/>
      <c r="L44" s="29"/>
      <c r="M44" s="30"/>
      <c r="N44" s="30"/>
      <c r="O44" s="30"/>
      <c r="P44" s="30"/>
      <c r="Q44" s="30"/>
      <c r="R44" s="30"/>
      <c r="S44" s="30"/>
      <c r="T44" s="30"/>
      <c r="U44" s="30"/>
      <c r="V44" s="31"/>
    </row>
    <row r="45" spans="1:22">
      <c r="A45" s="1" t="s">
        <v>66</v>
      </c>
      <c r="B45" s="29">
        <v>0</v>
      </c>
      <c r="C45" s="30">
        <v>0</v>
      </c>
      <c r="D45" s="30">
        <v>0</v>
      </c>
      <c r="E45" s="30">
        <v>0</v>
      </c>
      <c r="F45" s="30">
        <v>0</v>
      </c>
      <c r="G45" s="31">
        <f>SUM(PR_FINANCIAL)</f>
        <v>0</v>
      </c>
      <c r="H45" s="30"/>
      <c r="I45" s="30"/>
      <c r="J45" s="30"/>
      <c r="K45" s="30"/>
      <c r="L45" s="29"/>
      <c r="M45" s="30"/>
      <c r="N45" s="30"/>
      <c r="O45" s="30"/>
      <c r="P45" s="30"/>
      <c r="Q45" s="30"/>
      <c r="R45" s="30"/>
      <c r="S45" s="30"/>
      <c r="T45" s="30"/>
      <c r="U45" s="30"/>
      <c r="V45" s="31"/>
    </row>
    <row r="46" spans="1:22">
      <c r="A46" s="1" t="s">
        <v>67</v>
      </c>
      <c r="B46" s="29">
        <v>0</v>
      </c>
      <c r="C46" s="30">
        <v>0</v>
      </c>
      <c r="D46" s="30">
        <v>0</v>
      </c>
      <c r="E46" s="30">
        <v>0</v>
      </c>
      <c r="F46" s="30">
        <v>0</v>
      </c>
      <c r="G46" s="31">
        <f>SUM(RI_FINANCIAL)</f>
        <v>0</v>
      </c>
      <c r="H46" s="30"/>
      <c r="I46" s="30"/>
      <c r="J46" s="30"/>
      <c r="K46" s="30"/>
      <c r="L46" s="29"/>
      <c r="M46" s="30"/>
      <c r="N46" s="30"/>
      <c r="O46" s="30"/>
      <c r="P46" s="30"/>
      <c r="Q46" s="30"/>
      <c r="R46" s="30"/>
      <c r="S46" s="30"/>
      <c r="T46" s="30"/>
      <c r="U46" s="30"/>
      <c r="V46" s="31"/>
    </row>
    <row r="47" spans="1:22">
      <c r="A47" s="1" t="s">
        <v>68</v>
      </c>
      <c r="B47" s="29">
        <v>0</v>
      </c>
      <c r="C47" s="30">
        <v>0</v>
      </c>
      <c r="D47" s="30">
        <v>0</v>
      </c>
      <c r="E47" s="30">
        <v>0</v>
      </c>
      <c r="F47" s="30">
        <v>0</v>
      </c>
      <c r="G47" s="31">
        <f>SUM(SC_FINANCIAL)</f>
        <v>0</v>
      </c>
      <c r="H47" s="30"/>
      <c r="I47" s="30"/>
      <c r="J47" s="30"/>
      <c r="K47" s="30"/>
      <c r="L47" s="29"/>
      <c r="M47" s="30"/>
      <c r="N47" s="30"/>
      <c r="O47" s="30"/>
      <c r="P47" s="30"/>
      <c r="Q47" s="30"/>
      <c r="R47" s="30"/>
      <c r="S47" s="30"/>
      <c r="T47" s="30"/>
      <c r="U47" s="30"/>
      <c r="V47" s="31"/>
    </row>
    <row r="48" spans="1:22">
      <c r="A48" s="1" t="s">
        <v>69</v>
      </c>
      <c r="B48" s="29">
        <v>0</v>
      </c>
      <c r="C48" s="30">
        <v>2412.1394232961061</v>
      </c>
      <c r="D48" s="30">
        <v>0</v>
      </c>
      <c r="E48" s="30">
        <v>0</v>
      </c>
      <c r="F48" s="30">
        <v>0</v>
      </c>
      <c r="G48" s="31">
        <f>SUM(SD_FINANCIAL)</f>
        <v>2412.1394232961061</v>
      </c>
      <c r="H48" s="30"/>
      <c r="I48" s="30"/>
      <c r="J48" s="30"/>
      <c r="K48" s="30"/>
      <c r="L48" s="29"/>
      <c r="M48" s="30"/>
      <c r="N48" s="30"/>
      <c r="O48" s="30"/>
      <c r="P48" s="30"/>
      <c r="Q48" s="30"/>
      <c r="R48" s="30"/>
      <c r="S48" s="30"/>
      <c r="T48" s="30"/>
      <c r="U48" s="30"/>
      <c r="V48" s="31"/>
    </row>
    <row r="49" spans="1:22">
      <c r="A49" s="1" t="s">
        <v>70</v>
      </c>
      <c r="B49" s="29">
        <v>0</v>
      </c>
      <c r="C49" s="30">
        <v>16853.52908917785</v>
      </c>
      <c r="D49" s="30">
        <v>0</v>
      </c>
      <c r="E49" s="30">
        <v>0</v>
      </c>
      <c r="F49" s="30">
        <v>0</v>
      </c>
      <c r="G49" s="31">
        <f>SUM(TN_FINANCIAL)</f>
        <v>16853.52908917785</v>
      </c>
      <c r="H49" s="30"/>
      <c r="I49" s="30"/>
      <c r="J49" s="30"/>
      <c r="K49" s="30"/>
      <c r="L49" s="29"/>
      <c r="M49" s="30"/>
      <c r="N49" s="30"/>
      <c r="O49" s="30"/>
      <c r="P49" s="30"/>
      <c r="Q49" s="30"/>
      <c r="R49" s="30"/>
      <c r="S49" s="30"/>
      <c r="T49" s="30"/>
      <c r="U49" s="30"/>
      <c r="V49" s="31"/>
    </row>
    <row r="50" spans="1:22">
      <c r="A50" s="1" t="s">
        <v>71</v>
      </c>
      <c r="B50" s="29">
        <v>125.51916455641128</v>
      </c>
      <c r="C50" s="30">
        <v>658641.78635584994</v>
      </c>
      <c r="D50" s="30">
        <v>0</v>
      </c>
      <c r="E50" s="30">
        <v>0</v>
      </c>
      <c r="F50" s="30">
        <v>0</v>
      </c>
      <c r="G50" s="31">
        <f>SUM(TX_FINANCIAL)</f>
        <v>658767.30552040634</v>
      </c>
      <c r="H50" s="30"/>
      <c r="I50" s="30"/>
      <c r="J50" s="30"/>
      <c r="K50" s="30"/>
      <c r="L50" s="29">
        <v>62251</v>
      </c>
      <c r="M50" s="30">
        <v>35418.761199999994</v>
      </c>
      <c r="N50" s="30"/>
      <c r="O50" s="30">
        <v>389989</v>
      </c>
      <c r="P50" s="30">
        <v>221890.79959999997</v>
      </c>
      <c r="Q50" s="30"/>
      <c r="R50" s="30">
        <v>1148044</v>
      </c>
      <c r="S50" s="30">
        <v>653198.43920000002</v>
      </c>
      <c r="T50" s="30"/>
      <c r="U50" s="30">
        <v>0</v>
      </c>
      <c r="V50" s="31">
        <v>0</v>
      </c>
    </row>
    <row r="51" spans="1:22">
      <c r="A51" s="1" t="s">
        <v>72</v>
      </c>
      <c r="B51" s="29">
        <v>0</v>
      </c>
      <c r="C51" s="30">
        <v>45108.249398668566</v>
      </c>
      <c r="D51" s="30">
        <v>0</v>
      </c>
      <c r="E51" s="30">
        <v>0</v>
      </c>
      <c r="F51" s="30">
        <v>0</v>
      </c>
      <c r="G51" s="31">
        <f>SUM(UT_FINANCIAL)</f>
        <v>45108.249398668566</v>
      </c>
      <c r="H51" s="30"/>
      <c r="I51" s="30"/>
      <c r="J51" s="30"/>
      <c r="K51" s="30"/>
      <c r="L51" s="29">
        <v>0</v>
      </c>
      <c r="M51" s="30">
        <v>0</v>
      </c>
      <c r="N51" s="30"/>
      <c r="O51" s="30">
        <v>95000</v>
      </c>
      <c r="P51" s="30">
        <v>0</v>
      </c>
      <c r="Q51" s="30"/>
      <c r="R51" s="30">
        <v>0</v>
      </c>
      <c r="S51" s="30">
        <v>0</v>
      </c>
      <c r="T51" s="30"/>
      <c r="U51" s="30">
        <v>0</v>
      </c>
      <c r="V51" s="31">
        <v>0</v>
      </c>
    </row>
    <row r="52" spans="1:22">
      <c r="A52" s="1" t="s">
        <v>73</v>
      </c>
      <c r="B52" s="29">
        <v>0</v>
      </c>
      <c r="C52" s="30">
        <v>10523.23076014031</v>
      </c>
      <c r="D52" s="30">
        <v>0</v>
      </c>
      <c r="E52" s="30">
        <v>0</v>
      </c>
      <c r="F52" s="30">
        <v>0</v>
      </c>
      <c r="G52" s="31">
        <f>SUM(VT_FINANCIAL)</f>
        <v>10523.23076014031</v>
      </c>
      <c r="H52" s="30"/>
      <c r="I52" s="30"/>
      <c r="J52" s="30"/>
      <c r="K52" s="30"/>
      <c r="L52" s="29">
        <v>0</v>
      </c>
      <c r="M52" s="30">
        <v>0</v>
      </c>
      <c r="N52" s="30"/>
      <c r="O52" s="30">
        <v>0</v>
      </c>
      <c r="P52" s="30">
        <v>0</v>
      </c>
      <c r="Q52" s="30"/>
      <c r="R52" s="30">
        <v>0</v>
      </c>
      <c r="S52" s="30">
        <v>0</v>
      </c>
      <c r="T52" s="30"/>
      <c r="U52" s="30">
        <v>0</v>
      </c>
      <c r="V52" s="31">
        <v>0</v>
      </c>
    </row>
    <row r="53" spans="1:22">
      <c r="A53" s="1" t="s">
        <v>74</v>
      </c>
      <c r="B53" s="29">
        <v>0</v>
      </c>
      <c r="C53" s="30">
        <v>157019.44829779377</v>
      </c>
      <c r="D53" s="30">
        <v>0</v>
      </c>
      <c r="E53" s="30">
        <v>0</v>
      </c>
      <c r="F53" s="30">
        <v>0</v>
      </c>
      <c r="G53" s="31">
        <f>SUM(VA_FINANCIAL)</f>
        <v>157019.44829779377</v>
      </c>
      <c r="H53" s="30"/>
      <c r="I53" s="30"/>
      <c r="J53" s="30"/>
      <c r="K53" s="30"/>
      <c r="L53" s="29">
        <v>0</v>
      </c>
      <c r="M53" s="30">
        <v>0</v>
      </c>
      <c r="N53" s="30"/>
      <c r="O53" s="30">
        <v>130000</v>
      </c>
      <c r="P53" s="30">
        <v>0</v>
      </c>
      <c r="Q53" s="30"/>
      <c r="R53" s="30">
        <v>10000</v>
      </c>
      <c r="S53" s="30">
        <v>0</v>
      </c>
      <c r="T53" s="30"/>
      <c r="U53" s="30">
        <v>0</v>
      </c>
      <c r="V53" s="31">
        <v>0</v>
      </c>
    </row>
    <row r="54" spans="1:22">
      <c r="A54" s="1" t="s">
        <v>75</v>
      </c>
      <c r="B54" s="29">
        <v>0</v>
      </c>
      <c r="C54" s="30">
        <v>62168.641385456431</v>
      </c>
      <c r="D54" s="30">
        <v>0</v>
      </c>
      <c r="E54" s="30">
        <v>0</v>
      </c>
      <c r="F54" s="30">
        <v>0</v>
      </c>
      <c r="G54" s="31">
        <f>SUM(WA_FINANCIAL)</f>
        <v>62168.641385456431</v>
      </c>
      <c r="H54" s="30"/>
      <c r="I54" s="30"/>
      <c r="J54" s="30"/>
      <c r="K54" s="30"/>
      <c r="L54" s="29">
        <v>0</v>
      </c>
      <c r="M54" s="30">
        <v>0</v>
      </c>
      <c r="N54" s="30"/>
      <c r="O54" s="30">
        <v>60784</v>
      </c>
      <c r="P54" s="30">
        <v>0</v>
      </c>
      <c r="Q54" s="30"/>
      <c r="R54" s="30">
        <v>0</v>
      </c>
      <c r="S54" s="30">
        <v>0</v>
      </c>
      <c r="T54" s="30"/>
      <c r="U54" s="30">
        <v>0</v>
      </c>
      <c r="V54" s="31">
        <v>0</v>
      </c>
    </row>
    <row r="55" spans="1:22">
      <c r="A55" s="1" t="s">
        <v>76</v>
      </c>
      <c r="B55" s="29">
        <v>0</v>
      </c>
      <c r="C55" s="30">
        <v>12130.222812729458</v>
      </c>
      <c r="D55" s="30">
        <v>0</v>
      </c>
      <c r="E55" s="30">
        <v>0</v>
      </c>
      <c r="F55" s="30">
        <v>0</v>
      </c>
      <c r="G55" s="31">
        <f>SUM(WV_FINANCIAL)</f>
        <v>12130.222812729458</v>
      </c>
      <c r="H55" s="30"/>
      <c r="I55" s="30"/>
      <c r="J55" s="30"/>
      <c r="K55" s="30"/>
      <c r="L55" s="29">
        <v>0</v>
      </c>
      <c r="M55" s="30">
        <v>0</v>
      </c>
      <c r="N55" s="30"/>
      <c r="O55" s="30">
        <v>0</v>
      </c>
      <c r="P55" s="30">
        <v>163676</v>
      </c>
      <c r="Q55" s="30"/>
      <c r="R55" s="30">
        <v>0</v>
      </c>
      <c r="S55" s="30">
        <v>90832</v>
      </c>
      <c r="T55" s="30"/>
      <c r="U55" s="30">
        <v>0</v>
      </c>
      <c r="V55" s="31">
        <v>0</v>
      </c>
    </row>
    <row r="56" spans="1:22">
      <c r="A56" s="1" t="s">
        <v>77</v>
      </c>
      <c r="B56" s="29">
        <v>0</v>
      </c>
      <c r="C56" s="30">
        <v>10864.557248851066</v>
      </c>
      <c r="D56" s="30">
        <v>0</v>
      </c>
      <c r="E56" s="30">
        <v>0</v>
      </c>
      <c r="F56" s="30">
        <v>0</v>
      </c>
      <c r="G56" s="31">
        <f>SUM(WI_FINANCIAL)</f>
        <v>10864.557248851066</v>
      </c>
      <c r="H56" s="30"/>
      <c r="I56" s="30"/>
      <c r="J56" s="30"/>
      <c r="K56" s="30"/>
      <c r="L56" s="29"/>
      <c r="M56" s="30"/>
      <c r="N56" s="30"/>
      <c r="O56" s="30"/>
      <c r="P56" s="30"/>
      <c r="Q56" s="30"/>
      <c r="R56" s="30"/>
      <c r="S56" s="30"/>
      <c r="T56" s="30"/>
      <c r="U56" s="30"/>
      <c r="V56" s="31"/>
    </row>
    <row r="57" spans="1:22">
      <c r="A57" s="1" t="s">
        <v>78</v>
      </c>
      <c r="B57" s="29">
        <v>0</v>
      </c>
      <c r="C57" s="30">
        <v>28838.233269121585</v>
      </c>
      <c r="D57" s="30">
        <v>0</v>
      </c>
      <c r="E57" s="30">
        <v>0</v>
      </c>
      <c r="F57" s="30">
        <v>0</v>
      </c>
      <c r="G57" s="31">
        <f>SUM(WY_FINANCIAL)</f>
        <v>28838.233269121585</v>
      </c>
      <c r="H57" s="30"/>
      <c r="I57" s="30"/>
      <c r="J57" s="30"/>
      <c r="K57" s="30"/>
      <c r="L57" s="29">
        <v>0</v>
      </c>
      <c r="M57" s="30">
        <v>0</v>
      </c>
      <c r="N57" s="30"/>
      <c r="O57" s="30">
        <v>90000</v>
      </c>
      <c r="P57" s="30">
        <v>0</v>
      </c>
      <c r="Q57" s="30"/>
      <c r="R57" s="30">
        <v>0</v>
      </c>
      <c r="S57" s="30">
        <v>0</v>
      </c>
      <c r="T57" s="30"/>
      <c r="U57" s="30">
        <v>0</v>
      </c>
      <c r="V57" s="31">
        <v>0</v>
      </c>
    </row>
    <row r="58" spans="1:22">
      <c r="A58" s="1" t="s">
        <v>79</v>
      </c>
      <c r="B58" s="29">
        <v>0</v>
      </c>
      <c r="C58" s="30">
        <v>0</v>
      </c>
      <c r="D58" s="30">
        <v>0</v>
      </c>
      <c r="E58" s="30">
        <v>0</v>
      </c>
      <c r="F58" s="30">
        <v>0</v>
      </c>
      <c r="G58" s="31">
        <f>SUM(OT_FINANCIAL)</f>
        <v>0</v>
      </c>
      <c r="H58" s="30"/>
      <c r="I58" s="30"/>
      <c r="J58" s="30"/>
      <c r="K58" s="30"/>
      <c r="L58" s="29"/>
      <c r="M58" s="30"/>
      <c r="N58" s="30"/>
      <c r="O58" s="30"/>
      <c r="P58" s="30"/>
      <c r="Q58" s="30"/>
      <c r="R58" s="30"/>
      <c r="S58" s="30"/>
      <c r="T58" s="30"/>
      <c r="U58" s="30"/>
      <c r="V58" s="31"/>
    </row>
    <row r="59" spans="1:22">
      <c r="B59" s="29"/>
      <c r="C59" s="30"/>
      <c r="D59" s="30"/>
      <c r="E59" s="30"/>
      <c r="F59" s="30"/>
      <c r="G59" s="31"/>
      <c r="H59" s="30"/>
      <c r="I59" s="30"/>
      <c r="J59" s="30"/>
      <c r="K59" s="30"/>
      <c r="L59" s="29"/>
      <c r="M59" s="30"/>
      <c r="N59" s="30"/>
      <c r="O59" s="30"/>
      <c r="P59" s="30"/>
      <c r="Q59" s="30"/>
      <c r="R59" s="30"/>
      <c r="S59" s="30"/>
      <c r="T59" s="30"/>
      <c r="U59" s="30"/>
      <c r="V59" s="31"/>
    </row>
    <row r="60" spans="1:22">
      <c r="A60" s="1" t="s">
        <v>8</v>
      </c>
      <c r="B60" s="29">
        <f>SUM(LIFE)</f>
        <v>2604.3387856944819</v>
      </c>
      <c r="C60" s="30">
        <f>SUM(ALLOCATED)</f>
        <v>13124792.083000876</v>
      </c>
      <c r="D60" s="30">
        <f>SUM(HEALTH)</f>
        <v>6047.8936443914545</v>
      </c>
      <c r="E60" s="30">
        <f>SUM(UNALLOCATED)</f>
        <v>0</v>
      </c>
      <c r="F60" s="30">
        <f>SUM(LTC)</f>
        <v>0</v>
      </c>
      <c r="G60" s="31">
        <f>SUM(ALL_BLOCKS)</f>
        <v>13133444.315430962</v>
      </c>
      <c r="H60" s="30"/>
      <c r="I60" s="30"/>
      <c r="J60" s="30"/>
      <c r="K60" s="30"/>
      <c r="L60" s="29">
        <f>SUM(LIFE_CALLED)</f>
        <v>576171</v>
      </c>
      <c r="M60" s="30">
        <f>SUM(LIFE_REFUNDED)</f>
        <v>185418.76120000001</v>
      </c>
      <c r="N60" s="30"/>
      <c r="O60" s="30">
        <f>SUM(ALLOC_CALLED)</f>
        <v>24494168</v>
      </c>
      <c r="P60" s="30">
        <f>SUM(ALLOC_REFUNDED)</f>
        <v>42107927.9296</v>
      </c>
      <c r="Q60" s="30"/>
      <c r="R60" s="30">
        <f>SUM(HEALTH_CALLED)</f>
        <v>1785577</v>
      </c>
      <c r="S60" s="30">
        <f>SUM(HEALTH_REFUNDED)</f>
        <v>1644030.4391999999</v>
      </c>
      <c r="T60" s="30"/>
      <c r="U60" s="30">
        <f>SUM(UNALLOC_CALLED)</f>
        <v>0</v>
      </c>
      <c r="V60" s="31">
        <f>SUM(UNALLOC_REFUNDED)</f>
        <v>0</v>
      </c>
    </row>
    <row r="61" spans="1:22" ht="5.0999999999999996" customHeight="1">
      <c r="B61" s="8"/>
      <c r="G61" s="11"/>
      <c r="L61" s="8"/>
      <c r="V61" s="11"/>
    </row>
    <row r="62" spans="1:22">
      <c r="B62" s="8"/>
      <c r="G62" s="11"/>
      <c r="L62" s="122" t="s">
        <v>80</v>
      </c>
      <c r="M62" s="123"/>
      <c r="N62" s="123"/>
      <c r="O62" s="123"/>
      <c r="P62" s="123"/>
      <c r="Q62" s="123"/>
      <c r="R62" s="123"/>
      <c r="S62" s="123"/>
      <c r="T62" s="123"/>
      <c r="U62" s="123"/>
      <c r="V62" s="124"/>
    </row>
    <row r="63" spans="1:22">
      <c r="B63" s="8"/>
      <c r="G63" s="11"/>
      <c r="L63" s="125"/>
      <c r="M63" s="123"/>
      <c r="N63" s="123"/>
      <c r="O63" s="123"/>
      <c r="P63" s="123"/>
      <c r="Q63" s="123"/>
      <c r="R63" s="123"/>
      <c r="S63" s="123"/>
      <c r="T63" s="123"/>
      <c r="U63" s="123"/>
      <c r="V63" s="124"/>
    </row>
    <row r="64" spans="1:22">
      <c r="B64" s="10"/>
      <c r="C64" s="7"/>
      <c r="D64" s="7"/>
      <c r="E64" s="7"/>
      <c r="F64" s="7"/>
      <c r="G64" s="13"/>
      <c r="L64" s="126"/>
      <c r="M64" s="127"/>
      <c r="N64" s="127"/>
      <c r="O64" s="127"/>
      <c r="P64" s="127"/>
      <c r="Q64" s="127"/>
      <c r="R64" s="127"/>
      <c r="S64" s="127"/>
      <c r="T64" s="127"/>
      <c r="U64" s="127"/>
      <c r="V64" s="128"/>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pageSetUpPr fitToPage="1"/>
  </sheetPr>
  <dimension ref="A1:V64"/>
  <sheetViews>
    <sheetView zoomScale="75" workbookViewId="0">
      <selection sqref="A1:XFD1048576"/>
    </sheetView>
  </sheetViews>
  <sheetFormatPr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129" t="s">
        <v>146</v>
      </c>
      <c r="B1" s="123"/>
      <c r="C1" s="123"/>
      <c r="D1" s="123"/>
      <c r="E1" s="123"/>
      <c r="F1" s="123"/>
      <c r="G1" s="123"/>
    </row>
    <row r="3" spans="1:22">
      <c r="B3" s="130" t="s">
        <v>1</v>
      </c>
      <c r="C3" s="131"/>
      <c r="D3" s="131"/>
      <c r="E3" s="131"/>
      <c r="F3" s="131"/>
      <c r="G3" s="132"/>
      <c r="L3" s="133" t="s">
        <v>2</v>
      </c>
      <c r="M3" s="134"/>
      <c r="N3" s="134"/>
      <c r="O3" s="134"/>
      <c r="P3" s="134"/>
      <c r="Q3" s="134"/>
      <c r="R3" s="134"/>
      <c r="S3" s="134"/>
      <c r="T3" s="134"/>
      <c r="U3" s="134"/>
      <c r="V3" s="135"/>
    </row>
    <row r="4" spans="1:22">
      <c r="B4" s="8"/>
      <c r="G4" s="11"/>
      <c r="L4" s="136" t="s">
        <v>3</v>
      </c>
      <c r="M4" s="137"/>
      <c r="N4" s="4"/>
      <c r="O4" s="138" t="s">
        <v>4</v>
      </c>
      <c r="P4" s="137"/>
      <c r="Q4" s="4"/>
      <c r="R4" s="138" t="s">
        <v>5</v>
      </c>
      <c r="S4" s="137"/>
      <c r="T4" s="4"/>
      <c r="U4" s="138" t="s">
        <v>6</v>
      </c>
      <c r="V4" s="139"/>
    </row>
    <row r="5" spans="1:22" ht="60" customHeight="1">
      <c r="B5" s="9" t="s">
        <v>3</v>
      </c>
      <c r="C5" s="5" t="s">
        <v>4</v>
      </c>
      <c r="D5" s="5" t="s">
        <v>5</v>
      </c>
      <c r="E5" s="5" t="s">
        <v>6</v>
      </c>
      <c r="F5" s="5" t="s">
        <v>7</v>
      </c>
      <c r="G5" s="12" t="s">
        <v>8</v>
      </c>
      <c r="L5" s="15" t="s">
        <v>9</v>
      </c>
      <c r="M5" s="14" t="s">
        <v>10</v>
      </c>
      <c r="N5" s="14"/>
      <c r="O5" s="14" t="s">
        <v>9</v>
      </c>
      <c r="P5" s="14" t="s">
        <v>10</v>
      </c>
      <c r="Q5" s="14"/>
      <c r="R5" s="14" t="s">
        <v>9</v>
      </c>
      <c r="S5" s="14" t="s">
        <v>10</v>
      </c>
      <c r="T5" s="14"/>
      <c r="U5" s="14" t="s">
        <v>9</v>
      </c>
      <c r="V5" s="16" t="s">
        <v>10</v>
      </c>
    </row>
    <row r="6" spans="1:22">
      <c r="A6" s="1" t="s">
        <v>11</v>
      </c>
      <c r="B6" s="29">
        <v>9891.2102157695481</v>
      </c>
      <c r="C6" s="30">
        <v>550353.12820095569</v>
      </c>
      <c r="D6" s="30">
        <v>0</v>
      </c>
      <c r="E6" s="30">
        <v>0</v>
      </c>
      <c r="F6" s="30">
        <v>0</v>
      </c>
      <c r="G6" s="31">
        <f>SUM(AL_FINANCIAL)</f>
        <v>560244.33841672528</v>
      </c>
      <c r="H6" s="30"/>
      <c r="I6" s="30"/>
      <c r="J6" s="30"/>
      <c r="K6" s="30"/>
      <c r="L6" s="29"/>
      <c r="M6" s="30"/>
      <c r="N6" s="30"/>
      <c r="O6" s="30"/>
      <c r="P6" s="30"/>
      <c r="Q6" s="30"/>
      <c r="R6" s="30"/>
      <c r="S6" s="30"/>
      <c r="T6" s="30"/>
      <c r="U6" s="30"/>
      <c r="V6" s="31"/>
    </row>
    <row r="7" spans="1:22">
      <c r="A7" s="1" t="s">
        <v>12</v>
      </c>
      <c r="B7" s="29">
        <v>0</v>
      </c>
      <c r="C7" s="30">
        <v>0</v>
      </c>
      <c r="D7" s="30">
        <v>0</v>
      </c>
      <c r="E7" s="30">
        <v>0</v>
      </c>
      <c r="F7" s="30">
        <v>0</v>
      </c>
      <c r="G7" s="31">
        <f>SUM(AK_FINANCIAL)</f>
        <v>0</v>
      </c>
      <c r="H7" s="30"/>
      <c r="I7" s="32"/>
      <c r="J7" s="33"/>
      <c r="K7" s="30"/>
      <c r="L7" s="29"/>
      <c r="M7" s="30"/>
      <c r="N7" s="30"/>
      <c r="O7" s="30"/>
      <c r="P7" s="30"/>
      <c r="Q7" s="30"/>
      <c r="R7" s="30"/>
      <c r="S7" s="30"/>
      <c r="T7" s="30"/>
      <c r="U7" s="30"/>
      <c r="V7" s="31"/>
    </row>
    <row r="8" spans="1:22">
      <c r="A8" s="1" t="s">
        <v>13</v>
      </c>
      <c r="B8" s="29">
        <v>0</v>
      </c>
      <c r="C8" s="30">
        <v>0</v>
      </c>
      <c r="D8" s="30">
        <v>0</v>
      </c>
      <c r="E8" s="30">
        <v>0</v>
      </c>
      <c r="F8" s="30">
        <v>0</v>
      </c>
      <c r="G8" s="31">
        <f>SUM(AZ_FINANCIAL)</f>
        <v>0</v>
      </c>
      <c r="H8" s="30"/>
      <c r="I8" s="34" t="s">
        <v>14</v>
      </c>
      <c r="J8" s="35"/>
      <c r="K8" s="30"/>
      <c r="L8" s="29"/>
      <c r="M8" s="30"/>
      <c r="N8" s="30"/>
      <c r="O8" s="30"/>
      <c r="P8" s="30"/>
      <c r="Q8" s="30"/>
      <c r="R8" s="30"/>
      <c r="S8" s="30"/>
      <c r="T8" s="30"/>
      <c r="U8" s="30"/>
      <c r="V8" s="31"/>
    </row>
    <row r="9" spans="1:22">
      <c r="A9" s="1" t="s">
        <v>15</v>
      </c>
      <c r="B9" s="29">
        <v>0</v>
      </c>
      <c r="C9" s="30">
        <v>0</v>
      </c>
      <c r="D9" s="30">
        <v>0</v>
      </c>
      <c r="E9" s="30">
        <v>0</v>
      </c>
      <c r="F9" s="30">
        <v>0</v>
      </c>
      <c r="G9" s="31">
        <f>SUM(AR_FINANCIAL)</f>
        <v>0</v>
      </c>
      <c r="H9" s="30"/>
      <c r="I9" s="34"/>
      <c r="J9" s="35"/>
      <c r="K9" s="30"/>
      <c r="L9" s="29"/>
      <c r="M9" s="30"/>
      <c r="N9" s="30"/>
      <c r="O9" s="30"/>
      <c r="P9" s="30"/>
      <c r="Q9" s="30"/>
      <c r="R9" s="30"/>
      <c r="S9" s="30"/>
      <c r="T9" s="30"/>
      <c r="U9" s="30"/>
      <c r="V9" s="31"/>
    </row>
    <row r="10" spans="1:22">
      <c r="A10" s="1" t="s">
        <v>16</v>
      </c>
      <c r="B10" s="29">
        <v>0</v>
      </c>
      <c r="C10" s="30">
        <v>0</v>
      </c>
      <c r="D10" s="30">
        <v>0</v>
      </c>
      <c r="E10" s="30">
        <v>0</v>
      </c>
      <c r="F10" s="30">
        <v>0</v>
      </c>
      <c r="G10" s="31">
        <f>SUM(CA_FINANCIAL)</f>
        <v>0</v>
      </c>
      <c r="H10" s="30"/>
      <c r="I10" s="34" t="s">
        <v>17</v>
      </c>
      <c r="J10" s="35">
        <v>419826573</v>
      </c>
      <c r="K10" s="30"/>
      <c r="L10" s="29"/>
      <c r="M10" s="30"/>
      <c r="N10" s="30"/>
      <c r="O10" s="30"/>
      <c r="P10" s="30"/>
      <c r="Q10" s="30"/>
      <c r="R10" s="30"/>
      <c r="S10" s="30"/>
      <c r="T10" s="30"/>
      <c r="U10" s="30"/>
      <c r="V10" s="31"/>
    </row>
    <row r="11" spans="1:22">
      <c r="A11" s="1" t="s">
        <v>18</v>
      </c>
      <c r="B11" s="29">
        <v>21520.414805179411</v>
      </c>
      <c r="C11" s="30">
        <v>1216873.069820401</v>
      </c>
      <c r="D11" s="30">
        <v>0</v>
      </c>
      <c r="E11" s="30">
        <v>0</v>
      </c>
      <c r="F11" s="30">
        <v>0</v>
      </c>
      <c r="G11" s="31">
        <f>SUM(CO_FINANCIAL)</f>
        <v>1238393.4846255805</v>
      </c>
      <c r="H11" s="30"/>
      <c r="I11" s="34"/>
      <c r="J11" s="35"/>
      <c r="K11" s="30"/>
      <c r="L11" s="29">
        <v>0</v>
      </c>
      <c r="M11" s="30">
        <v>0</v>
      </c>
      <c r="N11" s="30"/>
      <c r="O11" s="30">
        <v>0</v>
      </c>
      <c r="P11" s="30">
        <v>1924620</v>
      </c>
      <c r="Q11" s="30"/>
      <c r="R11" s="30">
        <v>0</v>
      </c>
      <c r="S11" s="30">
        <v>0</v>
      </c>
      <c r="T11" s="30"/>
      <c r="U11" s="30">
        <v>0</v>
      </c>
      <c r="V11" s="31">
        <v>0</v>
      </c>
    </row>
    <row r="12" spans="1:22">
      <c r="A12" s="1" t="s">
        <v>19</v>
      </c>
      <c r="B12" s="29">
        <v>0</v>
      </c>
      <c r="C12" s="30">
        <v>0</v>
      </c>
      <c r="D12" s="30">
        <v>0</v>
      </c>
      <c r="E12" s="30">
        <v>0</v>
      </c>
      <c r="F12" s="30">
        <v>0</v>
      </c>
      <c r="G12" s="31">
        <f>SUM(CT_FINANCIAL)</f>
        <v>0</v>
      </c>
      <c r="H12" s="30"/>
      <c r="I12" s="34" t="s">
        <v>20</v>
      </c>
      <c r="J12" s="35"/>
      <c r="K12" s="30"/>
      <c r="L12" s="29"/>
      <c r="M12" s="30"/>
      <c r="N12" s="30"/>
      <c r="O12" s="30"/>
      <c r="P12" s="30"/>
      <c r="Q12" s="30"/>
      <c r="R12" s="30"/>
      <c r="S12" s="30"/>
      <c r="T12" s="30"/>
      <c r="U12" s="30"/>
      <c r="V12" s="31"/>
    </row>
    <row r="13" spans="1:22">
      <c r="A13" s="1" t="s">
        <v>21</v>
      </c>
      <c r="B13" s="29">
        <v>328908.74572687596</v>
      </c>
      <c r="C13" s="30">
        <v>8135918.3037652168</v>
      </c>
      <c r="D13" s="30">
        <v>0</v>
      </c>
      <c r="E13" s="30">
        <v>0</v>
      </c>
      <c r="F13" s="30">
        <v>0</v>
      </c>
      <c r="G13" s="31">
        <f>SUM(DE_FINANCIAL)</f>
        <v>8464827.0494920928</v>
      </c>
      <c r="H13" s="30"/>
      <c r="I13" s="34" t="s">
        <v>22</v>
      </c>
      <c r="J13" s="35">
        <v>-2321488.0000000005</v>
      </c>
      <c r="K13" s="30"/>
      <c r="L13" s="29">
        <v>3006453</v>
      </c>
      <c r="M13" s="30">
        <v>0</v>
      </c>
      <c r="N13" s="30"/>
      <c r="O13" s="30">
        <v>10258760</v>
      </c>
      <c r="P13" s="30">
        <v>0</v>
      </c>
      <c r="Q13" s="30"/>
      <c r="R13" s="30">
        <v>0</v>
      </c>
      <c r="S13" s="30">
        <v>0</v>
      </c>
      <c r="T13" s="30"/>
      <c r="U13" s="30">
        <v>984787</v>
      </c>
      <c r="V13" s="31">
        <v>0</v>
      </c>
    </row>
    <row r="14" spans="1:22">
      <c r="A14" s="1" t="s">
        <v>23</v>
      </c>
      <c r="B14" s="29">
        <v>0</v>
      </c>
      <c r="C14" s="30">
        <v>0</v>
      </c>
      <c r="D14" s="30">
        <v>0</v>
      </c>
      <c r="E14" s="30">
        <v>0</v>
      </c>
      <c r="F14" s="30">
        <v>0</v>
      </c>
      <c r="G14" s="31">
        <f>SUM(DC_FINANCIAL)</f>
        <v>0</v>
      </c>
      <c r="H14" s="30"/>
      <c r="I14" s="34" t="s">
        <v>24</v>
      </c>
      <c r="J14" s="35">
        <v>2861498</v>
      </c>
      <c r="K14" s="30"/>
      <c r="L14" s="29"/>
      <c r="M14" s="30"/>
      <c r="N14" s="30"/>
      <c r="O14" s="30"/>
      <c r="P14" s="30"/>
      <c r="Q14" s="30"/>
      <c r="R14" s="30"/>
      <c r="S14" s="30"/>
      <c r="T14" s="30"/>
      <c r="U14" s="30"/>
      <c r="V14" s="31"/>
    </row>
    <row r="15" spans="1:22">
      <c r="A15" s="1" t="s">
        <v>25</v>
      </c>
      <c r="B15" s="29">
        <v>2491871.5123495506</v>
      </c>
      <c r="C15" s="30">
        <v>51249061.134986043</v>
      </c>
      <c r="D15" s="30">
        <v>0</v>
      </c>
      <c r="E15" s="30">
        <v>0</v>
      </c>
      <c r="F15" s="30">
        <v>0</v>
      </c>
      <c r="G15" s="31">
        <f>SUM(FL_FINANCIAL)</f>
        <v>53740932.647335596</v>
      </c>
      <c r="H15" s="30"/>
      <c r="I15" s="34" t="s">
        <v>26</v>
      </c>
      <c r="J15" s="35">
        <v>5490419.1919883694</v>
      </c>
      <c r="K15" s="30"/>
      <c r="L15" s="29">
        <v>0</v>
      </c>
      <c r="M15" s="30">
        <v>0</v>
      </c>
      <c r="N15" s="30"/>
      <c r="O15" s="30">
        <v>85429492</v>
      </c>
      <c r="P15" s="30">
        <v>0</v>
      </c>
      <c r="Q15" s="30"/>
      <c r="R15" s="30">
        <v>0</v>
      </c>
      <c r="S15" s="30">
        <v>0</v>
      </c>
      <c r="T15" s="30"/>
      <c r="U15" s="30">
        <v>0</v>
      </c>
      <c r="V15" s="31">
        <v>0</v>
      </c>
    </row>
    <row r="16" spans="1:22">
      <c r="A16" s="1" t="s">
        <v>27</v>
      </c>
      <c r="B16" s="29">
        <v>219036.10130073212</v>
      </c>
      <c r="C16" s="30">
        <v>544048.6330703306</v>
      </c>
      <c r="D16" s="30">
        <v>0</v>
      </c>
      <c r="E16" s="30">
        <v>0</v>
      </c>
      <c r="F16" s="30">
        <v>0</v>
      </c>
      <c r="G16" s="31">
        <f>SUM(GA_FINANCIAL)</f>
        <v>763084.73437106272</v>
      </c>
      <c r="H16" s="30"/>
      <c r="I16" s="34" t="s">
        <v>28</v>
      </c>
      <c r="J16" s="35">
        <v>0</v>
      </c>
      <c r="K16" s="30"/>
      <c r="L16" s="29">
        <v>594918</v>
      </c>
      <c r="M16" s="30">
        <v>0</v>
      </c>
      <c r="N16" s="30"/>
      <c r="O16" s="30">
        <v>1435372</v>
      </c>
      <c r="P16" s="30">
        <v>40044.050000000003</v>
      </c>
      <c r="Q16" s="30"/>
      <c r="R16" s="30">
        <v>0</v>
      </c>
      <c r="S16" s="30">
        <v>0</v>
      </c>
      <c r="T16" s="30"/>
      <c r="U16" s="30">
        <v>0</v>
      </c>
      <c r="V16" s="31">
        <v>0</v>
      </c>
    </row>
    <row r="17" spans="1:22">
      <c r="A17" s="1" t="s">
        <v>29</v>
      </c>
      <c r="B17" s="29">
        <v>0</v>
      </c>
      <c r="C17" s="30">
        <v>0</v>
      </c>
      <c r="D17" s="30">
        <v>0</v>
      </c>
      <c r="E17" s="30">
        <v>0</v>
      </c>
      <c r="F17" s="30">
        <v>0</v>
      </c>
      <c r="G17" s="31">
        <f>SUM(HI_FINANCIAL)</f>
        <v>0</v>
      </c>
      <c r="H17" s="30"/>
      <c r="I17" s="34"/>
      <c r="J17" s="35"/>
      <c r="K17" s="30"/>
      <c r="L17" s="29"/>
      <c r="M17" s="30"/>
      <c r="N17" s="30"/>
      <c r="O17" s="30"/>
      <c r="P17" s="30"/>
      <c r="Q17" s="30"/>
      <c r="R17" s="30"/>
      <c r="S17" s="30"/>
      <c r="T17" s="30"/>
      <c r="U17" s="30"/>
      <c r="V17" s="31"/>
    </row>
    <row r="18" spans="1:22">
      <c r="A18" s="1" t="s">
        <v>30</v>
      </c>
      <c r="B18" s="29">
        <v>0</v>
      </c>
      <c r="C18" s="30">
        <v>0</v>
      </c>
      <c r="D18" s="30">
        <v>0</v>
      </c>
      <c r="E18" s="30">
        <v>0</v>
      </c>
      <c r="F18" s="30">
        <v>0</v>
      </c>
      <c r="G18" s="31">
        <f>SUM(ID_FINANCIAL)</f>
        <v>0</v>
      </c>
      <c r="H18" s="30"/>
      <c r="I18" s="34" t="s">
        <v>31</v>
      </c>
      <c r="J18" s="35"/>
      <c r="K18" s="30"/>
      <c r="L18" s="29"/>
      <c r="M18" s="30"/>
      <c r="N18" s="30"/>
      <c r="O18" s="30"/>
      <c r="P18" s="30"/>
      <c r="Q18" s="30"/>
      <c r="R18" s="30"/>
      <c r="S18" s="30"/>
      <c r="T18" s="30"/>
      <c r="U18" s="30"/>
      <c r="V18" s="31"/>
    </row>
    <row r="19" spans="1:22">
      <c r="A19" s="1" t="s">
        <v>32</v>
      </c>
      <c r="B19" s="29">
        <v>0</v>
      </c>
      <c r="C19" s="30">
        <v>0</v>
      </c>
      <c r="D19" s="30">
        <v>0</v>
      </c>
      <c r="E19" s="30">
        <v>0</v>
      </c>
      <c r="F19" s="30">
        <v>0</v>
      </c>
      <c r="G19" s="31">
        <f>SUM(IL_FINANCIAL)</f>
        <v>0</v>
      </c>
      <c r="H19" s="30"/>
      <c r="I19" s="34" t="s">
        <v>33</v>
      </c>
      <c r="J19" s="35">
        <v>100737</v>
      </c>
      <c r="K19" s="30"/>
      <c r="L19" s="29"/>
      <c r="M19" s="30"/>
      <c r="N19" s="30"/>
      <c r="O19" s="30"/>
      <c r="P19" s="30"/>
      <c r="Q19" s="30"/>
      <c r="R19" s="30"/>
      <c r="S19" s="30"/>
      <c r="T19" s="30"/>
      <c r="U19" s="30"/>
      <c r="V19" s="31"/>
    </row>
    <row r="20" spans="1:22">
      <c r="A20" s="1" t="s">
        <v>34</v>
      </c>
      <c r="B20" s="29">
        <v>90838.748029214039</v>
      </c>
      <c r="C20" s="30">
        <v>6713651.2589916885</v>
      </c>
      <c r="D20" s="30">
        <v>0</v>
      </c>
      <c r="E20" s="30">
        <v>0</v>
      </c>
      <c r="F20" s="30">
        <v>0</v>
      </c>
      <c r="G20" s="31">
        <f>SUM(IN_FINANCIAL)</f>
        <v>6804490.0070209028</v>
      </c>
      <c r="H20" s="30"/>
      <c r="I20" s="34" t="s">
        <v>35</v>
      </c>
      <c r="J20" s="35">
        <v>3944359</v>
      </c>
      <c r="K20" s="30"/>
      <c r="L20" s="29">
        <v>0</v>
      </c>
      <c r="M20" s="30">
        <v>0</v>
      </c>
      <c r="N20" s="30"/>
      <c r="O20" s="30">
        <v>0</v>
      </c>
      <c r="P20" s="30">
        <v>0</v>
      </c>
      <c r="Q20" s="30"/>
      <c r="R20" s="30">
        <v>0</v>
      </c>
      <c r="S20" s="30">
        <v>0</v>
      </c>
      <c r="T20" s="30"/>
      <c r="U20" s="30">
        <v>0</v>
      </c>
      <c r="V20" s="31">
        <v>0</v>
      </c>
    </row>
    <row r="21" spans="1:22">
      <c r="A21" s="1" t="s">
        <v>36</v>
      </c>
      <c r="B21" s="29">
        <v>598614.79795605503</v>
      </c>
      <c r="C21" s="30">
        <v>5443441.3321519922</v>
      </c>
      <c r="D21" s="30">
        <v>0</v>
      </c>
      <c r="E21" s="30">
        <v>0</v>
      </c>
      <c r="F21" s="30">
        <v>0</v>
      </c>
      <c r="G21" s="31">
        <f>SUM(IA_FINANCIAL)</f>
        <v>6042056.1301080473</v>
      </c>
      <c r="H21" s="30"/>
      <c r="I21" s="34" t="s">
        <v>37</v>
      </c>
      <c r="J21" s="35"/>
      <c r="K21" s="30"/>
      <c r="L21" s="29">
        <v>811575</v>
      </c>
      <c r="M21" s="30">
        <v>0</v>
      </c>
      <c r="N21" s="30"/>
      <c r="O21" s="30">
        <v>8763450</v>
      </c>
      <c r="P21" s="30">
        <v>0</v>
      </c>
      <c r="Q21" s="30"/>
      <c r="R21" s="30">
        <v>0</v>
      </c>
      <c r="S21" s="30">
        <v>0</v>
      </c>
      <c r="T21" s="30"/>
      <c r="U21" s="30">
        <v>0</v>
      </c>
      <c r="V21" s="31">
        <v>0</v>
      </c>
    </row>
    <row r="22" spans="1:22">
      <c r="A22" s="1" t="s">
        <v>38</v>
      </c>
      <c r="B22" s="29">
        <v>37332.913626149166</v>
      </c>
      <c r="C22" s="30">
        <v>798820.64347751439</v>
      </c>
      <c r="D22" s="30">
        <v>0</v>
      </c>
      <c r="E22" s="30">
        <v>0</v>
      </c>
      <c r="F22" s="30">
        <v>0</v>
      </c>
      <c r="G22" s="31">
        <f>SUM(KS_FINANCIAL)</f>
        <v>836153.55710366357</v>
      </c>
      <c r="H22" s="30"/>
      <c r="I22" s="34" t="s">
        <v>39</v>
      </c>
      <c r="J22" s="35">
        <v>17758201</v>
      </c>
      <c r="K22" s="30"/>
      <c r="L22" s="29">
        <v>0</v>
      </c>
      <c r="M22" s="30">
        <v>0</v>
      </c>
      <c r="N22" s="30"/>
      <c r="O22" s="30">
        <v>1150000</v>
      </c>
      <c r="P22" s="30">
        <v>0</v>
      </c>
      <c r="Q22" s="30"/>
      <c r="R22" s="30">
        <v>0</v>
      </c>
      <c r="S22" s="30">
        <v>0</v>
      </c>
      <c r="T22" s="30"/>
      <c r="U22" s="30">
        <v>0</v>
      </c>
      <c r="V22" s="31">
        <v>0</v>
      </c>
    </row>
    <row r="23" spans="1:22">
      <c r="A23" s="1" t="s">
        <v>40</v>
      </c>
      <c r="B23" s="29">
        <v>0</v>
      </c>
      <c r="C23" s="30">
        <v>0</v>
      </c>
      <c r="D23" s="30">
        <v>0</v>
      </c>
      <c r="E23" s="30">
        <v>0</v>
      </c>
      <c r="F23" s="30">
        <v>0</v>
      </c>
      <c r="G23" s="31">
        <f>SUM(KY_FINANCIAL)</f>
        <v>0</v>
      </c>
      <c r="H23" s="30"/>
      <c r="I23" s="34" t="s">
        <v>41</v>
      </c>
      <c r="J23" s="35"/>
      <c r="K23" s="30"/>
      <c r="L23" s="29"/>
      <c r="M23" s="30"/>
      <c r="N23" s="30"/>
      <c r="O23" s="30"/>
      <c r="P23" s="30"/>
      <c r="Q23" s="30"/>
      <c r="R23" s="30"/>
      <c r="S23" s="30"/>
      <c r="T23" s="30"/>
      <c r="U23" s="30"/>
      <c r="V23" s="31"/>
    </row>
    <row r="24" spans="1:22">
      <c r="A24" s="1" t="s">
        <v>42</v>
      </c>
      <c r="B24" s="29">
        <v>35933.322059347149</v>
      </c>
      <c r="C24" s="30">
        <v>3423349.8954660175</v>
      </c>
      <c r="D24" s="30">
        <v>0</v>
      </c>
      <c r="E24" s="30">
        <v>0</v>
      </c>
      <c r="F24" s="30">
        <v>0</v>
      </c>
      <c r="G24" s="31">
        <f>SUM(LA_FINANCIAL)</f>
        <v>3459283.2175253648</v>
      </c>
      <c r="H24" s="30"/>
      <c r="I24" s="34" t="s">
        <v>43</v>
      </c>
      <c r="J24" s="35">
        <v>252441563.20665845</v>
      </c>
      <c r="K24" s="30"/>
      <c r="L24" s="29">
        <v>137291</v>
      </c>
      <c r="M24" s="30">
        <v>0</v>
      </c>
      <c r="N24" s="30"/>
      <c r="O24" s="30">
        <v>7008009</v>
      </c>
      <c r="P24" s="30">
        <v>0</v>
      </c>
      <c r="Q24" s="30"/>
      <c r="R24" s="30">
        <v>0</v>
      </c>
      <c r="S24" s="30">
        <v>0</v>
      </c>
      <c r="T24" s="30"/>
      <c r="U24" s="30">
        <v>0</v>
      </c>
      <c r="V24" s="31">
        <v>0</v>
      </c>
    </row>
    <row r="25" spans="1:22">
      <c r="A25" s="1" t="s">
        <v>44</v>
      </c>
      <c r="B25" s="29">
        <v>0</v>
      </c>
      <c r="C25" s="30">
        <v>0</v>
      </c>
      <c r="D25" s="30">
        <v>0</v>
      </c>
      <c r="E25" s="30">
        <v>0</v>
      </c>
      <c r="F25" s="30">
        <v>0</v>
      </c>
      <c r="G25" s="31">
        <f>SUM(ME_FINANCIAL)</f>
        <v>0</v>
      </c>
      <c r="H25" s="30"/>
      <c r="I25" s="34"/>
      <c r="J25" s="35"/>
      <c r="K25" s="30"/>
      <c r="L25" s="29"/>
      <c r="M25" s="30"/>
      <c r="N25" s="30"/>
      <c r="O25" s="30"/>
      <c r="P25" s="30"/>
      <c r="Q25" s="30"/>
      <c r="R25" s="30"/>
      <c r="S25" s="30"/>
      <c r="T25" s="30"/>
      <c r="U25" s="30"/>
      <c r="V25" s="31"/>
    </row>
    <row r="26" spans="1:22">
      <c r="A26" s="1" t="s">
        <v>45</v>
      </c>
      <c r="B26" s="29">
        <v>0</v>
      </c>
      <c r="C26" s="30">
        <v>0</v>
      </c>
      <c r="D26" s="30">
        <v>0</v>
      </c>
      <c r="E26" s="30">
        <v>0</v>
      </c>
      <c r="F26" s="30">
        <v>0</v>
      </c>
      <c r="G26" s="31">
        <f>SUM(MD_FINANCIAL)</f>
        <v>0</v>
      </c>
      <c r="H26" s="30"/>
      <c r="I26" s="34" t="s">
        <v>46</v>
      </c>
      <c r="J26" s="35">
        <f>SUM(ADD_FINANCIAL)-SUM(LESS_FINANCIAL)</f>
        <v>151612141.98532987</v>
      </c>
      <c r="K26" s="30"/>
      <c r="L26" s="29"/>
      <c r="M26" s="30"/>
      <c r="N26" s="30"/>
      <c r="O26" s="30"/>
      <c r="P26" s="30"/>
      <c r="Q26" s="30"/>
      <c r="R26" s="30"/>
      <c r="S26" s="30"/>
      <c r="T26" s="30"/>
      <c r="U26" s="30"/>
      <c r="V26" s="31"/>
    </row>
    <row r="27" spans="1:22">
      <c r="A27" s="1" t="s">
        <v>47</v>
      </c>
      <c r="B27" s="29">
        <v>0</v>
      </c>
      <c r="C27" s="30">
        <v>0</v>
      </c>
      <c r="D27" s="30">
        <v>0</v>
      </c>
      <c r="E27" s="30">
        <v>0</v>
      </c>
      <c r="F27" s="30">
        <v>0</v>
      </c>
      <c r="G27" s="31">
        <f>SUM(MA_FINANCIAL)</f>
        <v>0</v>
      </c>
      <c r="H27" s="30"/>
      <c r="I27" s="34" t="s">
        <v>48</v>
      </c>
      <c r="J27" s="35">
        <f>SUM(ALL_BLOCKS)</f>
        <v>151612141.98532996</v>
      </c>
      <c r="K27" s="30"/>
      <c r="L27" s="29"/>
      <c r="M27" s="30"/>
      <c r="N27" s="30"/>
      <c r="O27" s="30"/>
      <c r="P27" s="30"/>
      <c r="Q27" s="30"/>
      <c r="R27" s="30"/>
      <c r="S27" s="30"/>
      <c r="T27" s="30"/>
      <c r="U27" s="30"/>
      <c r="V27" s="31"/>
    </row>
    <row r="28" spans="1:22">
      <c r="A28" s="1" t="s">
        <v>49</v>
      </c>
      <c r="B28" s="29">
        <v>931157.86373143503</v>
      </c>
      <c r="C28" s="30">
        <v>26667877.702240936</v>
      </c>
      <c r="D28" s="30">
        <v>0</v>
      </c>
      <c r="E28" s="30">
        <v>0</v>
      </c>
      <c r="F28" s="30">
        <v>0</v>
      </c>
      <c r="G28" s="31">
        <f>SUM(MI_FINANCIAL)</f>
        <v>27599035.565972373</v>
      </c>
      <c r="H28" s="30"/>
      <c r="I28" s="36"/>
      <c r="J28" s="37"/>
      <c r="K28" s="30"/>
      <c r="L28" s="29">
        <v>2450000</v>
      </c>
      <c r="M28" s="30">
        <v>0</v>
      </c>
      <c r="N28" s="30"/>
      <c r="O28" s="30">
        <v>37500000</v>
      </c>
      <c r="P28" s="30">
        <v>5992034</v>
      </c>
      <c r="Q28" s="30"/>
      <c r="R28" s="30">
        <v>0</v>
      </c>
      <c r="S28" s="30">
        <v>0</v>
      </c>
      <c r="T28" s="30"/>
      <c r="U28" s="30">
        <v>0</v>
      </c>
      <c r="V28" s="31">
        <v>0</v>
      </c>
    </row>
    <row r="29" spans="1:22">
      <c r="A29" s="1" t="s">
        <v>50</v>
      </c>
      <c r="B29" s="29">
        <v>0</v>
      </c>
      <c r="C29" s="30">
        <v>0</v>
      </c>
      <c r="D29" s="30">
        <v>0</v>
      </c>
      <c r="E29" s="30">
        <v>0</v>
      </c>
      <c r="F29" s="30">
        <v>0</v>
      </c>
      <c r="G29" s="31">
        <f>SUM(MN_FINANCIAL)</f>
        <v>0</v>
      </c>
      <c r="H29" s="30"/>
      <c r="I29" s="30"/>
      <c r="J29" s="30"/>
      <c r="K29" s="30"/>
      <c r="L29" s="29"/>
      <c r="M29" s="30"/>
      <c r="N29" s="30"/>
      <c r="O29" s="30"/>
      <c r="P29" s="30"/>
      <c r="Q29" s="30"/>
      <c r="R29" s="30"/>
      <c r="S29" s="30"/>
      <c r="T29" s="30"/>
      <c r="U29" s="30"/>
      <c r="V29" s="31"/>
    </row>
    <row r="30" spans="1:22">
      <c r="A30" s="1" t="s">
        <v>51</v>
      </c>
      <c r="B30" s="29">
        <v>6548.9650982554303</v>
      </c>
      <c r="C30" s="30">
        <v>3147187.576583772</v>
      </c>
      <c r="D30" s="30">
        <v>0</v>
      </c>
      <c r="E30" s="30">
        <v>0</v>
      </c>
      <c r="F30" s="30">
        <v>0</v>
      </c>
      <c r="G30" s="31">
        <f>SUM(MS_FINANCIAL)</f>
        <v>3153736.5416820273</v>
      </c>
      <c r="H30" s="30"/>
      <c r="I30" s="30"/>
      <c r="J30" s="30"/>
      <c r="K30" s="30"/>
      <c r="L30" s="29">
        <v>3954136</v>
      </c>
      <c r="M30" s="30">
        <v>0</v>
      </c>
      <c r="N30" s="30"/>
      <c r="O30" s="30">
        <v>3293237</v>
      </c>
      <c r="P30" s="30">
        <v>0</v>
      </c>
      <c r="Q30" s="30"/>
      <c r="R30" s="30">
        <v>0</v>
      </c>
      <c r="S30" s="30">
        <v>0</v>
      </c>
      <c r="T30" s="30"/>
      <c r="U30" s="30">
        <v>1549049</v>
      </c>
      <c r="V30" s="31">
        <v>0</v>
      </c>
    </row>
    <row r="31" spans="1:22">
      <c r="A31" s="1" t="s">
        <v>52</v>
      </c>
      <c r="B31" s="29">
        <v>78344.516179860977</v>
      </c>
      <c r="C31" s="30">
        <v>1719700.7003666786</v>
      </c>
      <c r="D31" s="30">
        <v>0</v>
      </c>
      <c r="E31" s="30">
        <v>0</v>
      </c>
      <c r="F31" s="30">
        <v>0</v>
      </c>
      <c r="G31" s="31">
        <f>SUM(MO_FINANCIAL)</f>
        <v>1798045.2165465397</v>
      </c>
      <c r="H31" s="30"/>
      <c r="I31" s="30"/>
      <c r="J31" s="30"/>
      <c r="K31" s="30"/>
      <c r="L31" s="29">
        <v>290680</v>
      </c>
      <c r="M31" s="30">
        <v>0</v>
      </c>
      <c r="N31" s="30"/>
      <c r="O31" s="30">
        <v>4195650</v>
      </c>
      <c r="P31" s="30">
        <v>0</v>
      </c>
      <c r="Q31" s="30"/>
      <c r="R31" s="30">
        <v>0</v>
      </c>
      <c r="S31" s="30">
        <v>0</v>
      </c>
      <c r="T31" s="30"/>
      <c r="U31" s="30">
        <v>0</v>
      </c>
      <c r="V31" s="31">
        <v>0</v>
      </c>
    </row>
    <row r="32" spans="1:22">
      <c r="A32" s="1" t="s">
        <v>53</v>
      </c>
      <c r="B32" s="29">
        <v>0</v>
      </c>
      <c r="C32" s="30">
        <v>-9592.6544949604613</v>
      </c>
      <c r="D32" s="30">
        <v>0</v>
      </c>
      <c r="E32" s="30">
        <v>0</v>
      </c>
      <c r="F32" s="30">
        <v>0</v>
      </c>
      <c r="G32" s="31">
        <f>SUM(MT_FINANCIAL)</f>
        <v>-9592.6544949604613</v>
      </c>
      <c r="H32" s="30"/>
      <c r="I32" s="30"/>
      <c r="J32" s="30"/>
      <c r="K32" s="30"/>
      <c r="L32" s="29"/>
      <c r="M32" s="30"/>
      <c r="N32" s="30"/>
      <c r="O32" s="30"/>
      <c r="P32" s="30"/>
      <c r="Q32" s="30"/>
      <c r="R32" s="30"/>
      <c r="S32" s="30"/>
      <c r="T32" s="30"/>
      <c r="U32" s="30"/>
      <c r="V32" s="31"/>
    </row>
    <row r="33" spans="1:22">
      <c r="A33" s="1" t="s">
        <v>54</v>
      </c>
      <c r="B33" s="29">
        <v>133910.66351730714</v>
      </c>
      <c r="C33" s="30">
        <v>2245094.504994791</v>
      </c>
      <c r="D33" s="30">
        <v>0</v>
      </c>
      <c r="E33" s="30">
        <v>0</v>
      </c>
      <c r="F33" s="30">
        <v>0</v>
      </c>
      <c r="G33" s="31">
        <f>SUM(NE_FINANCIAL)</f>
        <v>2379005.168512098</v>
      </c>
      <c r="H33" s="30"/>
      <c r="I33" s="30"/>
      <c r="J33" s="30"/>
      <c r="K33" s="30"/>
      <c r="L33" s="29">
        <v>206913</v>
      </c>
      <c r="M33" s="30">
        <v>0</v>
      </c>
      <c r="N33" s="30"/>
      <c r="O33" s="30">
        <v>3856826</v>
      </c>
      <c r="P33" s="30">
        <v>0</v>
      </c>
      <c r="Q33" s="30"/>
      <c r="R33" s="30">
        <v>0</v>
      </c>
      <c r="S33" s="30">
        <v>0</v>
      </c>
      <c r="T33" s="30"/>
      <c r="U33" s="30">
        <v>0</v>
      </c>
      <c r="V33" s="31">
        <v>0</v>
      </c>
    </row>
    <row r="34" spans="1:22">
      <c r="A34" s="1" t="s">
        <v>55</v>
      </c>
      <c r="B34" s="29">
        <v>0</v>
      </c>
      <c r="C34" s="30">
        <v>0</v>
      </c>
      <c r="D34" s="30">
        <v>0</v>
      </c>
      <c r="E34" s="30">
        <v>0</v>
      </c>
      <c r="F34" s="30">
        <v>0</v>
      </c>
      <c r="G34" s="31">
        <f>SUM(NV_FINANCIAL)</f>
        <v>0</v>
      </c>
      <c r="H34" s="30"/>
      <c r="I34" s="30"/>
      <c r="J34" s="30"/>
      <c r="K34" s="30"/>
      <c r="L34" s="29"/>
      <c r="M34" s="30"/>
      <c r="N34" s="30"/>
      <c r="O34" s="30"/>
      <c r="P34" s="30"/>
      <c r="Q34" s="30"/>
      <c r="R34" s="30"/>
      <c r="S34" s="30"/>
      <c r="T34" s="30"/>
      <c r="U34" s="30"/>
      <c r="V34" s="31"/>
    </row>
    <row r="35" spans="1:22">
      <c r="A35" s="1" t="s">
        <v>56</v>
      </c>
      <c r="B35" s="29">
        <v>0</v>
      </c>
      <c r="C35" s="30">
        <v>0</v>
      </c>
      <c r="D35" s="30">
        <v>0</v>
      </c>
      <c r="E35" s="30">
        <v>0</v>
      </c>
      <c r="F35" s="30">
        <v>0</v>
      </c>
      <c r="G35" s="31">
        <f>SUM(NH_FINANCIAL)</f>
        <v>0</v>
      </c>
      <c r="H35" s="30"/>
      <c r="I35" s="30"/>
      <c r="J35" s="30"/>
      <c r="K35" s="30"/>
      <c r="L35" s="29"/>
      <c r="M35" s="30"/>
      <c r="N35" s="30"/>
      <c r="O35" s="30"/>
      <c r="P35" s="30"/>
      <c r="Q35" s="30"/>
      <c r="R35" s="30"/>
      <c r="S35" s="30"/>
      <c r="T35" s="30"/>
      <c r="U35" s="30"/>
      <c r="V35" s="31"/>
    </row>
    <row r="36" spans="1:22">
      <c r="A36" s="1" t="s">
        <v>57</v>
      </c>
      <c r="B36" s="29">
        <v>0</v>
      </c>
      <c r="C36" s="30">
        <v>0</v>
      </c>
      <c r="D36" s="30">
        <v>0</v>
      </c>
      <c r="E36" s="30">
        <v>0</v>
      </c>
      <c r="F36" s="30">
        <v>0</v>
      </c>
      <c r="G36" s="31">
        <f>SUM(NJ_FINANCIAL)</f>
        <v>0</v>
      </c>
      <c r="H36" s="30"/>
      <c r="I36" s="30"/>
      <c r="J36" s="30"/>
      <c r="K36" s="30"/>
      <c r="L36" s="29"/>
      <c r="M36" s="30"/>
      <c r="N36" s="30"/>
      <c r="O36" s="30"/>
      <c r="P36" s="30"/>
      <c r="Q36" s="30"/>
      <c r="R36" s="30"/>
      <c r="S36" s="30"/>
      <c r="T36" s="30"/>
      <c r="U36" s="30"/>
      <c r="V36" s="31"/>
    </row>
    <row r="37" spans="1:22">
      <c r="A37" s="1" t="s">
        <v>58</v>
      </c>
      <c r="B37" s="29">
        <v>-3274.6560650683714</v>
      </c>
      <c r="C37" s="30">
        <v>-19745.566694592955</v>
      </c>
      <c r="D37" s="30">
        <v>0</v>
      </c>
      <c r="E37" s="30">
        <v>0</v>
      </c>
      <c r="F37" s="30">
        <v>0</v>
      </c>
      <c r="G37" s="31">
        <f>SUM(NM_FINANCIAL)</f>
        <v>-23020.222759661327</v>
      </c>
      <c r="H37" s="30"/>
      <c r="I37" s="30"/>
      <c r="J37" s="30"/>
      <c r="K37" s="30"/>
      <c r="L37" s="29">
        <v>0</v>
      </c>
      <c r="M37" s="30">
        <v>0</v>
      </c>
      <c r="N37" s="30"/>
      <c r="O37" s="30">
        <v>90000</v>
      </c>
      <c r="P37" s="30">
        <v>0</v>
      </c>
      <c r="Q37" s="30"/>
      <c r="R37" s="30">
        <v>0</v>
      </c>
      <c r="S37" s="30">
        <v>0</v>
      </c>
      <c r="T37" s="30"/>
      <c r="U37" s="30">
        <v>0</v>
      </c>
      <c r="V37" s="31">
        <v>0</v>
      </c>
    </row>
    <row r="38" spans="1:22">
      <c r="A38" s="1" t="s">
        <v>59</v>
      </c>
      <c r="B38" s="29">
        <v>0</v>
      </c>
      <c r="C38" s="30">
        <v>0</v>
      </c>
      <c r="D38" s="30">
        <v>0</v>
      </c>
      <c r="E38" s="30">
        <v>0</v>
      </c>
      <c r="F38" s="30">
        <v>0</v>
      </c>
      <c r="G38" s="31">
        <f>SUM(NY_FINANCIAL)</f>
        <v>0</v>
      </c>
      <c r="H38" s="30"/>
      <c r="I38" s="30"/>
      <c r="J38" s="30"/>
      <c r="K38" s="30"/>
      <c r="L38" s="29"/>
      <c r="M38" s="30"/>
      <c r="N38" s="30"/>
      <c r="O38" s="30"/>
      <c r="P38" s="30"/>
      <c r="Q38" s="30"/>
      <c r="R38" s="30"/>
      <c r="S38" s="30"/>
      <c r="T38" s="30"/>
      <c r="U38" s="30"/>
      <c r="V38" s="31"/>
    </row>
    <row r="39" spans="1:22">
      <c r="A39" s="1" t="s">
        <v>60</v>
      </c>
      <c r="B39" s="29">
        <v>0</v>
      </c>
      <c r="C39" s="30">
        <v>0</v>
      </c>
      <c r="D39" s="30">
        <v>0</v>
      </c>
      <c r="E39" s="30">
        <v>0</v>
      </c>
      <c r="F39" s="30">
        <v>0</v>
      </c>
      <c r="G39" s="31">
        <f>SUM(NC_FINANCIAL)</f>
        <v>0</v>
      </c>
      <c r="H39" s="30"/>
      <c r="I39" s="30"/>
      <c r="J39" s="30"/>
      <c r="K39" s="30"/>
      <c r="L39" s="29"/>
      <c r="M39" s="30"/>
      <c r="N39" s="30"/>
      <c r="O39" s="30"/>
      <c r="P39" s="30"/>
      <c r="Q39" s="30"/>
      <c r="R39" s="30"/>
      <c r="S39" s="30"/>
      <c r="T39" s="30"/>
      <c r="U39" s="30"/>
      <c r="V39" s="31"/>
    </row>
    <row r="40" spans="1:22">
      <c r="A40" s="1" t="s">
        <v>61</v>
      </c>
      <c r="B40" s="29">
        <v>0</v>
      </c>
      <c r="C40" s="30">
        <v>70572.056526183573</v>
      </c>
      <c r="D40" s="30">
        <v>0</v>
      </c>
      <c r="E40" s="30">
        <v>0</v>
      </c>
      <c r="F40" s="30">
        <v>0</v>
      </c>
      <c r="G40" s="31">
        <f>SUM(ND_FINANCIAL)</f>
        <v>70572.056526183573</v>
      </c>
      <c r="H40" s="30"/>
      <c r="I40" s="30"/>
      <c r="J40" s="30"/>
      <c r="K40" s="30"/>
      <c r="L40" s="29">
        <v>0</v>
      </c>
      <c r="M40" s="30">
        <v>0</v>
      </c>
      <c r="N40" s="30"/>
      <c r="O40" s="30">
        <v>105700</v>
      </c>
      <c r="P40" s="30">
        <v>0</v>
      </c>
      <c r="Q40" s="30"/>
      <c r="R40" s="30">
        <v>0</v>
      </c>
      <c r="S40" s="30">
        <v>0</v>
      </c>
      <c r="T40" s="30"/>
      <c r="U40" s="30">
        <v>0</v>
      </c>
      <c r="V40" s="31">
        <v>0</v>
      </c>
    </row>
    <row r="41" spans="1:22">
      <c r="A41" s="1" t="s">
        <v>62</v>
      </c>
      <c r="B41" s="29">
        <v>0</v>
      </c>
      <c r="C41" s="30">
        <v>0</v>
      </c>
      <c r="D41" s="30">
        <v>0</v>
      </c>
      <c r="E41" s="30">
        <v>0</v>
      </c>
      <c r="F41" s="30">
        <v>0</v>
      </c>
      <c r="G41" s="31">
        <f>SUM(OH_FINANCIAL)</f>
        <v>0</v>
      </c>
      <c r="H41" s="30"/>
      <c r="I41" s="30"/>
      <c r="J41" s="30"/>
      <c r="K41" s="30"/>
      <c r="L41" s="29"/>
      <c r="M41" s="30"/>
      <c r="N41" s="30"/>
      <c r="O41" s="30"/>
      <c r="P41" s="30"/>
      <c r="Q41" s="30"/>
      <c r="R41" s="30"/>
      <c r="S41" s="30"/>
      <c r="T41" s="30"/>
      <c r="U41" s="30"/>
      <c r="V41" s="31"/>
    </row>
    <row r="42" spans="1:22">
      <c r="A42" s="1" t="s">
        <v>63</v>
      </c>
      <c r="B42" s="29">
        <v>0</v>
      </c>
      <c r="C42" s="30">
        <v>0</v>
      </c>
      <c r="D42" s="30">
        <v>0</v>
      </c>
      <c r="E42" s="30">
        <v>0</v>
      </c>
      <c r="F42" s="30">
        <v>0</v>
      </c>
      <c r="G42" s="31">
        <f>SUM(OK_FINANCIAL)</f>
        <v>0</v>
      </c>
      <c r="H42" s="30"/>
      <c r="I42" s="30"/>
      <c r="J42" s="30"/>
      <c r="K42" s="30"/>
      <c r="L42" s="29"/>
      <c r="M42" s="30"/>
      <c r="N42" s="30"/>
      <c r="O42" s="30"/>
      <c r="P42" s="30"/>
      <c r="Q42" s="30"/>
      <c r="R42" s="30"/>
      <c r="S42" s="30"/>
      <c r="T42" s="30"/>
      <c r="U42" s="30"/>
      <c r="V42" s="31"/>
    </row>
    <row r="43" spans="1:22">
      <c r="A43" s="1" t="s">
        <v>64</v>
      </c>
      <c r="B43" s="29">
        <v>0</v>
      </c>
      <c r="C43" s="30">
        <v>0</v>
      </c>
      <c r="D43" s="30">
        <v>0</v>
      </c>
      <c r="E43" s="30">
        <v>0</v>
      </c>
      <c r="F43" s="30">
        <v>0</v>
      </c>
      <c r="G43" s="31">
        <f>SUM(OR_FINANCIAL)</f>
        <v>0</v>
      </c>
      <c r="H43" s="30"/>
      <c r="I43" s="30"/>
      <c r="J43" s="30"/>
      <c r="K43" s="30"/>
      <c r="L43" s="29"/>
      <c r="M43" s="30"/>
      <c r="N43" s="30"/>
      <c r="O43" s="30"/>
      <c r="P43" s="30"/>
      <c r="Q43" s="30"/>
      <c r="R43" s="30"/>
      <c r="S43" s="30"/>
      <c r="T43" s="30"/>
      <c r="U43" s="30"/>
      <c r="V43" s="31"/>
    </row>
    <row r="44" spans="1:22">
      <c r="A44" s="1" t="s">
        <v>65</v>
      </c>
      <c r="B44" s="29">
        <v>0</v>
      </c>
      <c r="C44" s="30">
        <v>0</v>
      </c>
      <c r="D44" s="30">
        <v>0</v>
      </c>
      <c r="E44" s="30">
        <v>0</v>
      </c>
      <c r="F44" s="30">
        <v>0</v>
      </c>
      <c r="G44" s="31">
        <f>SUM(PA_FINANCIAL)</f>
        <v>0</v>
      </c>
      <c r="H44" s="30"/>
      <c r="I44" s="30"/>
      <c r="J44" s="30"/>
      <c r="K44" s="30"/>
      <c r="L44" s="29"/>
      <c r="M44" s="30"/>
      <c r="N44" s="30"/>
      <c r="O44" s="30"/>
      <c r="P44" s="30"/>
      <c r="Q44" s="30"/>
      <c r="R44" s="30"/>
      <c r="S44" s="30"/>
      <c r="T44" s="30"/>
      <c r="U44" s="30"/>
      <c r="V44" s="31"/>
    </row>
    <row r="45" spans="1:22">
      <c r="A45" s="1" t="s">
        <v>66</v>
      </c>
      <c r="B45" s="29">
        <v>0</v>
      </c>
      <c r="C45" s="30">
        <v>0</v>
      </c>
      <c r="D45" s="30">
        <v>0</v>
      </c>
      <c r="E45" s="30">
        <v>0</v>
      </c>
      <c r="F45" s="30">
        <v>0</v>
      </c>
      <c r="G45" s="31">
        <f>SUM(PR_FINANCIAL)</f>
        <v>0</v>
      </c>
      <c r="H45" s="30"/>
      <c r="I45" s="30"/>
      <c r="J45" s="30"/>
      <c r="K45" s="30"/>
      <c r="L45" s="29"/>
      <c r="M45" s="30"/>
      <c r="N45" s="30"/>
      <c r="O45" s="30"/>
      <c r="P45" s="30"/>
      <c r="Q45" s="30"/>
      <c r="R45" s="30"/>
      <c r="S45" s="30"/>
      <c r="T45" s="30"/>
      <c r="U45" s="30"/>
      <c r="V45" s="31"/>
    </row>
    <row r="46" spans="1:22">
      <c r="A46" s="1" t="s">
        <v>67</v>
      </c>
      <c r="B46" s="29">
        <v>0</v>
      </c>
      <c r="C46" s="30">
        <v>0</v>
      </c>
      <c r="D46" s="30">
        <v>0</v>
      </c>
      <c r="E46" s="30">
        <v>0</v>
      </c>
      <c r="F46" s="30">
        <v>0</v>
      </c>
      <c r="G46" s="31">
        <f>SUM(RI_FINANCIAL)</f>
        <v>0</v>
      </c>
      <c r="H46" s="30"/>
      <c r="I46" s="30"/>
      <c r="J46" s="30"/>
      <c r="K46" s="30"/>
      <c r="L46" s="29"/>
      <c r="M46" s="30"/>
      <c r="N46" s="30"/>
      <c r="O46" s="30"/>
      <c r="P46" s="30"/>
      <c r="Q46" s="30"/>
      <c r="R46" s="30"/>
      <c r="S46" s="30"/>
      <c r="T46" s="30"/>
      <c r="U46" s="30"/>
      <c r="V46" s="31"/>
    </row>
    <row r="47" spans="1:22">
      <c r="A47" s="1" t="s">
        <v>68</v>
      </c>
      <c r="B47" s="29">
        <v>19947.493381974171</v>
      </c>
      <c r="C47" s="30">
        <v>37429.118567517318</v>
      </c>
      <c r="D47" s="30">
        <v>0</v>
      </c>
      <c r="E47" s="30">
        <v>0</v>
      </c>
      <c r="F47" s="30">
        <v>0</v>
      </c>
      <c r="G47" s="31">
        <f>SUM(SC_FINANCIAL)</f>
        <v>57376.611949491489</v>
      </c>
      <c r="H47" s="30"/>
      <c r="I47" s="30"/>
      <c r="J47" s="30"/>
      <c r="K47" s="30"/>
      <c r="L47" s="29"/>
      <c r="M47" s="30"/>
      <c r="N47" s="30"/>
      <c r="O47" s="30"/>
      <c r="P47" s="30"/>
      <c r="Q47" s="30"/>
      <c r="R47" s="30"/>
      <c r="S47" s="30"/>
      <c r="T47" s="30"/>
      <c r="U47" s="30"/>
      <c r="V47" s="31"/>
    </row>
    <row r="48" spans="1:22">
      <c r="A48" s="1" t="s">
        <v>69</v>
      </c>
      <c r="B48" s="29">
        <v>0</v>
      </c>
      <c r="C48" s="30">
        <v>49273.330930765456</v>
      </c>
      <c r="D48" s="30">
        <v>0</v>
      </c>
      <c r="E48" s="30">
        <v>0</v>
      </c>
      <c r="F48" s="30">
        <v>0</v>
      </c>
      <c r="G48" s="31">
        <f>SUM(SD_FINANCIAL)</f>
        <v>49273.330930765456</v>
      </c>
      <c r="H48" s="30"/>
      <c r="I48" s="30"/>
      <c r="J48" s="30"/>
      <c r="K48" s="30"/>
      <c r="L48" s="29">
        <v>0</v>
      </c>
      <c r="M48" s="30">
        <v>0</v>
      </c>
      <c r="N48" s="30"/>
      <c r="O48" s="30">
        <v>122999</v>
      </c>
      <c r="P48" s="30">
        <v>0</v>
      </c>
      <c r="Q48" s="30"/>
      <c r="R48" s="30">
        <v>0</v>
      </c>
      <c r="S48" s="30">
        <v>0</v>
      </c>
      <c r="T48" s="30"/>
      <c r="U48" s="30">
        <v>0</v>
      </c>
      <c r="V48" s="31">
        <v>0</v>
      </c>
    </row>
    <row r="49" spans="1:22">
      <c r="A49" s="1" t="s">
        <v>70</v>
      </c>
      <c r="B49" s="29">
        <v>106031.51849137113</v>
      </c>
      <c r="C49" s="30">
        <v>7963326.4916097671</v>
      </c>
      <c r="D49" s="30">
        <v>0</v>
      </c>
      <c r="E49" s="30">
        <v>0</v>
      </c>
      <c r="F49" s="30">
        <v>0</v>
      </c>
      <c r="G49" s="31">
        <f>SUM(TN_FINANCIAL)</f>
        <v>8069358.0101011386</v>
      </c>
      <c r="H49" s="30"/>
      <c r="I49" s="30"/>
      <c r="J49" s="30"/>
      <c r="K49" s="30"/>
      <c r="L49" s="29">
        <v>275000</v>
      </c>
      <c r="M49" s="30">
        <v>0</v>
      </c>
      <c r="N49" s="30"/>
      <c r="O49" s="30">
        <v>22000000</v>
      </c>
      <c r="P49" s="30">
        <v>0</v>
      </c>
      <c r="Q49" s="30"/>
      <c r="R49" s="30">
        <v>0</v>
      </c>
      <c r="S49" s="30">
        <v>0</v>
      </c>
      <c r="T49" s="30"/>
      <c r="U49" s="30">
        <v>0</v>
      </c>
      <c r="V49" s="31">
        <v>0</v>
      </c>
    </row>
    <row r="50" spans="1:22">
      <c r="A50" s="1" t="s">
        <v>71</v>
      </c>
      <c r="B50" s="29">
        <v>336469.75436570356</v>
      </c>
      <c r="C50" s="30">
        <v>24628659.884565048</v>
      </c>
      <c r="D50" s="30">
        <v>0</v>
      </c>
      <c r="E50" s="30">
        <v>0</v>
      </c>
      <c r="F50" s="30">
        <v>0</v>
      </c>
      <c r="G50" s="31">
        <f>SUM(TX_FINANCIAL)</f>
        <v>24965129.638930753</v>
      </c>
      <c r="H50" s="30"/>
      <c r="I50" s="30"/>
      <c r="J50" s="30"/>
      <c r="K50" s="30"/>
      <c r="L50" s="29">
        <v>762331</v>
      </c>
      <c r="M50" s="30">
        <v>176299.48813199997</v>
      </c>
      <c r="N50" s="30"/>
      <c r="O50" s="30">
        <v>47665333</v>
      </c>
      <c r="P50" s="30">
        <v>11052967.271868</v>
      </c>
      <c r="Q50" s="30"/>
      <c r="R50" s="30">
        <v>0</v>
      </c>
      <c r="S50" s="30">
        <v>0</v>
      </c>
      <c r="T50" s="30"/>
      <c r="U50" s="30">
        <v>0</v>
      </c>
      <c r="V50" s="31">
        <v>0</v>
      </c>
    </row>
    <row r="51" spans="1:22">
      <c r="A51" s="1" t="s">
        <v>72</v>
      </c>
      <c r="B51" s="29">
        <v>0</v>
      </c>
      <c r="C51" s="30">
        <v>-19481.455596545857</v>
      </c>
      <c r="D51" s="30">
        <v>0</v>
      </c>
      <c r="E51" s="30">
        <v>0</v>
      </c>
      <c r="F51" s="30">
        <v>0</v>
      </c>
      <c r="G51" s="31">
        <f>SUM(UT_FINANCIAL)</f>
        <v>-19481.455596545857</v>
      </c>
      <c r="H51" s="30"/>
      <c r="I51" s="30"/>
      <c r="J51" s="30"/>
      <c r="K51" s="30"/>
      <c r="L51" s="29">
        <v>0</v>
      </c>
      <c r="M51" s="30">
        <v>0</v>
      </c>
      <c r="N51" s="30"/>
      <c r="O51" s="30">
        <v>67000</v>
      </c>
      <c r="P51" s="30">
        <v>0</v>
      </c>
      <c r="Q51" s="30"/>
      <c r="R51" s="30">
        <v>0</v>
      </c>
      <c r="S51" s="30">
        <v>0</v>
      </c>
      <c r="T51" s="30"/>
      <c r="U51" s="30">
        <v>0</v>
      </c>
      <c r="V51" s="31">
        <v>0</v>
      </c>
    </row>
    <row r="52" spans="1:22">
      <c r="A52" s="1" t="s">
        <v>73</v>
      </c>
      <c r="B52" s="29">
        <v>0</v>
      </c>
      <c r="C52" s="30">
        <v>0</v>
      </c>
      <c r="D52" s="30">
        <v>0</v>
      </c>
      <c r="E52" s="30">
        <v>0</v>
      </c>
      <c r="F52" s="30">
        <v>0</v>
      </c>
      <c r="G52" s="31">
        <f>SUM(VT_FINANCIAL)</f>
        <v>0</v>
      </c>
      <c r="H52" s="30"/>
      <c r="I52" s="30"/>
      <c r="J52" s="30"/>
      <c r="K52" s="30"/>
      <c r="L52" s="29"/>
      <c r="M52" s="30"/>
      <c r="N52" s="30"/>
      <c r="O52" s="30"/>
      <c r="P52" s="30"/>
      <c r="Q52" s="30"/>
      <c r="R52" s="30"/>
      <c r="S52" s="30"/>
      <c r="T52" s="30"/>
      <c r="U52" s="30"/>
      <c r="V52" s="31"/>
    </row>
    <row r="53" spans="1:22">
      <c r="A53" s="1" t="s">
        <v>74</v>
      </c>
      <c r="B53" s="29">
        <v>0</v>
      </c>
      <c r="C53" s="30">
        <v>0</v>
      </c>
      <c r="D53" s="30">
        <v>0</v>
      </c>
      <c r="E53" s="30">
        <v>0</v>
      </c>
      <c r="F53" s="30">
        <v>0</v>
      </c>
      <c r="G53" s="31">
        <f>SUM(VA_FINANCIAL)</f>
        <v>0</v>
      </c>
      <c r="H53" s="30"/>
      <c r="I53" s="30"/>
      <c r="J53" s="30"/>
      <c r="K53" s="30"/>
      <c r="L53" s="29"/>
      <c r="M53" s="30"/>
      <c r="N53" s="30"/>
      <c r="O53" s="30"/>
      <c r="P53" s="30"/>
      <c r="Q53" s="30"/>
      <c r="R53" s="30"/>
      <c r="S53" s="30"/>
      <c r="T53" s="30"/>
      <c r="U53" s="30"/>
      <c r="V53" s="31"/>
    </row>
    <row r="54" spans="1:22">
      <c r="A54" s="1" t="s">
        <v>75</v>
      </c>
      <c r="B54" s="29">
        <v>0</v>
      </c>
      <c r="C54" s="30">
        <v>0</v>
      </c>
      <c r="D54" s="30">
        <v>0</v>
      </c>
      <c r="E54" s="30">
        <v>0</v>
      </c>
      <c r="F54" s="30">
        <v>0</v>
      </c>
      <c r="G54" s="31">
        <f>SUM(WA_FINANCIAL)</f>
        <v>0</v>
      </c>
      <c r="H54" s="30"/>
      <c r="I54" s="30"/>
      <c r="J54" s="30"/>
      <c r="K54" s="30"/>
      <c r="L54" s="29"/>
      <c r="M54" s="30"/>
      <c r="N54" s="30"/>
      <c r="O54" s="30"/>
      <c r="P54" s="30"/>
      <c r="Q54" s="30"/>
      <c r="R54" s="30"/>
      <c r="S54" s="30"/>
      <c r="T54" s="30"/>
      <c r="U54" s="30"/>
      <c r="V54" s="31"/>
    </row>
    <row r="55" spans="1:22">
      <c r="A55" s="1" t="s">
        <v>76</v>
      </c>
      <c r="B55" s="29">
        <v>72382.198641072318</v>
      </c>
      <c r="C55" s="30">
        <v>1540856.8123896443</v>
      </c>
      <c r="D55" s="30">
        <v>0</v>
      </c>
      <c r="E55" s="30">
        <v>0</v>
      </c>
      <c r="F55" s="30">
        <v>0</v>
      </c>
      <c r="G55" s="31">
        <f>SUM(WV_FINANCIAL)</f>
        <v>1613239.0110307166</v>
      </c>
      <c r="H55" s="30"/>
      <c r="I55" s="30"/>
      <c r="J55" s="30"/>
      <c r="K55" s="30"/>
      <c r="L55" s="29">
        <v>778453</v>
      </c>
      <c r="M55" s="30">
        <v>76456</v>
      </c>
      <c r="N55" s="30"/>
      <c r="O55" s="30">
        <v>3419739</v>
      </c>
      <c r="P55" s="30">
        <v>2684689</v>
      </c>
      <c r="Q55" s="30"/>
      <c r="R55" s="30">
        <v>0</v>
      </c>
      <c r="S55" s="30">
        <v>0</v>
      </c>
      <c r="T55" s="30"/>
      <c r="U55" s="30">
        <v>51813</v>
      </c>
      <c r="V55" s="31">
        <v>0</v>
      </c>
    </row>
    <row r="56" spans="1:22">
      <c r="A56" s="1" t="s">
        <v>77</v>
      </c>
      <c r="B56" s="29">
        <v>0</v>
      </c>
      <c r="C56" s="30">
        <v>0</v>
      </c>
      <c r="D56" s="30">
        <v>0</v>
      </c>
      <c r="E56" s="30">
        <v>0</v>
      </c>
      <c r="F56" s="30">
        <v>0</v>
      </c>
      <c r="G56" s="31">
        <f>SUM(WI_FINANCIAL)</f>
        <v>0</v>
      </c>
      <c r="H56" s="30"/>
      <c r="I56" s="30"/>
      <c r="J56" s="30"/>
      <c r="K56" s="30"/>
      <c r="L56" s="29"/>
      <c r="M56" s="30"/>
      <c r="N56" s="30"/>
      <c r="O56" s="30"/>
      <c r="P56" s="30"/>
      <c r="Q56" s="30"/>
      <c r="R56" s="30"/>
      <c r="S56" s="30"/>
      <c r="T56" s="30"/>
      <c r="U56" s="30"/>
      <c r="V56" s="31"/>
    </row>
    <row r="57" spans="1:22">
      <c r="A57" s="1" t="s">
        <v>78</v>
      </c>
      <c r="B57" s="29">
        <v>0</v>
      </c>
      <c r="C57" s="30">
        <v>0</v>
      </c>
      <c r="D57" s="30">
        <v>0</v>
      </c>
      <c r="E57" s="30">
        <v>0</v>
      </c>
      <c r="F57" s="30">
        <v>0</v>
      </c>
      <c r="G57" s="31">
        <f>SUM(WY_FINANCIAL)</f>
        <v>0</v>
      </c>
      <c r="H57" s="30"/>
      <c r="I57" s="30"/>
      <c r="J57" s="30"/>
      <c r="K57" s="30"/>
      <c r="L57" s="29"/>
      <c r="M57" s="30"/>
      <c r="N57" s="30"/>
      <c r="O57" s="30"/>
      <c r="P57" s="30"/>
      <c r="Q57" s="30"/>
      <c r="R57" s="30"/>
      <c r="S57" s="30"/>
      <c r="T57" s="30"/>
      <c r="U57" s="30"/>
      <c r="V57" s="31"/>
    </row>
    <row r="58" spans="1:22">
      <c r="A58" s="1" t="s">
        <v>79</v>
      </c>
      <c r="B58" s="29">
        <v>0</v>
      </c>
      <c r="C58" s="30">
        <v>0</v>
      </c>
      <c r="D58" s="30">
        <v>0</v>
      </c>
      <c r="E58" s="30">
        <v>0</v>
      </c>
      <c r="F58" s="30">
        <v>0</v>
      </c>
      <c r="G58" s="31">
        <f>SUM(OT_FINANCIAL)</f>
        <v>0</v>
      </c>
      <c r="H58" s="30"/>
      <c r="I58" s="30"/>
      <c r="J58" s="30"/>
      <c r="K58" s="30"/>
      <c r="L58" s="29"/>
      <c r="M58" s="30"/>
      <c r="N58" s="30"/>
      <c r="O58" s="30"/>
      <c r="P58" s="30"/>
      <c r="Q58" s="30"/>
      <c r="R58" s="30"/>
      <c r="S58" s="30"/>
      <c r="T58" s="30"/>
      <c r="U58" s="30"/>
      <c r="V58" s="31"/>
    </row>
    <row r="59" spans="1:22">
      <c r="B59" s="29"/>
      <c r="C59" s="30"/>
      <c r="D59" s="30"/>
      <c r="E59" s="30"/>
      <c r="F59" s="30"/>
      <c r="G59" s="31"/>
      <c r="H59" s="30"/>
      <c r="I59" s="30"/>
      <c r="J59" s="30"/>
      <c r="K59" s="30"/>
      <c r="L59" s="29"/>
      <c r="M59" s="30"/>
      <c r="N59" s="30"/>
      <c r="O59" s="30"/>
      <c r="P59" s="30"/>
      <c r="Q59" s="30"/>
      <c r="R59" s="30"/>
      <c r="S59" s="30"/>
      <c r="T59" s="30"/>
      <c r="U59" s="30"/>
      <c r="V59" s="31"/>
    </row>
    <row r="60" spans="1:22">
      <c r="A60" s="1" t="s">
        <v>8</v>
      </c>
      <c r="B60" s="29">
        <f>SUM(LIFE)</f>
        <v>5515466.0834107855</v>
      </c>
      <c r="C60" s="30">
        <f>SUM(ALLOCATED)</f>
        <v>146096675.90191919</v>
      </c>
      <c r="D60" s="30">
        <f>SUM(HEALTH)</f>
        <v>0</v>
      </c>
      <c r="E60" s="30">
        <f>SUM(UNALLOCATED)</f>
        <v>0</v>
      </c>
      <c r="F60" s="30">
        <f>SUM(LTC)</f>
        <v>0</v>
      </c>
      <c r="G60" s="31">
        <f>SUM(ALL_BLOCKS)</f>
        <v>151612141.98532996</v>
      </c>
      <c r="H60" s="30"/>
      <c r="I60" s="30"/>
      <c r="J60" s="30"/>
      <c r="K60" s="30"/>
      <c r="L60" s="29">
        <f>SUM(LIFE_CALLED)</f>
        <v>13267750</v>
      </c>
      <c r="M60" s="30">
        <f>SUM(LIFE_REFUNDED)</f>
        <v>252755.48813199997</v>
      </c>
      <c r="N60" s="30"/>
      <c r="O60" s="30">
        <f>SUM(ALLOC_CALLED)</f>
        <v>236361567</v>
      </c>
      <c r="P60" s="30">
        <f>SUM(ALLOC_REFUNDED)</f>
        <v>21694354.321867999</v>
      </c>
      <c r="Q60" s="30"/>
      <c r="R60" s="30">
        <f>SUM(HEALTH_CALLED)</f>
        <v>0</v>
      </c>
      <c r="S60" s="30">
        <f>SUM(HEALTH_REFUNDED)</f>
        <v>0</v>
      </c>
      <c r="T60" s="30"/>
      <c r="U60" s="30">
        <f>SUM(UNALLOC_CALLED)</f>
        <v>2585649</v>
      </c>
      <c r="V60" s="31">
        <f>SUM(UNALLOC_REFUNDED)</f>
        <v>0</v>
      </c>
    </row>
    <row r="61" spans="1:22" ht="5.0999999999999996" customHeight="1">
      <c r="B61" s="8"/>
      <c r="G61" s="11"/>
      <c r="L61" s="8"/>
      <c r="V61" s="11"/>
    </row>
    <row r="62" spans="1:22">
      <c r="B62" s="8"/>
      <c r="G62" s="11"/>
      <c r="L62" s="122" t="s">
        <v>80</v>
      </c>
      <c r="M62" s="123"/>
      <c r="N62" s="123"/>
      <c r="O62" s="123"/>
      <c r="P62" s="123"/>
      <c r="Q62" s="123"/>
      <c r="R62" s="123"/>
      <c r="S62" s="123"/>
      <c r="T62" s="123"/>
      <c r="U62" s="123"/>
      <c r="V62" s="124"/>
    </row>
    <row r="63" spans="1:22">
      <c r="B63" s="8"/>
      <c r="G63" s="11"/>
      <c r="L63" s="125"/>
      <c r="M63" s="123"/>
      <c r="N63" s="123"/>
      <c r="O63" s="123"/>
      <c r="P63" s="123"/>
      <c r="Q63" s="123"/>
      <c r="R63" s="123"/>
      <c r="S63" s="123"/>
      <c r="T63" s="123"/>
      <c r="U63" s="123"/>
      <c r="V63" s="124"/>
    </row>
    <row r="64" spans="1:22">
      <c r="B64" s="10"/>
      <c r="C64" s="7"/>
      <c r="D64" s="7"/>
      <c r="E64" s="7"/>
      <c r="F64" s="7"/>
      <c r="G64" s="13"/>
      <c r="L64" s="126"/>
      <c r="M64" s="127"/>
      <c r="N64" s="127"/>
      <c r="O64" s="127"/>
      <c r="P64" s="127"/>
      <c r="Q64" s="127"/>
      <c r="R64" s="127"/>
      <c r="S64" s="127"/>
      <c r="T64" s="127"/>
      <c r="U64" s="127"/>
      <c r="V64" s="128"/>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pageSetUpPr fitToPage="1"/>
  </sheetPr>
  <dimension ref="A1:V64"/>
  <sheetViews>
    <sheetView zoomScale="75" workbookViewId="0">
      <selection sqref="A1:XFD1048576"/>
    </sheetView>
  </sheetViews>
  <sheetFormatPr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129" t="s">
        <v>147</v>
      </c>
      <c r="B1" s="123"/>
      <c r="C1" s="123"/>
      <c r="D1" s="123"/>
      <c r="E1" s="123"/>
      <c r="F1" s="123"/>
      <c r="G1" s="123"/>
    </row>
    <row r="3" spans="1:22">
      <c r="B3" s="130" t="s">
        <v>1</v>
      </c>
      <c r="C3" s="131"/>
      <c r="D3" s="131"/>
      <c r="E3" s="131"/>
      <c r="F3" s="131"/>
      <c r="G3" s="132"/>
      <c r="L3" s="133" t="s">
        <v>2</v>
      </c>
      <c r="M3" s="134"/>
      <c r="N3" s="134"/>
      <c r="O3" s="134"/>
      <c r="P3" s="134"/>
      <c r="Q3" s="134"/>
      <c r="R3" s="134"/>
      <c r="S3" s="134"/>
      <c r="T3" s="134"/>
      <c r="U3" s="134"/>
      <c r="V3" s="135"/>
    </row>
    <row r="4" spans="1:22">
      <c r="B4" s="8"/>
      <c r="G4" s="11"/>
      <c r="L4" s="136" t="s">
        <v>3</v>
      </c>
      <c r="M4" s="137"/>
      <c r="N4" s="4"/>
      <c r="O4" s="138" t="s">
        <v>4</v>
      </c>
      <c r="P4" s="137"/>
      <c r="Q4" s="4"/>
      <c r="R4" s="138" t="s">
        <v>5</v>
      </c>
      <c r="S4" s="137"/>
      <c r="T4" s="4"/>
      <c r="U4" s="138" t="s">
        <v>6</v>
      </c>
      <c r="V4" s="139"/>
    </row>
    <row r="5" spans="1:22" ht="60" customHeight="1">
      <c r="B5" s="9" t="s">
        <v>3</v>
      </c>
      <c r="C5" s="5" t="s">
        <v>4</v>
      </c>
      <c r="D5" s="5" t="s">
        <v>5</v>
      </c>
      <c r="E5" s="5" t="s">
        <v>6</v>
      </c>
      <c r="F5" s="5" t="s">
        <v>7</v>
      </c>
      <c r="G5" s="12" t="s">
        <v>8</v>
      </c>
      <c r="L5" s="15" t="s">
        <v>9</v>
      </c>
      <c r="M5" s="14" t="s">
        <v>10</v>
      </c>
      <c r="N5" s="14"/>
      <c r="O5" s="14" t="s">
        <v>9</v>
      </c>
      <c r="P5" s="14" t="s">
        <v>10</v>
      </c>
      <c r="Q5" s="14"/>
      <c r="R5" s="14" t="s">
        <v>9</v>
      </c>
      <c r="S5" s="14" t="s">
        <v>10</v>
      </c>
      <c r="T5" s="14"/>
      <c r="U5" s="14" t="s">
        <v>9</v>
      </c>
      <c r="V5" s="16" t="s">
        <v>10</v>
      </c>
    </row>
    <row r="6" spans="1:22">
      <c r="A6" s="1" t="s">
        <v>11</v>
      </c>
      <c r="B6" s="29">
        <v>28738.832157321478</v>
      </c>
      <c r="C6" s="30">
        <v>0</v>
      </c>
      <c r="D6" s="30">
        <v>5808.3272224810171</v>
      </c>
      <c r="E6" s="30">
        <v>0</v>
      </c>
      <c r="F6" s="30">
        <v>0</v>
      </c>
      <c r="G6" s="31">
        <f>SUM(AL_FINANCIAL)</f>
        <v>34547.159379802499</v>
      </c>
      <c r="H6" s="30"/>
      <c r="I6" s="30"/>
      <c r="J6" s="30"/>
      <c r="K6" s="30"/>
      <c r="L6" s="29"/>
      <c r="M6" s="30"/>
      <c r="N6" s="30"/>
      <c r="O6" s="30"/>
      <c r="P6" s="30"/>
      <c r="Q6" s="30"/>
      <c r="R6" s="30"/>
      <c r="S6" s="30"/>
      <c r="T6" s="30"/>
      <c r="U6" s="30"/>
      <c r="V6" s="31"/>
    </row>
    <row r="7" spans="1:22">
      <c r="A7" s="1" t="s">
        <v>12</v>
      </c>
      <c r="B7" s="29">
        <v>0</v>
      </c>
      <c r="C7" s="30">
        <v>0</v>
      </c>
      <c r="D7" s="30">
        <v>0</v>
      </c>
      <c r="E7" s="30">
        <v>0</v>
      </c>
      <c r="F7" s="30">
        <v>0</v>
      </c>
      <c r="G7" s="31">
        <f>SUM(AK_FINANCIAL)</f>
        <v>0</v>
      </c>
      <c r="H7" s="30"/>
      <c r="I7" s="32"/>
      <c r="J7" s="33"/>
      <c r="K7" s="30"/>
      <c r="L7" s="29"/>
      <c r="M7" s="30"/>
      <c r="N7" s="30"/>
      <c r="O7" s="30"/>
      <c r="P7" s="30"/>
      <c r="Q7" s="30"/>
      <c r="R7" s="30"/>
      <c r="S7" s="30"/>
      <c r="T7" s="30"/>
      <c r="U7" s="30"/>
      <c r="V7" s="31"/>
    </row>
    <row r="8" spans="1:22">
      <c r="A8" s="1" t="s">
        <v>13</v>
      </c>
      <c r="B8" s="29">
        <v>87564.719802839478</v>
      </c>
      <c r="C8" s="30">
        <v>0</v>
      </c>
      <c r="D8" s="30">
        <v>492359.77845678793</v>
      </c>
      <c r="E8" s="30">
        <v>0</v>
      </c>
      <c r="F8" s="30">
        <v>0</v>
      </c>
      <c r="G8" s="31">
        <f>SUM(AZ_FINANCIAL)</f>
        <v>579924.49825962738</v>
      </c>
      <c r="H8" s="30"/>
      <c r="I8" s="34" t="s">
        <v>14</v>
      </c>
      <c r="J8" s="35"/>
      <c r="K8" s="30"/>
      <c r="L8" s="29"/>
      <c r="M8" s="30"/>
      <c r="N8" s="30"/>
      <c r="O8" s="30"/>
      <c r="P8" s="30"/>
      <c r="Q8" s="30"/>
      <c r="R8" s="30"/>
      <c r="S8" s="30"/>
      <c r="T8" s="30"/>
      <c r="U8" s="30"/>
      <c r="V8" s="31"/>
    </row>
    <row r="9" spans="1:22">
      <c r="A9" s="1" t="s">
        <v>15</v>
      </c>
      <c r="B9" s="29">
        <v>-102512.69038001812</v>
      </c>
      <c r="C9" s="30">
        <v>0</v>
      </c>
      <c r="D9" s="30">
        <v>63739.791507504036</v>
      </c>
      <c r="E9" s="30">
        <v>0</v>
      </c>
      <c r="F9" s="30">
        <v>0</v>
      </c>
      <c r="G9" s="31">
        <f>SUM(AR_FINANCIAL)</f>
        <v>-38772.898872514081</v>
      </c>
      <c r="H9" s="30"/>
      <c r="I9" s="34"/>
      <c r="J9" s="35"/>
      <c r="K9" s="30"/>
      <c r="L9" s="29">
        <v>0</v>
      </c>
      <c r="M9" s="30">
        <v>0</v>
      </c>
      <c r="N9" s="30"/>
      <c r="O9" s="30">
        <v>0</v>
      </c>
      <c r="P9" s="30">
        <v>0</v>
      </c>
      <c r="Q9" s="30"/>
      <c r="R9" s="30">
        <v>0</v>
      </c>
      <c r="S9" s="30">
        <v>0</v>
      </c>
      <c r="T9" s="30"/>
      <c r="U9" s="30">
        <v>0</v>
      </c>
      <c r="V9" s="31">
        <v>0</v>
      </c>
    </row>
    <row r="10" spans="1:22">
      <c r="A10" s="1" t="s">
        <v>16</v>
      </c>
      <c r="B10" s="29">
        <v>0</v>
      </c>
      <c r="C10" s="30">
        <v>0</v>
      </c>
      <c r="D10" s="30">
        <v>0</v>
      </c>
      <c r="E10" s="30">
        <v>0</v>
      </c>
      <c r="F10" s="30">
        <v>0</v>
      </c>
      <c r="G10" s="31">
        <f>SUM(CA_FINANCIAL)</f>
        <v>0</v>
      </c>
      <c r="H10" s="30"/>
      <c r="I10" s="34" t="s">
        <v>17</v>
      </c>
      <c r="J10" s="35">
        <v>241499783.76864415</v>
      </c>
      <c r="K10" s="30"/>
      <c r="L10" s="29"/>
      <c r="M10" s="30"/>
      <c r="N10" s="30"/>
      <c r="O10" s="30"/>
      <c r="P10" s="30"/>
      <c r="Q10" s="30"/>
      <c r="R10" s="30"/>
      <c r="S10" s="30"/>
      <c r="T10" s="30"/>
      <c r="U10" s="30"/>
      <c r="V10" s="31"/>
    </row>
    <row r="11" spans="1:22">
      <c r="A11" s="1" t="s">
        <v>18</v>
      </c>
      <c r="B11" s="29">
        <v>176933.70759614673</v>
      </c>
      <c r="C11" s="30">
        <v>0</v>
      </c>
      <c r="D11" s="30">
        <v>1325167.3890526632</v>
      </c>
      <c r="E11" s="30">
        <v>0</v>
      </c>
      <c r="F11" s="30">
        <v>0</v>
      </c>
      <c r="G11" s="31">
        <f>SUM(CO_FINANCIAL)</f>
        <v>1502101.09664881</v>
      </c>
      <c r="H11" s="30"/>
      <c r="I11" s="34"/>
      <c r="J11" s="35"/>
      <c r="K11" s="30"/>
      <c r="L11" s="29">
        <v>0</v>
      </c>
      <c r="M11" s="30">
        <v>0</v>
      </c>
      <c r="N11" s="30"/>
      <c r="O11" s="30">
        <v>0</v>
      </c>
      <c r="P11" s="30">
        <v>0</v>
      </c>
      <c r="Q11" s="30"/>
      <c r="R11" s="30">
        <v>582723</v>
      </c>
      <c r="S11" s="30">
        <v>0</v>
      </c>
      <c r="T11" s="30"/>
      <c r="U11" s="30">
        <v>0</v>
      </c>
      <c r="V11" s="31">
        <v>0</v>
      </c>
    </row>
    <row r="12" spans="1:22">
      <c r="A12" s="1" t="s">
        <v>19</v>
      </c>
      <c r="B12" s="29">
        <v>0</v>
      </c>
      <c r="C12" s="30">
        <v>0</v>
      </c>
      <c r="D12" s="30">
        <v>0</v>
      </c>
      <c r="E12" s="30">
        <v>0</v>
      </c>
      <c r="F12" s="30">
        <v>0</v>
      </c>
      <c r="G12" s="31">
        <f>SUM(CT_FINANCIAL)</f>
        <v>0</v>
      </c>
      <c r="H12" s="30"/>
      <c r="I12" s="34" t="s">
        <v>20</v>
      </c>
      <c r="J12" s="35"/>
      <c r="K12" s="30"/>
      <c r="L12" s="29"/>
      <c r="M12" s="30"/>
      <c r="N12" s="30"/>
      <c r="O12" s="30"/>
      <c r="P12" s="30"/>
      <c r="Q12" s="30"/>
      <c r="R12" s="30"/>
      <c r="S12" s="30"/>
      <c r="T12" s="30"/>
      <c r="U12" s="30"/>
      <c r="V12" s="31"/>
    </row>
    <row r="13" spans="1:22">
      <c r="A13" s="1" t="s">
        <v>21</v>
      </c>
      <c r="B13" s="29">
        <v>0</v>
      </c>
      <c r="C13" s="30">
        <v>0</v>
      </c>
      <c r="D13" s="30">
        <v>0</v>
      </c>
      <c r="E13" s="30">
        <v>0</v>
      </c>
      <c r="F13" s="30">
        <v>0</v>
      </c>
      <c r="G13" s="31">
        <f>SUM(DE_FINANCIAL)</f>
        <v>0</v>
      </c>
      <c r="H13" s="30"/>
      <c r="I13" s="34" t="s">
        <v>22</v>
      </c>
      <c r="J13" s="35">
        <v>67762624.751750052</v>
      </c>
      <c r="K13" s="30"/>
      <c r="L13" s="29"/>
      <c r="M13" s="30"/>
      <c r="N13" s="30"/>
      <c r="O13" s="30"/>
      <c r="P13" s="30"/>
      <c r="Q13" s="30"/>
      <c r="R13" s="30"/>
      <c r="S13" s="30"/>
      <c r="T13" s="30"/>
      <c r="U13" s="30"/>
      <c r="V13" s="31"/>
    </row>
    <row r="14" spans="1:22">
      <c r="A14" s="1" t="s">
        <v>23</v>
      </c>
      <c r="B14" s="29">
        <v>0</v>
      </c>
      <c r="C14" s="30">
        <v>0</v>
      </c>
      <c r="D14" s="30">
        <v>0</v>
      </c>
      <c r="E14" s="30">
        <v>0</v>
      </c>
      <c r="F14" s="30">
        <v>0</v>
      </c>
      <c r="G14" s="31">
        <f>SUM(DC_FINANCIAL)</f>
        <v>0</v>
      </c>
      <c r="H14" s="30"/>
      <c r="I14" s="34" t="s">
        <v>24</v>
      </c>
      <c r="J14" s="35">
        <v>5543617.8699999992</v>
      </c>
      <c r="K14" s="30"/>
      <c r="L14" s="29"/>
      <c r="M14" s="30"/>
      <c r="N14" s="30"/>
      <c r="O14" s="30"/>
      <c r="P14" s="30"/>
      <c r="Q14" s="30"/>
      <c r="R14" s="30"/>
      <c r="S14" s="30"/>
      <c r="T14" s="30"/>
      <c r="U14" s="30"/>
      <c r="V14" s="31"/>
    </row>
    <row r="15" spans="1:22">
      <c r="A15" s="1" t="s">
        <v>25</v>
      </c>
      <c r="B15" s="29">
        <v>136946.27285953186</v>
      </c>
      <c r="C15" s="30">
        <v>0</v>
      </c>
      <c r="D15" s="30">
        <v>47489855.852793083</v>
      </c>
      <c r="E15" s="30">
        <v>0</v>
      </c>
      <c r="F15" s="30">
        <v>0</v>
      </c>
      <c r="G15" s="31">
        <f>SUM(FL_FINANCIAL)</f>
        <v>47626802.125652611</v>
      </c>
      <c r="H15" s="30"/>
      <c r="I15" s="34" t="s">
        <v>26</v>
      </c>
      <c r="J15" s="35">
        <v>16471301.464424208</v>
      </c>
      <c r="K15" s="30"/>
      <c r="L15" s="29">
        <v>0</v>
      </c>
      <c r="M15" s="30">
        <v>0</v>
      </c>
      <c r="N15" s="30"/>
      <c r="O15" s="30">
        <v>0</v>
      </c>
      <c r="P15" s="30">
        <v>0</v>
      </c>
      <c r="Q15" s="30"/>
      <c r="R15" s="30">
        <v>35754401</v>
      </c>
      <c r="S15" s="30">
        <v>0</v>
      </c>
      <c r="T15" s="30"/>
      <c r="U15" s="30">
        <v>0</v>
      </c>
      <c r="V15" s="31">
        <v>0</v>
      </c>
    </row>
    <row r="16" spans="1:22">
      <c r="A16" s="1" t="s">
        <v>27</v>
      </c>
      <c r="B16" s="29">
        <v>526586.63179092994</v>
      </c>
      <c r="C16" s="30">
        <v>0</v>
      </c>
      <c r="D16" s="30">
        <v>7480521.616135559</v>
      </c>
      <c r="E16" s="30">
        <v>0</v>
      </c>
      <c r="F16" s="30">
        <v>0</v>
      </c>
      <c r="G16" s="31">
        <f>SUM(GA_FINANCIAL)</f>
        <v>8007108.2479264885</v>
      </c>
      <c r="H16" s="30"/>
      <c r="I16" s="34" t="s">
        <v>28</v>
      </c>
      <c r="J16" s="35">
        <v>51669852.019830458</v>
      </c>
      <c r="K16" s="30"/>
      <c r="L16" s="29">
        <v>0</v>
      </c>
      <c r="M16" s="30">
        <v>0</v>
      </c>
      <c r="N16" s="30"/>
      <c r="O16" s="30">
        <v>0</v>
      </c>
      <c r="P16" s="30">
        <v>0</v>
      </c>
      <c r="Q16" s="30"/>
      <c r="R16" s="30">
        <v>6697786</v>
      </c>
      <c r="S16" s="30">
        <v>0</v>
      </c>
      <c r="T16" s="30"/>
      <c r="U16" s="30">
        <v>0</v>
      </c>
      <c r="V16" s="31">
        <v>0</v>
      </c>
    </row>
    <row r="17" spans="1:22">
      <c r="A17" s="1" t="s">
        <v>29</v>
      </c>
      <c r="B17" s="29">
        <v>0</v>
      </c>
      <c r="C17" s="30">
        <v>0</v>
      </c>
      <c r="D17" s="30">
        <v>0</v>
      </c>
      <c r="E17" s="30">
        <v>0</v>
      </c>
      <c r="F17" s="30">
        <v>0</v>
      </c>
      <c r="G17" s="31">
        <f>SUM(HI_FINANCIAL)</f>
        <v>0</v>
      </c>
      <c r="H17" s="30"/>
      <c r="I17" s="34"/>
      <c r="J17" s="35"/>
      <c r="K17" s="30"/>
      <c r="L17" s="29"/>
      <c r="M17" s="30"/>
      <c r="N17" s="30"/>
      <c r="O17" s="30"/>
      <c r="P17" s="30"/>
      <c r="Q17" s="30"/>
      <c r="R17" s="30"/>
      <c r="S17" s="30"/>
      <c r="T17" s="30"/>
      <c r="U17" s="30"/>
      <c r="V17" s="31"/>
    </row>
    <row r="18" spans="1:22">
      <c r="A18" s="1" t="s">
        <v>30</v>
      </c>
      <c r="B18" s="29">
        <v>143733.65189015894</v>
      </c>
      <c r="C18" s="30">
        <v>0</v>
      </c>
      <c r="D18" s="30">
        <v>331888.65703196742</v>
      </c>
      <c r="E18" s="30">
        <v>0</v>
      </c>
      <c r="F18" s="30">
        <v>0</v>
      </c>
      <c r="G18" s="31">
        <f>SUM(ID_FINANCIAL)</f>
        <v>475622.30892212637</v>
      </c>
      <c r="H18" s="30"/>
      <c r="I18" s="34" t="s">
        <v>31</v>
      </c>
      <c r="J18" s="35"/>
      <c r="K18" s="30"/>
      <c r="L18" s="29">
        <v>0</v>
      </c>
      <c r="M18" s="30">
        <v>0</v>
      </c>
      <c r="N18" s="30"/>
      <c r="O18" s="30">
        <v>0</v>
      </c>
      <c r="P18" s="30">
        <v>0</v>
      </c>
      <c r="Q18" s="30"/>
      <c r="R18" s="30">
        <v>150000</v>
      </c>
      <c r="S18" s="30">
        <v>0</v>
      </c>
      <c r="T18" s="30"/>
      <c r="U18" s="30">
        <v>0</v>
      </c>
      <c r="V18" s="31">
        <v>0</v>
      </c>
    </row>
    <row r="19" spans="1:22">
      <c r="A19" s="1" t="s">
        <v>32</v>
      </c>
      <c r="B19" s="29">
        <v>102900.93272843803</v>
      </c>
      <c r="C19" s="30">
        <v>0</v>
      </c>
      <c r="D19" s="30">
        <v>13238259.451796224</v>
      </c>
      <c r="E19" s="30">
        <v>0</v>
      </c>
      <c r="F19" s="30">
        <v>0</v>
      </c>
      <c r="G19" s="31">
        <f>SUM(IL_FINANCIAL)</f>
        <v>13341160.384524662</v>
      </c>
      <c r="H19" s="30"/>
      <c r="I19" s="34" t="s">
        <v>33</v>
      </c>
      <c r="J19" s="35">
        <v>122591863.19707078</v>
      </c>
      <c r="K19" s="30"/>
      <c r="L19" s="29">
        <v>300000</v>
      </c>
      <c r="M19" s="30">
        <v>0</v>
      </c>
      <c r="N19" s="30"/>
      <c r="O19" s="30">
        <v>0</v>
      </c>
      <c r="P19" s="30">
        <v>0</v>
      </c>
      <c r="Q19" s="30"/>
      <c r="R19" s="30">
        <v>13000000</v>
      </c>
      <c r="S19" s="30">
        <v>0</v>
      </c>
      <c r="T19" s="30"/>
      <c r="U19" s="30">
        <v>0</v>
      </c>
      <c r="V19" s="31">
        <v>0</v>
      </c>
    </row>
    <row r="20" spans="1:22">
      <c r="A20" s="1" t="s">
        <v>34</v>
      </c>
      <c r="B20" s="29">
        <v>55974.590237659824</v>
      </c>
      <c r="C20" s="30">
        <v>0</v>
      </c>
      <c r="D20" s="30">
        <v>1257202.7305506559</v>
      </c>
      <c r="E20" s="30">
        <v>0</v>
      </c>
      <c r="F20" s="30">
        <v>0</v>
      </c>
      <c r="G20" s="31">
        <f>SUM(IN_FINANCIAL)</f>
        <v>1313177.3207883157</v>
      </c>
      <c r="H20" s="30"/>
      <c r="I20" s="34" t="s">
        <v>35</v>
      </c>
      <c r="J20" s="35">
        <v>115858380.67951848</v>
      </c>
      <c r="K20" s="30"/>
      <c r="L20" s="29"/>
      <c r="M20" s="30"/>
      <c r="N20" s="30"/>
      <c r="O20" s="30"/>
      <c r="P20" s="30"/>
      <c r="Q20" s="30"/>
      <c r="R20" s="30"/>
      <c r="S20" s="30"/>
      <c r="T20" s="30"/>
      <c r="U20" s="30"/>
      <c r="V20" s="31"/>
    </row>
    <row r="21" spans="1:22">
      <c r="A21" s="1" t="s">
        <v>36</v>
      </c>
      <c r="B21" s="29">
        <v>476886.8214019388</v>
      </c>
      <c r="C21" s="30">
        <v>0</v>
      </c>
      <c r="D21" s="30">
        <v>526044.9920423486</v>
      </c>
      <c r="E21" s="30">
        <v>0</v>
      </c>
      <c r="F21" s="30">
        <v>0</v>
      </c>
      <c r="G21" s="31">
        <f>SUM(IA_FINANCIAL)</f>
        <v>1002931.8134442874</v>
      </c>
      <c r="H21" s="30"/>
      <c r="I21" s="34" t="s">
        <v>37</v>
      </c>
      <c r="J21" s="35"/>
      <c r="K21" s="30"/>
      <c r="L21" s="29">
        <v>0</v>
      </c>
      <c r="M21" s="30">
        <v>0</v>
      </c>
      <c r="N21" s="30"/>
      <c r="O21" s="30">
        <v>0</v>
      </c>
      <c r="P21" s="30">
        <v>0</v>
      </c>
      <c r="Q21" s="30"/>
      <c r="R21" s="30">
        <v>200000</v>
      </c>
      <c r="S21" s="30">
        <v>0</v>
      </c>
      <c r="T21" s="30"/>
      <c r="U21" s="30">
        <v>0</v>
      </c>
      <c r="V21" s="31">
        <v>0</v>
      </c>
    </row>
    <row r="22" spans="1:22">
      <c r="A22" s="1" t="s">
        <v>38</v>
      </c>
      <c r="B22" s="29">
        <v>72630.158641091723</v>
      </c>
      <c r="C22" s="30">
        <v>0</v>
      </c>
      <c r="D22" s="30">
        <v>329553.54262265301</v>
      </c>
      <c r="E22" s="30">
        <v>0</v>
      </c>
      <c r="F22" s="30">
        <v>0</v>
      </c>
      <c r="G22" s="31">
        <f>SUM(KS_FINANCIAL)</f>
        <v>402183.70126374473</v>
      </c>
      <c r="H22" s="30"/>
      <c r="I22" s="34" t="s">
        <v>39</v>
      </c>
      <c r="J22" s="35">
        <v>0</v>
      </c>
      <c r="K22" s="30"/>
      <c r="L22" s="29"/>
      <c r="M22" s="30"/>
      <c r="N22" s="30"/>
      <c r="O22" s="30"/>
      <c r="P22" s="30"/>
      <c r="Q22" s="30"/>
      <c r="R22" s="30"/>
      <c r="S22" s="30"/>
      <c r="T22" s="30"/>
      <c r="U22" s="30"/>
      <c r="V22" s="31"/>
    </row>
    <row r="23" spans="1:22">
      <c r="A23" s="1" t="s">
        <v>40</v>
      </c>
      <c r="B23" s="29">
        <v>105352.35119845279</v>
      </c>
      <c r="C23" s="30">
        <v>0</v>
      </c>
      <c r="D23" s="30">
        <v>15793346.137543019</v>
      </c>
      <c r="E23" s="30">
        <v>0</v>
      </c>
      <c r="F23" s="30">
        <v>0</v>
      </c>
      <c r="G23" s="31">
        <f>SUM(KY_FINANCIAL)</f>
        <v>15898698.488741472</v>
      </c>
      <c r="H23" s="30"/>
      <c r="I23" s="34" t="s">
        <v>41</v>
      </c>
      <c r="J23" s="35"/>
      <c r="K23" s="30"/>
      <c r="L23" s="29">
        <v>0</v>
      </c>
      <c r="M23" s="30">
        <v>0</v>
      </c>
      <c r="N23" s="30"/>
      <c r="O23" s="30">
        <v>0</v>
      </c>
      <c r="P23" s="30">
        <v>0</v>
      </c>
      <c r="Q23" s="30"/>
      <c r="R23" s="30">
        <v>19306391</v>
      </c>
      <c r="S23" s="30">
        <v>0</v>
      </c>
      <c r="T23" s="30"/>
      <c r="U23" s="30">
        <v>0</v>
      </c>
      <c r="V23" s="31">
        <v>0</v>
      </c>
    </row>
    <row r="24" spans="1:22">
      <c r="A24" s="1" t="s">
        <v>42</v>
      </c>
      <c r="B24" s="29">
        <v>223663.7332321853</v>
      </c>
      <c r="C24" s="30">
        <v>0</v>
      </c>
      <c r="D24" s="30">
        <v>890451.18169906863</v>
      </c>
      <c r="E24" s="30">
        <v>0</v>
      </c>
      <c r="F24" s="30">
        <v>0</v>
      </c>
      <c r="G24" s="31">
        <f>SUM(LA_FINANCIAL)</f>
        <v>1114114.914931254</v>
      </c>
      <c r="H24" s="30"/>
      <c r="I24" s="34" t="s">
        <v>43</v>
      </c>
      <c r="J24" s="35">
        <v>12395700.879999995</v>
      </c>
      <c r="K24" s="30"/>
      <c r="L24" s="29"/>
      <c r="M24" s="30"/>
      <c r="N24" s="30"/>
      <c r="O24" s="30"/>
      <c r="P24" s="30"/>
      <c r="Q24" s="30"/>
      <c r="R24" s="30"/>
      <c r="S24" s="30"/>
      <c r="T24" s="30"/>
      <c r="U24" s="30"/>
      <c r="V24" s="31"/>
    </row>
    <row r="25" spans="1:22">
      <c r="A25" s="1" t="s">
        <v>44</v>
      </c>
      <c r="B25" s="29">
        <v>0</v>
      </c>
      <c r="C25" s="30">
        <v>0</v>
      </c>
      <c r="D25" s="30">
        <v>0</v>
      </c>
      <c r="E25" s="30">
        <v>0</v>
      </c>
      <c r="F25" s="30">
        <v>0</v>
      </c>
      <c r="G25" s="31">
        <f>SUM(ME_FINANCIAL)</f>
        <v>0</v>
      </c>
      <c r="H25" s="30"/>
      <c r="I25" s="34"/>
      <c r="J25" s="35"/>
      <c r="K25" s="30"/>
      <c r="L25" s="29"/>
      <c r="M25" s="30"/>
      <c r="N25" s="30"/>
      <c r="O25" s="30"/>
      <c r="P25" s="30"/>
      <c r="Q25" s="30"/>
      <c r="R25" s="30"/>
      <c r="S25" s="30"/>
      <c r="T25" s="30"/>
      <c r="U25" s="30"/>
      <c r="V25" s="31"/>
    </row>
    <row r="26" spans="1:22">
      <c r="A26" s="1" t="s">
        <v>45</v>
      </c>
      <c r="B26" s="29">
        <v>-38111.812170678619</v>
      </c>
      <c r="C26" s="30">
        <v>0</v>
      </c>
      <c r="D26" s="30">
        <v>446355.2043758377</v>
      </c>
      <c r="E26" s="30">
        <v>0</v>
      </c>
      <c r="F26" s="30">
        <v>0</v>
      </c>
      <c r="G26" s="31">
        <f>SUM(MD_FINANCIAL)</f>
        <v>408243.39220515906</v>
      </c>
      <c r="H26" s="30"/>
      <c r="I26" s="34" t="s">
        <v>46</v>
      </c>
      <c r="J26" s="35">
        <f>SUM(ADD_FINANCIAL)-SUM(LESS_FINANCIAL)</f>
        <v>132101235.11805964</v>
      </c>
      <c r="K26" s="30"/>
      <c r="L26" s="29"/>
      <c r="M26" s="30"/>
      <c r="N26" s="30"/>
      <c r="O26" s="30"/>
      <c r="P26" s="30"/>
      <c r="Q26" s="30"/>
      <c r="R26" s="30"/>
      <c r="S26" s="30"/>
      <c r="T26" s="30"/>
      <c r="U26" s="30"/>
      <c r="V26" s="31"/>
    </row>
    <row r="27" spans="1:22">
      <c r="A27" s="1" t="s">
        <v>47</v>
      </c>
      <c r="B27" s="29">
        <v>0</v>
      </c>
      <c r="C27" s="30">
        <v>0</v>
      </c>
      <c r="D27" s="30">
        <v>0</v>
      </c>
      <c r="E27" s="30">
        <v>0</v>
      </c>
      <c r="F27" s="30">
        <v>0</v>
      </c>
      <c r="G27" s="31">
        <f>SUM(MA_FINANCIAL)</f>
        <v>0</v>
      </c>
      <c r="H27" s="30"/>
      <c r="I27" s="34" t="s">
        <v>48</v>
      </c>
      <c r="J27" s="35">
        <f>SUM(ALL_BLOCKS)</f>
        <v>132101235.11805969</v>
      </c>
      <c r="K27" s="30"/>
      <c r="L27" s="29"/>
      <c r="M27" s="30"/>
      <c r="N27" s="30"/>
      <c r="O27" s="30"/>
      <c r="P27" s="30"/>
      <c r="Q27" s="30"/>
      <c r="R27" s="30"/>
      <c r="S27" s="30"/>
      <c r="T27" s="30"/>
      <c r="U27" s="30"/>
      <c r="V27" s="31"/>
    </row>
    <row r="28" spans="1:22">
      <c r="A28" s="1" t="s">
        <v>49</v>
      </c>
      <c r="B28" s="29">
        <v>-6832.1736511747913</v>
      </c>
      <c r="C28" s="30">
        <v>0</v>
      </c>
      <c r="D28" s="30">
        <v>662723.6324774886</v>
      </c>
      <c r="E28" s="30">
        <v>0</v>
      </c>
      <c r="F28" s="30">
        <v>0</v>
      </c>
      <c r="G28" s="31">
        <f>SUM(MI_FINANCIAL)</f>
        <v>655891.45882631384</v>
      </c>
      <c r="H28" s="30"/>
      <c r="I28" s="36"/>
      <c r="J28" s="37"/>
      <c r="K28" s="30"/>
      <c r="L28" s="29"/>
      <c r="M28" s="30"/>
      <c r="N28" s="30"/>
      <c r="O28" s="30"/>
      <c r="P28" s="30"/>
      <c r="Q28" s="30"/>
      <c r="R28" s="30"/>
      <c r="S28" s="30"/>
      <c r="T28" s="30"/>
      <c r="U28" s="30"/>
      <c r="V28" s="31"/>
    </row>
    <row r="29" spans="1:22">
      <c r="A29" s="1" t="s">
        <v>50</v>
      </c>
      <c r="B29" s="29">
        <v>127618.36659382923</v>
      </c>
      <c r="C29" s="30">
        <v>0</v>
      </c>
      <c r="D29" s="30">
        <v>136745.38466239499</v>
      </c>
      <c r="E29" s="30">
        <v>0</v>
      </c>
      <c r="F29" s="30">
        <v>0</v>
      </c>
      <c r="G29" s="31">
        <f>SUM(MN_FINANCIAL)</f>
        <v>264363.75125622423</v>
      </c>
      <c r="H29" s="30"/>
      <c r="I29" s="30"/>
      <c r="J29" s="30"/>
      <c r="K29" s="30"/>
      <c r="L29" s="29"/>
      <c r="M29" s="30"/>
      <c r="N29" s="30"/>
      <c r="O29" s="30"/>
      <c r="P29" s="30"/>
      <c r="Q29" s="30"/>
      <c r="R29" s="30"/>
      <c r="S29" s="30"/>
      <c r="T29" s="30"/>
      <c r="U29" s="30"/>
      <c r="V29" s="31"/>
    </row>
    <row r="30" spans="1:22">
      <c r="A30" s="1" t="s">
        <v>51</v>
      </c>
      <c r="B30" s="29">
        <v>118350.66082086976</v>
      </c>
      <c r="C30" s="30">
        <v>0</v>
      </c>
      <c r="D30" s="30">
        <v>1182.999929284817</v>
      </c>
      <c r="E30" s="30">
        <v>0</v>
      </c>
      <c r="F30" s="30">
        <v>0</v>
      </c>
      <c r="G30" s="31">
        <f>SUM(MS_FINANCIAL)</f>
        <v>119533.66075015458</v>
      </c>
      <c r="H30" s="30"/>
      <c r="I30" s="30"/>
      <c r="J30" s="30"/>
      <c r="K30" s="30"/>
      <c r="L30" s="29"/>
      <c r="M30" s="30"/>
      <c r="N30" s="30"/>
      <c r="O30" s="30"/>
      <c r="P30" s="30"/>
      <c r="Q30" s="30"/>
      <c r="R30" s="30"/>
      <c r="S30" s="30"/>
      <c r="T30" s="30"/>
      <c r="U30" s="30"/>
      <c r="V30" s="31"/>
    </row>
    <row r="31" spans="1:22">
      <c r="A31" s="1" t="s">
        <v>52</v>
      </c>
      <c r="B31" s="29">
        <v>158811.57266830187</v>
      </c>
      <c r="C31" s="30">
        <v>0</v>
      </c>
      <c r="D31" s="30">
        <v>7414921.0042429958</v>
      </c>
      <c r="E31" s="30">
        <v>0</v>
      </c>
      <c r="F31" s="30">
        <v>0</v>
      </c>
      <c r="G31" s="31">
        <f>SUM(MO_FINANCIAL)</f>
        <v>7573732.5769112976</v>
      </c>
      <c r="H31" s="30"/>
      <c r="I31" s="30"/>
      <c r="J31" s="30"/>
      <c r="K31" s="30"/>
      <c r="L31" s="29">
        <v>0</v>
      </c>
      <c r="M31" s="30">
        <v>0</v>
      </c>
      <c r="N31" s="30"/>
      <c r="O31" s="30">
        <v>0</v>
      </c>
      <c r="P31" s="30">
        <v>0</v>
      </c>
      <c r="Q31" s="30"/>
      <c r="R31" s="30">
        <v>6408239</v>
      </c>
      <c r="S31" s="30">
        <v>0</v>
      </c>
      <c r="T31" s="30"/>
      <c r="U31" s="30">
        <v>0</v>
      </c>
      <c r="V31" s="31">
        <v>0</v>
      </c>
    </row>
    <row r="32" spans="1:22">
      <c r="A32" s="1" t="s">
        <v>53</v>
      </c>
      <c r="B32" s="29">
        <v>72909.411423329628</v>
      </c>
      <c r="C32" s="30">
        <v>0</v>
      </c>
      <c r="D32" s="30">
        <v>373348.21938114444</v>
      </c>
      <c r="E32" s="30">
        <v>0</v>
      </c>
      <c r="F32" s="30">
        <v>0</v>
      </c>
      <c r="G32" s="31">
        <f>SUM(MT_FINANCIAL)</f>
        <v>446257.63080447406</v>
      </c>
      <c r="H32" s="30"/>
      <c r="I32" s="30"/>
      <c r="J32" s="30"/>
      <c r="K32" s="30"/>
      <c r="L32" s="29"/>
      <c r="M32" s="30"/>
      <c r="N32" s="30"/>
      <c r="O32" s="30"/>
      <c r="P32" s="30"/>
      <c r="Q32" s="30"/>
      <c r="R32" s="30"/>
      <c r="S32" s="30"/>
      <c r="T32" s="30"/>
      <c r="U32" s="30"/>
      <c r="V32" s="31"/>
    </row>
    <row r="33" spans="1:22">
      <c r="A33" s="1" t="s">
        <v>54</v>
      </c>
      <c r="B33" s="29">
        <v>257998.83164462322</v>
      </c>
      <c r="C33" s="30">
        <v>0</v>
      </c>
      <c r="D33" s="30">
        <v>517286.93348172872</v>
      </c>
      <c r="E33" s="30">
        <v>0</v>
      </c>
      <c r="F33" s="30">
        <v>0</v>
      </c>
      <c r="G33" s="31">
        <f>SUM(NE_FINANCIAL)</f>
        <v>775285.76512635197</v>
      </c>
      <c r="H33" s="30"/>
      <c r="I33" s="30"/>
      <c r="J33" s="30"/>
      <c r="K33" s="30"/>
      <c r="L33" s="29"/>
      <c r="M33" s="30"/>
      <c r="N33" s="30"/>
      <c r="O33" s="30"/>
      <c r="P33" s="30"/>
      <c r="Q33" s="30"/>
      <c r="R33" s="30"/>
      <c r="S33" s="30"/>
      <c r="T33" s="30"/>
      <c r="U33" s="30"/>
      <c r="V33" s="31"/>
    </row>
    <row r="34" spans="1:22">
      <c r="A34" s="1" t="s">
        <v>55</v>
      </c>
      <c r="B34" s="29">
        <v>-7298.6807351396546</v>
      </c>
      <c r="C34" s="30">
        <v>0</v>
      </c>
      <c r="D34" s="30">
        <v>3834615.8760027061</v>
      </c>
      <c r="E34" s="30">
        <v>0</v>
      </c>
      <c r="F34" s="30">
        <v>0</v>
      </c>
      <c r="G34" s="31">
        <f>SUM(NV_FINANCIAL)</f>
        <v>3827317.1952675665</v>
      </c>
      <c r="H34" s="30"/>
      <c r="I34" s="30"/>
      <c r="J34" s="30"/>
      <c r="K34" s="30"/>
      <c r="L34" s="29"/>
      <c r="M34" s="30"/>
      <c r="N34" s="30"/>
      <c r="O34" s="30"/>
      <c r="P34" s="30"/>
      <c r="Q34" s="30"/>
      <c r="R34" s="30"/>
      <c r="S34" s="30"/>
      <c r="T34" s="30"/>
      <c r="U34" s="30"/>
      <c r="V34" s="31"/>
    </row>
    <row r="35" spans="1:22">
      <c r="A35" s="1" t="s">
        <v>56</v>
      </c>
      <c r="B35" s="29">
        <v>0</v>
      </c>
      <c r="C35" s="30">
        <v>0</v>
      </c>
      <c r="D35" s="30">
        <v>0</v>
      </c>
      <c r="E35" s="30">
        <v>0</v>
      </c>
      <c r="F35" s="30">
        <v>0</v>
      </c>
      <c r="G35" s="31">
        <f>SUM(NH_FINANCIAL)</f>
        <v>0</v>
      </c>
      <c r="H35" s="30"/>
      <c r="I35" s="30"/>
      <c r="J35" s="30"/>
      <c r="K35" s="30"/>
      <c r="L35" s="29"/>
      <c r="M35" s="30"/>
      <c r="N35" s="30"/>
      <c r="O35" s="30"/>
      <c r="P35" s="30"/>
      <c r="Q35" s="30"/>
      <c r="R35" s="30"/>
      <c r="S35" s="30"/>
      <c r="T35" s="30"/>
      <c r="U35" s="30"/>
      <c r="V35" s="31"/>
    </row>
    <row r="36" spans="1:22">
      <c r="A36" s="1" t="s">
        <v>57</v>
      </c>
      <c r="B36" s="29">
        <v>0</v>
      </c>
      <c r="C36" s="30">
        <v>0</v>
      </c>
      <c r="D36" s="30">
        <v>0</v>
      </c>
      <c r="E36" s="30">
        <v>0</v>
      </c>
      <c r="F36" s="30">
        <v>0</v>
      </c>
      <c r="G36" s="31">
        <f>SUM(NJ_FINANCIAL)</f>
        <v>0</v>
      </c>
      <c r="H36" s="30"/>
      <c r="I36" s="30"/>
      <c r="J36" s="30"/>
      <c r="K36" s="30"/>
      <c r="L36" s="29"/>
      <c r="M36" s="30"/>
      <c r="N36" s="30"/>
      <c r="O36" s="30"/>
      <c r="P36" s="30"/>
      <c r="Q36" s="30"/>
      <c r="R36" s="30"/>
      <c r="S36" s="30"/>
      <c r="T36" s="30"/>
      <c r="U36" s="30"/>
      <c r="V36" s="31"/>
    </row>
    <row r="37" spans="1:22">
      <c r="A37" s="1" t="s">
        <v>58</v>
      </c>
      <c r="B37" s="29">
        <v>52462.816768724355</v>
      </c>
      <c r="C37" s="30">
        <v>0</v>
      </c>
      <c r="D37" s="30">
        <v>202921.64239208994</v>
      </c>
      <c r="E37" s="30">
        <v>0</v>
      </c>
      <c r="F37" s="30">
        <v>0</v>
      </c>
      <c r="G37" s="31">
        <f>SUM(NM_FINANCIAL)</f>
        <v>255384.45916081429</v>
      </c>
      <c r="H37" s="30"/>
      <c r="I37" s="30"/>
      <c r="J37" s="30"/>
      <c r="K37" s="30"/>
      <c r="L37" s="29"/>
      <c r="M37" s="30"/>
      <c r="N37" s="30"/>
      <c r="O37" s="30"/>
      <c r="P37" s="30"/>
      <c r="Q37" s="30"/>
      <c r="R37" s="30"/>
      <c r="S37" s="30"/>
      <c r="T37" s="30"/>
      <c r="U37" s="30"/>
      <c r="V37" s="31"/>
    </row>
    <row r="38" spans="1:22">
      <c r="A38" s="1" t="s">
        <v>59</v>
      </c>
      <c r="B38" s="29">
        <v>0</v>
      </c>
      <c r="C38" s="30">
        <v>0</v>
      </c>
      <c r="D38" s="30">
        <v>0</v>
      </c>
      <c r="E38" s="30">
        <v>0</v>
      </c>
      <c r="F38" s="30">
        <v>0</v>
      </c>
      <c r="G38" s="31">
        <f>SUM(NY_FINANCIAL)</f>
        <v>0</v>
      </c>
      <c r="H38" s="30"/>
      <c r="I38" s="30"/>
      <c r="J38" s="30"/>
      <c r="K38" s="30"/>
      <c r="L38" s="29"/>
      <c r="M38" s="30"/>
      <c r="N38" s="30"/>
      <c r="O38" s="30"/>
      <c r="P38" s="30"/>
      <c r="Q38" s="30"/>
      <c r="R38" s="30"/>
      <c r="S38" s="30"/>
      <c r="T38" s="30"/>
      <c r="U38" s="30"/>
      <c r="V38" s="31"/>
    </row>
    <row r="39" spans="1:22">
      <c r="A39" s="1" t="s">
        <v>60</v>
      </c>
      <c r="B39" s="29">
        <v>-42451.802424857713</v>
      </c>
      <c r="C39" s="30">
        <v>0</v>
      </c>
      <c r="D39" s="30">
        <v>2652605.01482801</v>
      </c>
      <c r="E39" s="30">
        <v>0</v>
      </c>
      <c r="F39" s="30">
        <v>0</v>
      </c>
      <c r="G39" s="31">
        <f>SUM(NC_FINANCIAL)</f>
        <v>2610153.2124031521</v>
      </c>
      <c r="H39" s="30"/>
      <c r="I39" s="30"/>
      <c r="J39" s="30"/>
      <c r="K39" s="30"/>
      <c r="L39" s="29">
        <v>0</v>
      </c>
      <c r="M39" s="30">
        <v>0</v>
      </c>
      <c r="N39" s="30"/>
      <c r="O39" s="30">
        <v>0</v>
      </c>
      <c r="P39" s="30">
        <v>0</v>
      </c>
      <c r="Q39" s="30"/>
      <c r="R39" s="30">
        <v>3000000</v>
      </c>
      <c r="S39" s="30">
        <v>0</v>
      </c>
      <c r="T39" s="30"/>
      <c r="U39" s="30">
        <v>0</v>
      </c>
      <c r="V39" s="31">
        <v>0</v>
      </c>
    </row>
    <row r="40" spans="1:22">
      <c r="A40" s="1" t="s">
        <v>61</v>
      </c>
      <c r="B40" s="29">
        <v>14604.251797925011</v>
      </c>
      <c r="C40" s="30">
        <v>0</v>
      </c>
      <c r="D40" s="30">
        <v>6607.8054823853909</v>
      </c>
      <c r="E40" s="30">
        <v>0</v>
      </c>
      <c r="F40" s="30">
        <v>0</v>
      </c>
      <c r="G40" s="31">
        <f>SUM(ND_FINANCIAL)</f>
        <v>21212.057280310401</v>
      </c>
      <c r="H40" s="30"/>
      <c r="I40" s="30"/>
      <c r="J40" s="30"/>
      <c r="K40" s="30"/>
      <c r="L40" s="29"/>
      <c r="M40" s="30"/>
      <c r="N40" s="30"/>
      <c r="O40" s="30"/>
      <c r="P40" s="30"/>
      <c r="Q40" s="30"/>
      <c r="R40" s="30"/>
      <c r="S40" s="30"/>
      <c r="T40" s="30"/>
      <c r="U40" s="30"/>
      <c r="V40" s="31"/>
    </row>
    <row r="41" spans="1:22">
      <c r="A41" s="1" t="s">
        <v>62</v>
      </c>
      <c r="B41" s="29">
        <v>225488.83674408923</v>
      </c>
      <c r="C41" s="30">
        <v>0</v>
      </c>
      <c r="D41" s="30">
        <v>11643580.772600088</v>
      </c>
      <c r="E41" s="30">
        <v>0</v>
      </c>
      <c r="F41" s="30">
        <v>0</v>
      </c>
      <c r="G41" s="31">
        <f>SUM(OH_FINANCIAL)</f>
        <v>11869069.609344177</v>
      </c>
      <c r="H41" s="30"/>
      <c r="I41" s="30"/>
      <c r="J41" s="30"/>
      <c r="K41" s="30"/>
      <c r="L41" s="29">
        <v>0</v>
      </c>
      <c r="M41" s="30">
        <v>0</v>
      </c>
      <c r="N41" s="30"/>
      <c r="O41" s="30">
        <v>0</v>
      </c>
      <c r="P41" s="30">
        <v>0</v>
      </c>
      <c r="Q41" s="30"/>
      <c r="R41" s="30">
        <v>4000000</v>
      </c>
      <c r="S41" s="30">
        <v>0</v>
      </c>
      <c r="T41" s="30"/>
      <c r="U41" s="30">
        <v>0</v>
      </c>
      <c r="V41" s="31">
        <v>0</v>
      </c>
    </row>
    <row r="42" spans="1:22">
      <c r="A42" s="1" t="s">
        <v>63</v>
      </c>
      <c r="B42" s="29">
        <v>116576.27243873462</v>
      </c>
      <c r="C42" s="30">
        <v>0</v>
      </c>
      <c r="D42" s="30">
        <v>351259.4923063126</v>
      </c>
      <c r="E42" s="30">
        <v>0</v>
      </c>
      <c r="F42" s="30">
        <v>0</v>
      </c>
      <c r="G42" s="31">
        <f>SUM(OK_FINANCIAL)</f>
        <v>467835.7647450472</v>
      </c>
      <c r="H42" s="30"/>
      <c r="I42" s="30"/>
      <c r="J42" s="30"/>
      <c r="K42" s="30"/>
      <c r="L42" s="29">
        <v>235000</v>
      </c>
      <c r="M42" s="30">
        <v>0</v>
      </c>
      <c r="N42" s="30"/>
      <c r="O42" s="30">
        <v>265000</v>
      </c>
      <c r="P42" s="30">
        <v>0</v>
      </c>
      <c r="Q42" s="30"/>
      <c r="R42" s="30">
        <v>0</v>
      </c>
      <c r="S42" s="30">
        <v>0</v>
      </c>
      <c r="T42" s="30"/>
      <c r="U42" s="30">
        <v>0</v>
      </c>
      <c r="V42" s="31">
        <v>0</v>
      </c>
    </row>
    <row r="43" spans="1:22">
      <c r="A43" s="1" t="s">
        <v>64</v>
      </c>
      <c r="B43" s="29">
        <v>73088.833140524119</v>
      </c>
      <c r="C43" s="30">
        <v>0</v>
      </c>
      <c r="D43" s="30">
        <v>143776.8679820314</v>
      </c>
      <c r="E43" s="30">
        <v>0</v>
      </c>
      <c r="F43" s="30">
        <v>0</v>
      </c>
      <c r="G43" s="31">
        <f>SUM(OR_FINANCIAL)</f>
        <v>216865.70112255553</v>
      </c>
      <c r="H43" s="30"/>
      <c r="I43" s="30"/>
      <c r="J43" s="30"/>
      <c r="K43" s="30"/>
      <c r="L43" s="29">
        <v>0</v>
      </c>
      <c r="M43" s="30">
        <v>0</v>
      </c>
      <c r="N43" s="30"/>
      <c r="O43" s="30">
        <v>0</v>
      </c>
      <c r="P43" s="30">
        <v>0</v>
      </c>
      <c r="Q43" s="30"/>
      <c r="R43" s="30">
        <v>225000</v>
      </c>
      <c r="S43" s="30">
        <v>0</v>
      </c>
      <c r="T43" s="30"/>
      <c r="U43" s="30">
        <v>0</v>
      </c>
      <c r="V43" s="31">
        <v>0</v>
      </c>
    </row>
    <row r="44" spans="1:22">
      <c r="A44" s="1" t="s">
        <v>65</v>
      </c>
      <c r="B44" s="29">
        <v>28292.933427804164</v>
      </c>
      <c r="C44" s="30">
        <v>0</v>
      </c>
      <c r="D44" s="30">
        <v>605877.70338322548</v>
      </c>
      <c r="E44" s="30">
        <v>0</v>
      </c>
      <c r="F44" s="30">
        <v>0</v>
      </c>
      <c r="G44" s="31">
        <f>SUM(PA_FINANCIAL)</f>
        <v>634170.63681102963</v>
      </c>
      <c r="H44" s="30"/>
      <c r="I44" s="30"/>
      <c r="J44" s="30"/>
      <c r="K44" s="30"/>
      <c r="L44" s="29"/>
      <c r="M44" s="30"/>
      <c r="N44" s="30"/>
      <c r="O44" s="30"/>
      <c r="P44" s="30"/>
      <c r="Q44" s="30"/>
      <c r="R44" s="30"/>
      <c r="S44" s="30"/>
      <c r="T44" s="30"/>
      <c r="U44" s="30"/>
      <c r="V44" s="31"/>
    </row>
    <row r="45" spans="1:22">
      <c r="A45" s="1" t="s">
        <v>66</v>
      </c>
      <c r="B45" s="29">
        <v>0</v>
      </c>
      <c r="C45" s="30">
        <v>0</v>
      </c>
      <c r="D45" s="30">
        <v>0</v>
      </c>
      <c r="E45" s="30">
        <v>0</v>
      </c>
      <c r="F45" s="30">
        <v>0</v>
      </c>
      <c r="G45" s="31">
        <f>SUM(PR_FINANCIAL)</f>
        <v>0</v>
      </c>
      <c r="H45" s="30"/>
      <c r="I45" s="30"/>
      <c r="J45" s="30"/>
      <c r="K45" s="30"/>
      <c r="L45" s="29"/>
      <c r="M45" s="30"/>
      <c r="N45" s="30"/>
      <c r="O45" s="30"/>
      <c r="P45" s="30"/>
      <c r="Q45" s="30"/>
      <c r="R45" s="30"/>
      <c r="S45" s="30"/>
      <c r="T45" s="30"/>
      <c r="U45" s="30"/>
      <c r="V45" s="31"/>
    </row>
    <row r="46" spans="1:22">
      <c r="A46" s="1" t="s">
        <v>67</v>
      </c>
      <c r="B46" s="29">
        <v>0</v>
      </c>
      <c r="C46" s="30">
        <v>0</v>
      </c>
      <c r="D46" s="30">
        <v>4527.391985781559</v>
      </c>
      <c r="E46" s="30">
        <v>0</v>
      </c>
      <c r="F46" s="30">
        <v>0</v>
      </c>
      <c r="G46" s="31">
        <f>SUM(RI_FINANCIAL)</f>
        <v>4527.391985781559</v>
      </c>
      <c r="H46" s="30"/>
      <c r="I46" s="30"/>
      <c r="J46" s="30"/>
      <c r="K46" s="30"/>
      <c r="L46" s="29"/>
      <c r="M46" s="30"/>
      <c r="N46" s="30"/>
      <c r="O46" s="30"/>
      <c r="P46" s="30"/>
      <c r="Q46" s="30"/>
      <c r="R46" s="30"/>
      <c r="S46" s="30"/>
      <c r="T46" s="30"/>
      <c r="U46" s="30"/>
      <c r="V46" s="31"/>
    </row>
    <row r="47" spans="1:22">
      <c r="A47" s="1" t="s">
        <v>68</v>
      </c>
      <c r="B47" s="29">
        <v>151607.57645692537</v>
      </c>
      <c r="C47" s="30">
        <v>0</v>
      </c>
      <c r="D47" s="30">
        <v>2517218.398757746</v>
      </c>
      <c r="E47" s="30">
        <v>0</v>
      </c>
      <c r="F47" s="30">
        <v>0</v>
      </c>
      <c r="G47" s="31">
        <f>SUM(SC_FINANCIAL)</f>
        <v>2668825.9752146713</v>
      </c>
      <c r="H47" s="30"/>
      <c r="I47" s="30"/>
      <c r="J47" s="30"/>
      <c r="K47" s="30"/>
      <c r="L47" s="29">
        <v>0</v>
      </c>
      <c r="M47" s="30">
        <v>0</v>
      </c>
      <c r="N47" s="30"/>
      <c r="O47" s="30">
        <v>0</v>
      </c>
      <c r="P47" s="30">
        <v>0</v>
      </c>
      <c r="Q47" s="30"/>
      <c r="R47" s="30">
        <v>2200000</v>
      </c>
      <c r="S47" s="30">
        <v>0</v>
      </c>
      <c r="T47" s="30"/>
      <c r="U47" s="30">
        <v>0</v>
      </c>
      <c r="V47" s="31">
        <v>0</v>
      </c>
    </row>
    <row r="48" spans="1:22">
      <c r="A48" s="1" t="s">
        <v>69</v>
      </c>
      <c r="B48" s="29">
        <v>12691.739431192545</v>
      </c>
      <c r="C48" s="30">
        <v>0</v>
      </c>
      <c r="D48" s="30">
        <v>81454.09098627088</v>
      </c>
      <c r="E48" s="30">
        <v>0</v>
      </c>
      <c r="F48" s="30">
        <v>0</v>
      </c>
      <c r="G48" s="31">
        <f>SUM(SD_FINANCIAL)</f>
        <v>94145.830417463425</v>
      </c>
      <c r="H48" s="30"/>
      <c r="I48" s="30"/>
      <c r="J48" s="30"/>
      <c r="K48" s="30"/>
      <c r="L48" s="29"/>
      <c r="M48" s="30"/>
      <c r="N48" s="30"/>
      <c r="O48" s="30"/>
      <c r="P48" s="30"/>
      <c r="Q48" s="30"/>
      <c r="R48" s="30"/>
      <c r="S48" s="30"/>
      <c r="T48" s="30"/>
      <c r="U48" s="30"/>
      <c r="V48" s="31"/>
    </row>
    <row r="49" spans="1:22">
      <c r="A49" s="1" t="s">
        <v>70</v>
      </c>
      <c r="B49" s="29">
        <v>88310.73760993738</v>
      </c>
      <c r="C49" s="30">
        <v>0</v>
      </c>
      <c r="D49" s="30">
        <v>1082067.699638627</v>
      </c>
      <c r="E49" s="30">
        <v>0</v>
      </c>
      <c r="F49" s="30">
        <v>0</v>
      </c>
      <c r="G49" s="31">
        <f>SUM(TN_FINANCIAL)</f>
        <v>1170378.4372485643</v>
      </c>
      <c r="H49" s="30"/>
      <c r="I49" s="30"/>
      <c r="J49" s="30"/>
      <c r="K49" s="30"/>
      <c r="L49" s="29"/>
      <c r="M49" s="30"/>
      <c r="N49" s="30"/>
      <c r="O49" s="30"/>
      <c r="P49" s="30"/>
      <c r="Q49" s="30"/>
      <c r="R49" s="30"/>
      <c r="S49" s="30"/>
      <c r="T49" s="30"/>
      <c r="U49" s="30"/>
      <c r="V49" s="31"/>
    </row>
    <row r="50" spans="1:22">
      <c r="A50" s="1" t="s">
        <v>71</v>
      </c>
      <c r="B50" s="29">
        <v>130528.03574234618</v>
      </c>
      <c r="C50" s="30">
        <v>0</v>
      </c>
      <c r="D50" s="30">
        <v>2039220.1095881916</v>
      </c>
      <c r="E50" s="30">
        <v>0</v>
      </c>
      <c r="F50" s="30">
        <v>0</v>
      </c>
      <c r="G50" s="31">
        <f>SUM(TX_FINANCIAL)</f>
        <v>2169748.1453305376</v>
      </c>
      <c r="H50" s="30"/>
      <c r="I50" s="30"/>
      <c r="J50" s="30"/>
      <c r="K50" s="30"/>
      <c r="L50" s="29">
        <v>599995</v>
      </c>
      <c r="M50" s="30">
        <v>0</v>
      </c>
      <c r="N50" s="30"/>
      <c r="O50" s="30">
        <v>0</v>
      </c>
      <c r="P50" s="30">
        <v>0</v>
      </c>
      <c r="Q50" s="30"/>
      <c r="R50" s="30">
        <v>2249991</v>
      </c>
      <c r="S50" s="30">
        <v>0</v>
      </c>
      <c r="T50" s="30"/>
      <c r="U50" s="30">
        <v>0</v>
      </c>
      <c r="V50" s="31">
        <v>0</v>
      </c>
    </row>
    <row r="51" spans="1:22">
      <c r="A51" s="1" t="s">
        <v>72</v>
      </c>
      <c r="B51" s="29">
        <v>108988.3078070537</v>
      </c>
      <c r="C51" s="30">
        <v>0</v>
      </c>
      <c r="D51" s="30">
        <v>-3591.6209493634042</v>
      </c>
      <c r="E51" s="30">
        <v>0</v>
      </c>
      <c r="F51" s="30">
        <v>0</v>
      </c>
      <c r="G51" s="31">
        <f>SUM(UT_FINANCIAL)</f>
        <v>105396.68685769029</v>
      </c>
      <c r="H51" s="30"/>
      <c r="I51" s="30"/>
      <c r="J51" s="30"/>
      <c r="K51" s="30"/>
      <c r="L51" s="29">
        <v>102583</v>
      </c>
      <c r="M51" s="30">
        <v>0</v>
      </c>
      <c r="N51" s="30"/>
      <c r="O51" s="30">
        <v>0</v>
      </c>
      <c r="P51" s="30">
        <v>0</v>
      </c>
      <c r="Q51" s="30"/>
      <c r="R51" s="30">
        <v>51916</v>
      </c>
      <c r="S51" s="30">
        <v>0</v>
      </c>
      <c r="T51" s="30"/>
      <c r="U51" s="30">
        <v>0</v>
      </c>
      <c r="V51" s="31">
        <v>0</v>
      </c>
    </row>
    <row r="52" spans="1:22">
      <c r="A52" s="1" t="s">
        <v>73</v>
      </c>
      <c r="B52" s="29">
        <v>0</v>
      </c>
      <c r="C52" s="30">
        <v>0</v>
      </c>
      <c r="D52" s="30">
        <v>0</v>
      </c>
      <c r="E52" s="30">
        <v>0</v>
      </c>
      <c r="F52" s="30">
        <v>0</v>
      </c>
      <c r="G52" s="31">
        <f>SUM(VT_FINANCIAL)</f>
        <v>0</v>
      </c>
      <c r="H52" s="30"/>
      <c r="I52" s="30"/>
      <c r="J52" s="30"/>
      <c r="K52" s="30"/>
      <c r="L52" s="29"/>
      <c r="M52" s="30"/>
      <c r="N52" s="30"/>
      <c r="O52" s="30"/>
      <c r="P52" s="30"/>
      <c r="Q52" s="30"/>
      <c r="R52" s="30"/>
      <c r="S52" s="30"/>
      <c r="T52" s="30"/>
      <c r="U52" s="30"/>
      <c r="V52" s="31"/>
    </row>
    <row r="53" spans="1:22">
      <c r="A53" s="1" t="s">
        <v>74</v>
      </c>
      <c r="B53" s="29">
        <v>-161088.52997509652</v>
      </c>
      <c r="C53" s="30">
        <v>0</v>
      </c>
      <c r="D53" s="30">
        <v>929415.41700583207</v>
      </c>
      <c r="E53" s="30">
        <v>0</v>
      </c>
      <c r="F53" s="30">
        <v>0</v>
      </c>
      <c r="G53" s="31">
        <f>SUM(VA_FINANCIAL)</f>
        <v>768326.88703073561</v>
      </c>
      <c r="H53" s="30"/>
      <c r="I53" s="30"/>
      <c r="J53" s="30"/>
      <c r="K53" s="30"/>
      <c r="L53" s="29"/>
      <c r="M53" s="30"/>
      <c r="N53" s="30"/>
      <c r="O53" s="30"/>
      <c r="P53" s="30"/>
      <c r="Q53" s="30"/>
      <c r="R53" s="30"/>
      <c r="S53" s="30"/>
      <c r="T53" s="30"/>
      <c r="U53" s="30"/>
      <c r="V53" s="31"/>
    </row>
    <row r="54" spans="1:22">
      <c r="A54" s="1" t="s">
        <v>75</v>
      </c>
      <c r="B54" s="29">
        <v>17002.154167611483</v>
      </c>
      <c r="C54" s="30">
        <v>0</v>
      </c>
      <c r="D54" s="30">
        <v>996004.94588935853</v>
      </c>
      <c r="E54" s="30">
        <v>0</v>
      </c>
      <c r="F54" s="30">
        <v>0</v>
      </c>
      <c r="G54" s="31">
        <f>SUM(WA_FINANCIAL)</f>
        <v>1013007.10005697</v>
      </c>
      <c r="H54" s="30"/>
      <c r="I54" s="30"/>
      <c r="J54" s="30"/>
      <c r="K54" s="30"/>
      <c r="L54" s="29"/>
      <c r="M54" s="30"/>
      <c r="N54" s="30"/>
      <c r="O54" s="30"/>
      <c r="P54" s="30"/>
      <c r="Q54" s="30"/>
      <c r="R54" s="30"/>
      <c r="S54" s="30"/>
      <c r="T54" s="30"/>
      <c r="U54" s="30"/>
      <c r="V54" s="31"/>
    </row>
    <row r="55" spans="1:22">
      <c r="A55" s="1" t="s">
        <v>76</v>
      </c>
      <c r="B55" s="29">
        <v>62934.231685590079</v>
      </c>
      <c r="C55" s="30">
        <v>0</v>
      </c>
      <c r="D55" s="30">
        <v>-7659.1631783194953</v>
      </c>
      <c r="E55" s="30">
        <v>0</v>
      </c>
      <c r="F55" s="30">
        <v>0</v>
      </c>
      <c r="G55" s="31">
        <f>SUM(WV_FINANCIAL)</f>
        <v>55275.068507270582</v>
      </c>
      <c r="H55" s="30"/>
      <c r="I55" s="30"/>
      <c r="J55" s="30"/>
      <c r="K55" s="30"/>
      <c r="L55" s="29"/>
      <c r="M55" s="30"/>
      <c r="N55" s="30"/>
      <c r="O55" s="30"/>
      <c r="P55" s="30"/>
      <c r="Q55" s="30"/>
      <c r="R55" s="30"/>
      <c r="S55" s="30"/>
      <c r="T55" s="30"/>
      <c r="U55" s="30"/>
      <c r="V55" s="31"/>
    </row>
    <row r="56" spans="1:22">
      <c r="A56" s="1" t="s">
        <v>77</v>
      </c>
      <c r="B56" s="29">
        <v>231238.64115065671</v>
      </c>
      <c r="C56" s="30">
        <v>0</v>
      </c>
      <c r="D56" s="30">
        <v>2415448.9206340075</v>
      </c>
      <c r="E56" s="30">
        <v>0</v>
      </c>
      <c r="F56" s="30">
        <v>0</v>
      </c>
      <c r="G56" s="31">
        <f>SUM(WI_FINANCIAL)</f>
        <v>2646687.5617846642</v>
      </c>
      <c r="H56" s="30"/>
      <c r="I56" s="30"/>
      <c r="J56" s="30"/>
      <c r="K56" s="30"/>
      <c r="L56" s="29">
        <v>0</v>
      </c>
      <c r="M56" s="30">
        <v>0</v>
      </c>
      <c r="N56" s="30"/>
      <c r="O56" s="30">
        <v>0</v>
      </c>
      <c r="P56" s="30">
        <v>0</v>
      </c>
      <c r="Q56" s="30"/>
      <c r="R56" s="30">
        <v>2500000</v>
      </c>
      <c r="S56" s="30">
        <v>0</v>
      </c>
      <c r="T56" s="30"/>
      <c r="U56" s="30">
        <v>0</v>
      </c>
      <c r="V56" s="31">
        <v>0</v>
      </c>
    </row>
    <row r="57" spans="1:22">
      <c r="A57" s="1" t="s">
        <v>78</v>
      </c>
      <c r="B57" s="29">
        <v>0</v>
      </c>
      <c r="C57" s="30">
        <v>0</v>
      </c>
      <c r="D57" s="30">
        <v>0</v>
      </c>
      <c r="E57" s="30">
        <v>0</v>
      </c>
      <c r="F57" s="30">
        <v>0</v>
      </c>
      <c r="G57" s="31">
        <f>SUM(WY_FINANCIAL)</f>
        <v>0</v>
      </c>
      <c r="H57" s="30"/>
      <c r="I57" s="30"/>
      <c r="J57" s="30"/>
      <c r="K57" s="30"/>
      <c r="L57" s="29"/>
      <c r="M57" s="30"/>
      <c r="N57" s="30"/>
      <c r="O57" s="30"/>
      <c r="P57" s="30"/>
      <c r="Q57" s="30"/>
      <c r="R57" s="30"/>
      <c r="S57" s="30"/>
      <c r="T57" s="30"/>
      <c r="U57" s="30"/>
      <c r="V57" s="31"/>
    </row>
    <row r="58" spans="1:22">
      <c r="A58" s="1" t="s">
        <v>79</v>
      </c>
      <c r="B58" s="29">
        <v>0</v>
      </c>
      <c r="C58" s="30">
        <v>0</v>
      </c>
      <c r="D58" s="30">
        <v>0</v>
      </c>
      <c r="E58" s="30">
        <v>0</v>
      </c>
      <c r="F58" s="30">
        <v>0</v>
      </c>
      <c r="G58" s="31">
        <f>SUM(OT_FINANCIAL)</f>
        <v>0</v>
      </c>
      <c r="H58" s="30"/>
      <c r="I58" s="30"/>
      <c r="J58" s="30"/>
      <c r="K58" s="30"/>
      <c r="L58" s="29"/>
      <c r="M58" s="30"/>
      <c r="N58" s="30"/>
      <c r="O58" s="30"/>
      <c r="P58" s="30"/>
      <c r="Q58" s="30"/>
      <c r="R58" s="30"/>
      <c r="S58" s="30"/>
      <c r="T58" s="30"/>
      <c r="U58" s="30"/>
      <c r="V58" s="31"/>
    </row>
    <row r="59" spans="1:22">
      <c r="B59" s="29"/>
      <c r="C59" s="30"/>
      <c r="D59" s="30"/>
      <c r="E59" s="30"/>
      <c r="F59" s="30"/>
      <c r="G59" s="31"/>
      <c r="H59" s="30"/>
      <c r="I59" s="30"/>
      <c r="J59" s="30"/>
      <c r="K59" s="30"/>
      <c r="L59" s="29"/>
      <c r="M59" s="30"/>
      <c r="N59" s="30"/>
      <c r="O59" s="30"/>
      <c r="P59" s="30"/>
      <c r="Q59" s="30"/>
      <c r="R59" s="30"/>
      <c r="S59" s="30"/>
      <c r="T59" s="30"/>
      <c r="U59" s="30"/>
      <c r="V59" s="31"/>
    </row>
    <row r="60" spans="1:22">
      <c r="A60" s="1" t="s">
        <v>8</v>
      </c>
      <c r="B60" s="29">
        <f>SUM(LIFE)</f>
        <v>3829120.9257197981</v>
      </c>
      <c r="C60" s="30">
        <f>SUM(ALLOCATED)</f>
        <v>0</v>
      </c>
      <c r="D60" s="30">
        <f>SUM(HEALTH)</f>
        <v>128272114.19233982</v>
      </c>
      <c r="E60" s="30">
        <f>SUM(UNALLOCATED)</f>
        <v>0</v>
      </c>
      <c r="F60" s="30">
        <f>SUM(LTC)</f>
        <v>0</v>
      </c>
      <c r="G60" s="31">
        <f>SUM(ALL_BLOCKS)</f>
        <v>132101235.11805969</v>
      </c>
      <c r="H60" s="30"/>
      <c r="I60" s="30"/>
      <c r="J60" s="30"/>
      <c r="K60" s="30"/>
      <c r="L60" s="29">
        <f>SUM(LIFE_CALLED)</f>
        <v>1237578</v>
      </c>
      <c r="M60" s="30">
        <f>SUM(LIFE_REFUNDED)</f>
        <v>0</v>
      </c>
      <c r="N60" s="30"/>
      <c r="O60" s="30">
        <f>SUM(ALLOC_CALLED)</f>
        <v>265000</v>
      </c>
      <c r="P60" s="30">
        <f>SUM(ALLOC_REFUNDED)</f>
        <v>0</v>
      </c>
      <c r="Q60" s="30"/>
      <c r="R60" s="30">
        <f>SUM(HEALTH_CALLED)</f>
        <v>96326447</v>
      </c>
      <c r="S60" s="30">
        <f>SUM(HEALTH_REFUNDED)</f>
        <v>0</v>
      </c>
      <c r="T60" s="30"/>
      <c r="U60" s="30">
        <f>SUM(UNALLOC_CALLED)</f>
        <v>0</v>
      </c>
      <c r="V60" s="31">
        <f>SUM(UNALLOC_REFUNDED)</f>
        <v>0</v>
      </c>
    </row>
    <row r="61" spans="1:22" ht="5.0999999999999996" customHeight="1">
      <c r="B61" s="8"/>
      <c r="G61" s="11"/>
      <c r="L61" s="8"/>
      <c r="V61" s="11"/>
    </row>
    <row r="62" spans="1:22">
      <c r="B62" s="8"/>
      <c r="G62" s="11"/>
      <c r="L62" s="122" t="s">
        <v>80</v>
      </c>
      <c r="M62" s="123"/>
      <c r="N62" s="123"/>
      <c r="O62" s="123"/>
      <c r="P62" s="123"/>
      <c r="Q62" s="123"/>
      <c r="R62" s="123"/>
      <c r="S62" s="123"/>
      <c r="T62" s="123"/>
      <c r="U62" s="123"/>
      <c r="V62" s="124"/>
    </row>
    <row r="63" spans="1:22">
      <c r="B63" s="8"/>
      <c r="G63" s="11"/>
      <c r="L63" s="125"/>
      <c r="M63" s="123"/>
      <c r="N63" s="123"/>
      <c r="O63" s="123"/>
      <c r="P63" s="123"/>
      <c r="Q63" s="123"/>
      <c r="R63" s="123"/>
      <c r="S63" s="123"/>
      <c r="T63" s="123"/>
      <c r="U63" s="123"/>
      <c r="V63" s="124"/>
    </row>
    <row r="64" spans="1:22">
      <c r="B64" s="10"/>
      <c r="C64" s="7"/>
      <c r="D64" s="7"/>
      <c r="E64" s="7"/>
      <c r="F64" s="7"/>
      <c r="G64" s="13"/>
      <c r="L64" s="126"/>
      <c r="M64" s="127"/>
      <c r="N64" s="127"/>
      <c r="O64" s="127"/>
      <c r="P64" s="127"/>
      <c r="Q64" s="127"/>
      <c r="R64" s="127"/>
      <c r="S64" s="127"/>
      <c r="T64" s="127"/>
      <c r="U64" s="127"/>
      <c r="V64" s="128"/>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pageSetUpPr fitToPage="1"/>
  </sheetPr>
  <dimension ref="A1:V64"/>
  <sheetViews>
    <sheetView zoomScale="75" workbookViewId="0">
      <selection sqref="A1:XFD1048576"/>
    </sheetView>
  </sheetViews>
  <sheetFormatPr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129" t="s">
        <v>148</v>
      </c>
      <c r="B1" s="123"/>
      <c r="C1" s="123"/>
      <c r="D1" s="123"/>
      <c r="E1" s="123"/>
      <c r="F1" s="123"/>
      <c r="G1" s="123"/>
    </row>
    <row r="3" spans="1:22">
      <c r="B3" s="130" t="s">
        <v>1</v>
      </c>
      <c r="C3" s="131"/>
      <c r="D3" s="131"/>
      <c r="E3" s="131"/>
      <c r="F3" s="131"/>
      <c r="G3" s="132"/>
      <c r="L3" s="133" t="s">
        <v>2</v>
      </c>
      <c r="M3" s="134"/>
      <c r="N3" s="134"/>
      <c r="O3" s="134"/>
      <c r="P3" s="134"/>
      <c r="Q3" s="134"/>
      <c r="R3" s="134"/>
      <c r="S3" s="134"/>
      <c r="T3" s="134"/>
      <c r="U3" s="134"/>
      <c r="V3" s="135"/>
    </row>
    <row r="4" spans="1:22">
      <c r="B4" s="8"/>
      <c r="G4" s="11"/>
      <c r="L4" s="136" t="s">
        <v>3</v>
      </c>
      <c r="M4" s="137"/>
      <c r="N4" s="4"/>
      <c r="O4" s="138" t="s">
        <v>4</v>
      </c>
      <c r="P4" s="137"/>
      <c r="Q4" s="4"/>
      <c r="R4" s="138" t="s">
        <v>5</v>
      </c>
      <c r="S4" s="137"/>
      <c r="T4" s="4"/>
      <c r="U4" s="138" t="s">
        <v>6</v>
      </c>
      <c r="V4" s="139"/>
    </row>
    <row r="5" spans="1:22" ht="60" customHeight="1">
      <c r="B5" s="9" t="s">
        <v>3</v>
      </c>
      <c r="C5" s="5" t="s">
        <v>4</v>
      </c>
      <c r="D5" s="5" t="s">
        <v>5</v>
      </c>
      <c r="E5" s="5" t="s">
        <v>6</v>
      </c>
      <c r="F5" s="5" t="s">
        <v>7</v>
      </c>
      <c r="G5" s="12" t="s">
        <v>8</v>
      </c>
      <c r="L5" s="15" t="s">
        <v>9</v>
      </c>
      <c r="M5" s="14" t="s">
        <v>10</v>
      </c>
      <c r="N5" s="14"/>
      <c r="O5" s="14" t="s">
        <v>9</v>
      </c>
      <c r="P5" s="14" t="s">
        <v>10</v>
      </c>
      <c r="Q5" s="14"/>
      <c r="R5" s="14" t="s">
        <v>9</v>
      </c>
      <c r="S5" s="14" t="s">
        <v>10</v>
      </c>
      <c r="T5" s="14"/>
      <c r="U5" s="14" t="s">
        <v>9</v>
      </c>
      <c r="V5" s="16" t="s">
        <v>10</v>
      </c>
    </row>
    <row r="6" spans="1:22">
      <c r="A6" s="1" t="s">
        <v>11</v>
      </c>
      <c r="B6" s="29">
        <v>415871.31285645219</v>
      </c>
      <c r="C6" s="30">
        <v>0</v>
      </c>
      <c r="D6" s="30">
        <v>0</v>
      </c>
      <c r="E6" s="30">
        <v>0</v>
      </c>
      <c r="F6" s="30">
        <v>0</v>
      </c>
      <c r="G6" s="31">
        <f>SUM(AL_FINANCIAL)</f>
        <v>415871.31285645219</v>
      </c>
      <c r="H6" s="30"/>
      <c r="I6" s="30"/>
      <c r="J6" s="30"/>
      <c r="K6" s="30"/>
      <c r="L6" s="29">
        <v>450000</v>
      </c>
      <c r="M6" s="30">
        <v>0</v>
      </c>
      <c r="N6" s="30"/>
      <c r="O6" s="30">
        <v>0</v>
      </c>
      <c r="P6" s="30">
        <v>0</v>
      </c>
      <c r="Q6" s="30"/>
      <c r="R6" s="30">
        <v>0</v>
      </c>
      <c r="S6" s="30">
        <v>0</v>
      </c>
      <c r="T6" s="30"/>
      <c r="U6" s="30">
        <v>0</v>
      </c>
      <c r="V6" s="31">
        <v>0</v>
      </c>
    </row>
    <row r="7" spans="1:22">
      <c r="A7" s="1" t="s">
        <v>12</v>
      </c>
      <c r="B7" s="29">
        <v>40418.493799619901</v>
      </c>
      <c r="C7" s="30">
        <v>0</v>
      </c>
      <c r="D7" s="30">
        <v>0</v>
      </c>
      <c r="E7" s="30">
        <v>0</v>
      </c>
      <c r="F7" s="30">
        <v>0</v>
      </c>
      <c r="G7" s="31">
        <f>SUM(AK_FINANCIAL)</f>
        <v>40418.493799619901</v>
      </c>
      <c r="H7" s="30"/>
      <c r="I7" s="32"/>
      <c r="J7" s="33"/>
      <c r="K7" s="30"/>
      <c r="L7" s="29">
        <v>62205</v>
      </c>
      <c r="M7" s="30">
        <v>0</v>
      </c>
      <c r="N7" s="30"/>
      <c r="O7" s="30">
        <v>0</v>
      </c>
      <c r="P7" s="30">
        <v>0</v>
      </c>
      <c r="Q7" s="30"/>
      <c r="R7" s="30">
        <v>0</v>
      </c>
      <c r="S7" s="30">
        <v>0</v>
      </c>
      <c r="T7" s="30"/>
      <c r="U7" s="30">
        <v>0</v>
      </c>
      <c r="V7" s="31">
        <v>0</v>
      </c>
    </row>
    <row r="8" spans="1:22">
      <c r="A8" s="1" t="s">
        <v>13</v>
      </c>
      <c r="B8" s="29">
        <v>1400890.6423474564</v>
      </c>
      <c r="C8" s="30">
        <v>0</v>
      </c>
      <c r="D8" s="30">
        <v>0</v>
      </c>
      <c r="E8" s="30">
        <v>0</v>
      </c>
      <c r="F8" s="30">
        <v>0</v>
      </c>
      <c r="G8" s="31">
        <f>SUM(AZ_FINANCIAL)</f>
        <v>1400890.6423474564</v>
      </c>
      <c r="H8" s="30"/>
      <c r="I8" s="34" t="s">
        <v>14</v>
      </c>
      <c r="J8" s="35"/>
      <c r="K8" s="30"/>
      <c r="L8" s="29">
        <v>1022583</v>
      </c>
      <c r="M8" s="30">
        <v>0</v>
      </c>
      <c r="N8" s="30"/>
      <c r="O8" s="30">
        <v>0</v>
      </c>
      <c r="P8" s="30">
        <v>0</v>
      </c>
      <c r="Q8" s="30"/>
      <c r="R8" s="30">
        <v>0</v>
      </c>
      <c r="S8" s="30">
        <v>0</v>
      </c>
      <c r="T8" s="30"/>
      <c r="U8" s="30">
        <v>0</v>
      </c>
      <c r="V8" s="31">
        <v>0</v>
      </c>
    </row>
    <row r="9" spans="1:22">
      <c r="A9" s="1" t="s">
        <v>15</v>
      </c>
      <c r="B9" s="29">
        <v>300131.59902531386</v>
      </c>
      <c r="C9" s="30">
        <v>0</v>
      </c>
      <c r="D9" s="30">
        <v>0</v>
      </c>
      <c r="E9" s="30">
        <v>0</v>
      </c>
      <c r="F9" s="30">
        <v>0</v>
      </c>
      <c r="G9" s="31">
        <f>SUM(AR_FINANCIAL)</f>
        <v>300131.59902531386</v>
      </c>
      <c r="H9" s="30"/>
      <c r="I9" s="34"/>
      <c r="J9" s="35"/>
      <c r="K9" s="30"/>
      <c r="L9" s="29">
        <v>361600</v>
      </c>
      <c r="M9" s="30">
        <v>0</v>
      </c>
      <c r="N9" s="30"/>
      <c r="O9" s="30">
        <v>0</v>
      </c>
      <c r="P9" s="30">
        <v>0</v>
      </c>
      <c r="Q9" s="30"/>
      <c r="R9" s="30">
        <v>0</v>
      </c>
      <c r="S9" s="30">
        <v>0</v>
      </c>
      <c r="T9" s="30"/>
      <c r="U9" s="30">
        <v>0</v>
      </c>
      <c r="V9" s="31">
        <v>0</v>
      </c>
    </row>
    <row r="10" spans="1:22">
      <c r="A10" s="1" t="s">
        <v>16</v>
      </c>
      <c r="B10" s="29">
        <v>7576245.8598237233</v>
      </c>
      <c r="C10" s="30">
        <v>0</v>
      </c>
      <c r="D10" s="30">
        <v>0</v>
      </c>
      <c r="E10" s="30">
        <v>0</v>
      </c>
      <c r="F10" s="30">
        <v>0</v>
      </c>
      <c r="G10" s="31">
        <f>SUM(CA_FINANCIAL)</f>
        <v>7576245.8598237233</v>
      </c>
      <c r="H10" s="30"/>
      <c r="I10" s="34" t="s">
        <v>17</v>
      </c>
      <c r="J10" s="35">
        <v>217603141</v>
      </c>
      <c r="K10" s="30"/>
      <c r="L10" s="29">
        <v>8346598</v>
      </c>
      <c r="M10" s="30">
        <v>575000</v>
      </c>
      <c r="N10" s="30"/>
      <c r="O10" s="30">
        <v>0</v>
      </c>
      <c r="P10" s="30">
        <v>0</v>
      </c>
      <c r="Q10" s="30"/>
      <c r="R10" s="30">
        <v>0</v>
      </c>
      <c r="S10" s="30">
        <v>0</v>
      </c>
      <c r="T10" s="30"/>
      <c r="U10" s="30">
        <v>0</v>
      </c>
      <c r="V10" s="31">
        <v>0</v>
      </c>
    </row>
    <row r="11" spans="1:22">
      <c r="A11" s="1" t="s">
        <v>18</v>
      </c>
      <c r="B11" s="29">
        <v>0</v>
      </c>
      <c r="C11" s="30">
        <v>0</v>
      </c>
      <c r="D11" s="30">
        <v>0</v>
      </c>
      <c r="E11" s="30">
        <v>0</v>
      </c>
      <c r="F11" s="30">
        <v>0</v>
      </c>
      <c r="G11" s="31">
        <f>SUM(CO_FINANCIAL)</f>
        <v>0</v>
      </c>
      <c r="H11" s="30"/>
      <c r="I11" s="34"/>
      <c r="J11" s="35"/>
      <c r="K11" s="30"/>
      <c r="L11" s="29">
        <v>3932</v>
      </c>
      <c r="M11" s="30">
        <v>0</v>
      </c>
      <c r="N11" s="30"/>
      <c r="O11" s="30">
        <v>0</v>
      </c>
      <c r="P11" s="30">
        <v>0</v>
      </c>
      <c r="Q11" s="30"/>
      <c r="R11" s="30">
        <v>0</v>
      </c>
      <c r="S11" s="30">
        <v>0</v>
      </c>
      <c r="T11" s="30"/>
      <c r="U11" s="30">
        <v>0</v>
      </c>
      <c r="V11" s="31">
        <v>0</v>
      </c>
    </row>
    <row r="12" spans="1:22">
      <c r="A12" s="1" t="s">
        <v>19</v>
      </c>
      <c r="B12" s="29">
        <v>0</v>
      </c>
      <c r="C12" s="30">
        <v>0</v>
      </c>
      <c r="D12" s="30">
        <v>0</v>
      </c>
      <c r="E12" s="30">
        <v>0</v>
      </c>
      <c r="F12" s="30">
        <v>0</v>
      </c>
      <c r="G12" s="31">
        <f>SUM(CT_FINANCIAL)</f>
        <v>0</v>
      </c>
      <c r="H12" s="30"/>
      <c r="I12" s="34" t="s">
        <v>20</v>
      </c>
      <c r="J12" s="35"/>
      <c r="K12" s="30"/>
      <c r="L12" s="29"/>
      <c r="M12" s="30"/>
      <c r="N12" s="30"/>
      <c r="O12" s="30"/>
      <c r="P12" s="30"/>
      <c r="Q12" s="30"/>
      <c r="R12" s="30"/>
      <c r="S12" s="30"/>
      <c r="T12" s="30"/>
      <c r="U12" s="30"/>
      <c r="V12" s="31"/>
    </row>
    <row r="13" spans="1:22">
      <c r="A13" s="1" t="s">
        <v>21</v>
      </c>
      <c r="B13" s="29">
        <v>153690.11432847969</v>
      </c>
      <c r="C13" s="30">
        <v>0</v>
      </c>
      <c r="D13" s="30">
        <v>0</v>
      </c>
      <c r="E13" s="30">
        <v>0</v>
      </c>
      <c r="F13" s="30">
        <v>0</v>
      </c>
      <c r="G13" s="31">
        <f>SUM(DE_FINANCIAL)</f>
        <v>153690.11432847969</v>
      </c>
      <c r="H13" s="30"/>
      <c r="I13" s="34" t="s">
        <v>22</v>
      </c>
      <c r="J13" s="35">
        <v>0</v>
      </c>
      <c r="K13" s="30"/>
      <c r="L13" s="29">
        <v>145000</v>
      </c>
      <c r="M13" s="30">
        <v>0</v>
      </c>
      <c r="N13" s="30"/>
      <c r="O13" s="30">
        <v>0</v>
      </c>
      <c r="P13" s="30">
        <v>0</v>
      </c>
      <c r="Q13" s="30"/>
      <c r="R13" s="30">
        <v>0</v>
      </c>
      <c r="S13" s="30">
        <v>0</v>
      </c>
      <c r="T13" s="30"/>
      <c r="U13" s="30">
        <v>0</v>
      </c>
      <c r="V13" s="31">
        <v>0</v>
      </c>
    </row>
    <row r="14" spans="1:22">
      <c r="A14" s="1" t="s">
        <v>23</v>
      </c>
      <c r="B14" s="29">
        <v>0</v>
      </c>
      <c r="C14" s="30">
        <v>0</v>
      </c>
      <c r="D14" s="30">
        <v>0</v>
      </c>
      <c r="E14" s="30">
        <v>0</v>
      </c>
      <c r="F14" s="30">
        <v>0</v>
      </c>
      <c r="G14" s="31">
        <f>SUM(DC_FINANCIAL)</f>
        <v>0</v>
      </c>
      <c r="H14" s="30"/>
      <c r="I14" s="34" t="s">
        <v>24</v>
      </c>
      <c r="J14" s="35">
        <v>0</v>
      </c>
      <c r="K14" s="30"/>
      <c r="L14" s="29"/>
      <c r="M14" s="30"/>
      <c r="N14" s="30"/>
      <c r="O14" s="30"/>
      <c r="P14" s="30"/>
      <c r="Q14" s="30"/>
      <c r="R14" s="30"/>
      <c r="S14" s="30"/>
      <c r="T14" s="30"/>
      <c r="U14" s="30"/>
      <c r="V14" s="31"/>
    </row>
    <row r="15" spans="1:22">
      <c r="A15" s="1" t="s">
        <v>25</v>
      </c>
      <c r="B15" s="29">
        <v>5559640.5062511601</v>
      </c>
      <c r="C15" s="30">
        <v>0</v>
      </c>
      <c r="D15" s="30">
        <v>0</v>
      </c>
      <c r="E15" s="30">
        <v>0</v>
      </c>
      <c r="F15" s="30">
        <v>0</v>
      </c>
      <c r="G15" s="31">
        <f>SUM(FL_FINANCIAL)</f>
        <v>5559640.5062511601</v>
      </c>
      <c r="H15" s="30"/>
      <c r="I15" s="34" t="s">
        <v>26</v>
      </c>
      <c r="J15" s="35">
        <v>1882080.4400000002</v>
      </c>
      <c r="K15" s="30"/>
      <c r="L15" s="29">
        <v>5300000</v>
      </c>
      <c r="M15" s="30">
        <v>0</v>
      </c>
      <c r="N15" s="30"/>
      <c r="O15" s="30">
        <v>0</v>
      </c>
      <c r="P15" s="30">
        <v>0</v>
      </c>
      <c r="Q15" s="30"/>
      <c r="R15" s="30">
        <v>0</v>
      </c>
      <c r="S15" s="30">
        <v>0</v>
      </c>
      <c r="T15" s="30"/>
      <c r="U15" s="30">
        <v>0</v>
      </c>
      <c r="V15" s="31">
        <v>0</v>
      </c>
    </row>
    <row r="16" spans="1:22">
      <c r="A16" s="1" t="s">
        <v>27</v>
      </c>
      <c r="B16" s="29">
        <v>677279.66028366506</v>
      </c>
      <c r="C16" s="30">
        <v>0</v>
      </c>
      <c r="D16" s="30">
        <v>0</v>
      </c>
      <c r="E16" s="30">
        <v>0</v>
      </c>
      <c r="F16" s="30">
        <v>0</v>
      </c>
      <c r="G16" s="31">
        <f>SUM(GA_FINANCIAL)</f>
        <v>677279.66028366506</v>
      </c>
      <c r="H16" s="30"/>
      <c r="I16" s="34" t="s">
        <v>28</v>
      </c>
      <c r="J16" s="35">
        <v>0</v>
      </c>
      <c r="K16" s="30"/>
      <c r="L16" s="29">
        <v>690574</v>
      </c>
      <c r="M16" s="30">
        <v>0</v>
      </c>
      <c r="N16" s="30"/>
      <c r="O16" s="30">
        <v>0</v>
      </c>
      <c r="P16" s="30">
        <v>0</v>
      </c>
      <c r="Q16" s="30"/>
      <c r="R16" s="30">
        <v>0</v>
      </c>
      <c r="S16" s="30">
        <v>0</v>
      </c>
      <c r="T16" s="30"/>
      <c r="U16" s="30">
        <v>0</v>
      </c>
      <c r="V16" s="31">
        <v>0</v>
      </c>
    </row>
    <row r="17" spans="1:22">
      <c r="A17" s="1" t="s">
        <v>29</v>
      </c>
      <c r="B17" s="29">
        <v>190995.55400025152</v>
      </c>
      <c r="C17" s="30">
        <v>0</v>
      </c>
      <c r="D17" s="30">
        <v>0</v>
      </c>
      <c r="E17" s="30">
        <v>0</v>
      </c>
      <c r="F17" s="30">
        <v>0</v>
      </c>
      <c r="G17" s="31">
        <f>SUM(HI_FINANCIAL)</f>
        <v>190995.55400025152</v>
      </c>
      <c r="H17" s="30"/>
      <c r="I17" s="34"/>
      <c r="J17" s="35"/>
      <c r="K17" s="30"/>
      <c r="L17" s="29">
        <v>244756</v>
      </c>
      <c r="M17" s="30">
        <v>0</v>
      </c>
      <c r="N17" s="30"/>
      <c r="O17" s="30">
        <v>0</v>
      </c>
      <c r="P17" s="30">
        <v>0</v>
      </c>
      <c r="Q17" s="30"/>
      <c r="R17" s="30">
        <v>0</v>
      </c>
      <c r="S17" s="30">
        <v>0</v>
      </c>
      <c r="T17" s="30"/>
      <c r="U17" s="30">
        <v>0</v>
      </c>
      <c r="V17" s="31">
        <v>0</v>
      </c>
    </row>
    <row r="18" spans="1:22">
      <c r="A18" s="1" t="s">
        <v>30</v>
      </c>
      <c r="B18" s="29">
        <v>264524.40169265593</v>
      </c>
      <c r="C18" s="30">
        <v>0</v>
      </c>
      <c r="D18" s="30">
        <v>0</v>
      </c>
      <c r="E18" s="30">
        <v>0</v>
      </c>
      <c r="F18" s="30">
        <v>0</v>
      </c>
      <c r="G18" s="31">
        <f>SUM(ID_FINANCIAL)</f>
        <v>264524.40169265593</v>
      </c>
      <c r="H18" s="30"/>
      <c r="I18" s="34" t="s">
        <v>31</v>
      </c>
      <c r="J18" s="35"/>
      <c r="K18" s="30"/>
      <c r="L18" s="29">
        <v>300000</v>
      </c>
      <c r="M18" s="30">
        <v>0</v>
      </c>
      <c r="N18" s="30"/>
      <c r="O18" s="30">
        <v>0</v>
      </c>
      <c r="P18" s="30">
        <v>0</v>
      </c>
      <c r="Q18" s="30"/>
      <c r="R18" s="30">
        <v>0</v>
      </c>
      <c r="S18" s="30">
        <v>0</v>
      </c>
      <c r="T18" s="30"/>
      <c r="U18" s="30">
        <v>0</v>
      </c>
      <c r="V18" s="31">
        <v>0</v>
      </c>
    </row>
    <row r="19" spans="1:22">
      <c r="A19" s="1" t="s">
        <v>32</v>
      </c>
      <c r="B19" s="29">
        <v>10470674.933187187</v>
      </c>
      <c r="C19" s="30">
        <v>0</v>
      </c>
      <c r="D19" s="30">
        <v>0</v>
      </c>
      <c r="E19" s="30">
        <v>0</v>
      </c>
      <c r="F19" s="30">
        <v>0</v>
      </c>
      <c r="G19" s="31">
        <f>SUM(IL_FINANCIAL)</f>
        <v>10470674.933187187</v>
      </c>
      <c r="H19" s="30"/>
      <c r="I19" s="34" t="s">
        <v>33</v>
      </c>
      <c r="J19" s="35">
        <v>126221667.79000002</v>
      </c>
      <c r="K19" s="30"/>
      <c r="L19" s="29">
        <v>11650000</v>
      </c>
      <c r="M19" s="30">
        <v>858300</v>
      </c>
      <c r="N19" s="30"/>
      <c r="O19" s="30">
        <v>0</v>
      </c>
      <c r="P19" s="30">
        <v>0</v>
      </c>
      <c r="Q19" s="30"/>
      <c r="R19" s="30">
        <v>0</v>
      </c>
      <c r="S19" s="30">
        <v>0</v>
      </c>
      <c r="T19" s="30"/>
      <c r="U19" s="30">
        <v>0</v>
      </c>
      <c r="V19" s="31">
        <v>0</v>
      </c>
    </row>
    <row r="20" spans="1:22">
      <c r="A20" s="1" t="s">
        <v>34</v>
      </c>
      <c r="B20" s="29">
        <v>2360133.084037527</v>
      </c>
      <c r="C20" s="30">
        <v>0</v>
      </c>
      <c r="D20" s="30">
        <v>0</v>
      </c>
      <c r="E20" s="30">
        <v>0</v>
      </c>
      <c r="F20" s="30">
        <v>0</v>
      </c>
      <c r="G20" s="31">
        <f>SUM(IN_FINANCIAL)</f>
        <v>2360133.084037527</v>
      </c>
      <c r="H20" s="30"/>
      <c r="I20" s="34" t="s">
        <v>35</v>
      </c>
      <c r="J20" s="35">
        <v>-145086</v>
      </c>
      <c r="K20" s="30"/>
      <c r="L20" s="29">
        <v>2008337</v>
      </c>
      <c r="M20" s="30">
        <v>0</v>
      </c>
      <c r="N20" s="30"/>
      <c r="O20" s="30">
        <v>0</v>
      </c>
      <c r="P20" s="30">
        <v>0</v>
      </c>
      <c r="Q20" s="30"/>
      <c r="R20" s="30">
        <v>0</v>
      </c>
      <c r="S20" s="30">
        <v>0</v>
      </c>
      <c r="T20" s="30"/>
      <c r="U20" s="30">
        <v>0</v>
      </c>
      <c r="V20" s="31">
        <v>0</v>
      </c>
    </row>
    <row r="21" spans="1:22">
      <c r="A21" s="1" t="s">
        <v>36</v>
      </c>
      <c r="B21" s="29">
        <v>1943287.1504432408</v>
      </c>
      <c r="C21" s="30">
        <v>0</v>
      </c>
      <c r="D21" s="30">
        <v>0</v>
      </c>
      <c r="E21" s="30">
        <v>0</v>
      </c>
      <c r="F21" s="30">
        <v>0</v>
      </c>
      <c r="G21" s="31">
        <f>SUM(IA_FINANCIAL)</f>
        <v>1943287.1504432408</v>
      </c>
      <c r="H21" s="30"/>
      <c r="I21" s="34" t="s">
        <v>37</v>
      </c>
      <c r="J21" s="35"/>
      <c r="K21" s="30"/>
      <c r="L21" s="29">
        <v>2015000</v>
      </c>
      <c r="M21" s="30">
        <v>0</v>
      </c>
      <c r="N21" s="30"/>
      <c r="O21" s="30">
        <v>0</v>
      </c>
      <c r="P21" s="30">
        <v>0</v>
      </c>
      <c r="Q21" s="30"/>
      <c r="R21" s="30">
        <v>0</v>
      </c>
      <c r="S21" s="30">
        <v>0</v>
      </c>
      <c r="T21" s="30"/>
      <c r="U21" s="30">
        <v>0</v>
      </c>
      <c r="V21" s="31">
        <v>0</v>
      </c>
    </row>
    <row r="22" spans="1:22">
      <c r="A22" s="1" t="s">
        <v>38</v>
      </c>
      <c r="B22" s="29">
        <v>435841.29941227479</v>
      </c>
      <c r="C22" s="30">
        <v>0</v>
      </c>
      <c r="D22" s="30">
        <v>0</v>
      </c>
      <c r="E22" s="30">
        <v>0</v>
      </c>
      <c r="F22" s="30">
        <v>0</v>
      </c>
      <c r="G22" s="31">
        <f>SUM(KS_FINANCIAL)</f>
        <v>435841.29941227479</v>
      </c>
      <c r="H22" s="30"/>
      <c r="I22" s="34" t="s">
        <v>39</v>
      </c>
      <c r="J22" s="35">
        <v>10862914</v>
      </c>
      <c r="K22" s="30"/>
      <c r="L22" s="29">
        <v>442000</v>
      </c>
      <c r="M22" s="30">
        <v>0</v>
      </c>
      <c r="N22" s="30"/>
      <c r="O22" s="30">
        <v>0</v>
      </c>
      <c r="P22" s="30">
        <v>0</v>
      </c>
      <c r="Q22" s="30"/>
      <c r="R22" s="30">
        <v>0</v>
      </c>
      <c r="S22" s="30">
        <v>0</v>
      </c>
      <c r="T22" s="30"/>
      <c r="U22" s="30">
        <v>0</v>
      </c>
      <c r="V22" s="31">
        <v>0</v>
      </c>
    </row>
    <row r="23" spans="1:22">
      <c r="A23" s="1" t="s">
        <v>40</v>
      </c>
      <c r="B23" s="29">
        <v>344703.50147758913</v>
      </c>
      <c r="C23" s="30">
        <v>0</v>
      </c>
      <c r="D23" s="30">
        <v>0</v>
      </c>
      <c r="E23" s="30">
        <v>0</v>
      </c>
      <c r="F23" s="30">
        <v>0</v>
      </c>
      <c r="G23" s="31">
        <f>SUM(KY_FINANCIAL)</f>
        <v>344703.50147758913</v>
      </c>
      <c r="H23" s="30"/>
      <c r="I23" s="34" t="s">
        <v>41</v>
      </c>
      <c r="J23" s="35"/>
      <c r="K23" s="30"/>
      <c r="L23" s="29">
        <v>429971</v>
      </c>
      <c r="M23" s="30">
        <v>104347</v>
      </c>
      <c r="N23" s="30"/>
      <c r="O23" s="30">
        <v>0</v>
      </c>
      <c r="P23" s="30">
        <v>0</v>
      </c>
      <c r="Q23" s="30"/>
      <c r="R23" s="30">
        <v>0</v>
      </c>
      <c r="S23" s="30">
        <v>0</v>
      </c>
      <c r="T23" s="30"/>
      <c r="U23" s="30">
        <v>0</v>
      </c>
      <c r="V23" s="31">
        <v>0</v>
      </c>
    </row>
    <row r="24" spans="1:22">
      <c r="A24" s="1" t="s">
        <v>42</v>
      </c>
      <c r="B24" s="29">
        <v>0</v>
      </c>
      <c r="C24" s="30">
        <v>0</v>
      </c>
      <c r="D24" s="30">
        <v>0</v>
      </c>
      <c r="E24" s="30">
        <v>0</v>
      </c>
      <c r="F24" s="30">
        <v>0</v>
      </c>
      <c r="G24" s="31">
        <f>SUM(LA_FINANCIAL)</f>
        <v>0</v>
      </c>
      <c r="H24" s="30"/>
      <c r="I24" s="34" t="s">
        <v>43</v>
      </c>
      <c r="J24" s="35">
        <v>642701</v>
      </c>
      <c r="K24" s="30"/>
      <c r="L24" s="29"/>
      <c r="M24" s="30"/>
      <c r="N24" s="30"/>
      <c r="O24" s="30"/>
      <c r="P24" s="30"/>
      <c r="Q24" s="30"/>
      <c r="R24" s="30"/>
      <c r="S24" s="30"/>
      <c r="T24" s="30"/>
      <c r="U24" s="30"/>
      <c r="V24" s="31"/>
    </row>
    <row r="25" spans="1:22">
      <c r="A25" s="1" t="s">
        <v>44</v>
      </c>
      <c r="B25" s="29">
        <v>298197.13641101005</v>
      </c>
      <c r="C25" s="30">
        <v>0</v>
      </c>
      <c r="D25" s="30">
        <v>0</v>
      </c>
      <c r="E25" s="30">
        <v>0</v>
      </c>
      <c r="F25" s="30">
        <v>0</v>
      </c>
      <c r="G25" s="31">
        <f>SUM(ME_FINANCIAL)</f>
        <v>298197.13641101005</v>
      </c>
      <c r="H25" s="30"/>
      <c r="I25" s="34"/>
      <c r="J25" s="35"/>
      <c r="K25" s="30"/>
      <c r="L25" s="29">
        <v>310000</v>
      </c>
      <c r="M25" s="30">
        <v>0</v>
      </c>
      <c r="N25" s="30"/>
      <c r="O25" s="30">
        <v>0</v>
      </c>
      <c r="P25" s="30">
        <v>0</v>
      </c>
      <c r="Q25" s="30"/>
      <c r="R25" s="30">
        <v>0</v>
      </c>
      <c r="S25" s="30">
        <v>0</v>
      </c>
      <c r="T25" s="30"/>
      <c r="U25" s="30">
        <v>0</v>
      </c>
      <c r="V25" s="31">
        <v>0</v>
      </c>
    </row>
    <row r="26" spans="1:22">
      <c r="A26" s="1" t="s">
        <v>45</v>
      </c>
      <c r="B26" s="29">
        <v>1211567.1606863188</v>
      </c>
      <c r="C26" s="30">
        <v>0</v>
      </c>
      <c r="D26" s="30">
        <v>0</v>
      </c>
      <c r="E26" s="30">
        <v>0</v>
      </c>
      <c r="F26" s="30">
        <v>0</v>
      </c>
      <c r="G26" s="31">
        <f>SUM(MD_FINANCIAL)</f>
        <v>1211567.1606863188</v>
      </c>
      <c r="H26" s="30"/>
      <c r="I26" s="34" t="s">
        <v>46</v>
      </c>
      <c r="J26" s="35">
        <f>SUM(ADD_FINANCIAL)-SUM(LESS_FINANCIAL)</f>
        <v>81903024.649999976</v>
      </c>
      <c r="K26" s="30"/>
      <c r="L26" s="29">
        <v>1500000</v>
      </c>
      <c r="M26" s="30">
        <v>0</v>
      </c>
      <c r="N26" s="30"/>
      <c r="O26" s="30">
        <v>0</v>
      </c>
      <c r="P26" s="30">
        <v>0</v>
      </c>
      <c r="Q26" s="30"/>
      <c r="R26" s="30">
        <v>0</v>
      </c>
      <c r="S26" s="30">
        <v>0</v>
      </c>
      <c r="T26" s="30"/>
      <c r="U26" s="30">
        <v>0</v>
      </c>
      <c r="V26" s="31">
        <v>0</v>
      </c>
    </row>
    <row r="27" spans="1:22">
      <c r="A27" s="1" t="s">
        <v>47</v>
      </c>
      <c r="B27" s="29">
        <v>1886148.1675301103</v>
      </c>
      <c r="C27" s="30">
        <v>0</v>
      </c>
      <c r="D27" s="30">
        <v>0</v>
      </c>
      <c r="E27" s="30">
        <v>0</v>
      </c>
      <c r="F27" s="30">
        <v>0</v>
      </c>
      <c r="G27" s="31">
        <f>SUM(MA_FINANCIAL)</f>
        <v>1886148.1675301103</v>
      </c>
      <c r="H27" s="30"/>
      <c r="I27" s="34" t="s">
        <v>48</v>
      </c>
      <c r="J27" s="35">
        <f>SUM(ALL_BLOCKS)</f>
        <v>81903024.650000021</v>
      </c>
      <c r="K27" s="30"/>
      <c r="L27" s="29">
        <v>2500000</v>
      </c>
      <c r="M27" s="30">
        <v>0</v>
      </c>
      <c r="N27" s="30"/>
      <c r="O27" s="30">
        <v>0</v>
      </c>
      <c r="P27" s="30">
        <v>0</v>
      </c>
      <c r="Q27" s="30"/>
      <c r="R27" s="30">
        <v>0</v>
      </c>
      <c r="S27" s="30">
        <v>0</v>
      </c>
      <c r="T27" s="30"/>
      <c r="U27" s="30">
        <v>0</v>
      </c>
      <c r="V27" s="31">
        <v>0</v>
      </c>
    </row>
    <row r="28" spans="1:22">
      <c r="A28" s="1" t="s">
        <v>49</v>
      </c>
      <c r="B28" s="29">
        <v>1593841.667827812</v>
      </c>
      <c r="C28" s="30">
        <v>0</v>
      </c>
      <c r="D28" s="30">
        <v>0</v>
      </c>
      <c r="E28" s="30">
        <v>0</v>
      </c>
      <c r="F28" s="30">
        <v>0</v>
      </c>
      <c r="G28" s="31">
        <f>SUM(MI_FINANCIAL)</f>
        <v>1593841.667827812</v>
      </c>
      <c r="H28" s="30"/>
      <c r="I28" s="36"/>
      <c r="J28" s="37"/>
      <c r="K28" s="30"/>
      <c r="L28" s="29">
        <v>1700000</v>
      </c>
      <c r="M28" s="30">
        <v>0</v>
      </c>
      <c r="N28" s="30"/>
      <c r="O28" s="30">
        <v>0</v>
      </c>
      <c r="P28" s="30">
        <v>0</v>
      </c>
      <c r="Q28" s="30"/>
      <c r="R28" s="30">
        <v>0</v>
      </c>
      <c r="S28" s="30">
        <v>0</v>
      </c>
      <c r="T28" s="30"/>
      <c r="U28" s="30">
        <v>0</v>
      </c>
      <c r="V28" s="31">
        <v>0</v>
      </c>
    </row>
    <row r="29" spans="1:22">
      <c r="A29" s="1" t="s">
        <v>50</v>
      </c>
      <c r="B29" s="29">
        <v>734920.31540010334</v>
      </c>
      <c r="C29" s="30">
        <v>0</v>
      </c>
      <c r="D29" s="30">
        <v>0</v>
      </c>
      <c r="E29" s="30">
        <v>0</v>
      </c>
      <c r="F29" s="30">
        <v>0</v>
      </c>
      <c r="G29" s="31">
        <f>SUM(MN_FINANCIAL)</f>
        <v>734920.31540010334</v>
      </c>
      <c r="H29" s="30"/>
      <c r="I29" s="30"/>
      <c r="J29" s="30"/>
      <c r="K29" s="30"/>
      <c r="L29" s="29">
        <v>777000</v>
      </c>
      <c r="M29" s="30">
        <v>0</v>
      </c>
      <c r="N29" s="30"/>
      <c r="O29" s="30">
        <v>0</v>
      </c>
      <c r="P29" s="30">
        <v>0</v>
      </c>
      <c r="Q29" s="30"/>
      <c r="R29" s="30">
        <v>0</v>
      </c>
      <c r="S29" s="30">
        <v>0</v>
      </c>
      <c r="T29" s="30"/>
      <c r="U29" s="30">
        <v>0</v>
      </c>
      <c r="V29" s="31">
        <v>0</v>
      </c>
    </row>
    <row r="30" spans="1:22">
      <c r="A30" s="1" t="s">
        <v>51</v>
      </c>
      <c r="B30" s="29">
        <v>158344.81052025181</v>
      </c>
      <c r="C30" s="30">
        <v>0</v>
      </c>
      <c r="D30" s="30">
        <v>0</v>
      </c>
      <c r="E30" s="30">
        <v>0</v>
      </c>
      <c r="F30" s="30">
        <v>0</v>
      </c>
      <c r="G30" s="31">
        <f>SUM(MS_FINANCIAL)</f>
        <v>158344.81052025181</v>
      </c>
      <c r="H30" s="30"/>
      <c r="I30" s="30"/>
      <c r="J30" s="30"/>
      <c r="K30" s="30"/>
      <c r="L30" s="29">
        <v>119338</v>
      </c>
      <c r="M30" s="30">
        <v>0</v>
      </c>
      <c r="N30" s="30"/>
      <c r="O30" s="30">
        <v>0</v>
      </c>
      <c r="P30" s="30">
        <v>0</v>
      </c>
      <c r="Q30" s="30"/>
      <c r="R30" s="30">
        <v>0</v>
      </c>
      <c r="S30" s="30">
        <v>0</v>
      </c>
      <c r="T30" s="30"/>
      <c r="U30" s="30">
        <v>0</v>
      </c>
      <c r="V30" s="31">
        <v>0</v>
      </c>
    </row>
    <row r="31" spans="1:22">
      <c r="A31" s="1" t="s">
        <v>52</v>
      </c>
      <c r="B31" s="29">
        <v>890491.57386682776</v>
      </c>
      <c r="C31" s="30">
        <v>0</v>
      </c>
      <c r="D31" s="30">
        <v>0</v>
      </c>
      <c r="E31" s="30">
        <v>0</v>
      </c>
      <c r="F31" s="30">
        <v>0</v>
      </c>
      <c r="G31" s="31">
        <f>SUM(MO_FINANCIAL)</f>
        <v>890491.57386682776</v>
      </c>
      <c r="H31" s="30"/>
      <c r="I31" s="30"/>
      <c r="J31" s="30"/>
      <c r="K31" s="30"/>
      <c r="L31" s="29">
        <v>1217018</v>
      </c>
      <c r="M31" s="30">
        <v>0</v>
      </c>
      <c r="N31" s="30"/>
      <c r="O31" s="30">
        <v>0</v>
      </c>
      <c r="P31" s="30">
        <v>0</v>
      </c>
      <c r="Q31" s="30"/>
      <c r="R31" s="30">
        <v>0</v>
      </c>
      <c r="S31" s="30">
        <v>0</v>
      </c>
      <c r="T31" s="30"/>
      <c r="U31" s="30">
        <v>0</v>
      </c>
      <c r="V31" s="31">
        <v>0</v>
      </c>
    </row>
    <row r="32" spans="1:22">
      <c r="A32" s="1" t="s">
        <v>53</v>
      </c>
      <c r="B32" s="29">
        <v>227645.90257126387</v>
      </c>
      <c r="C32" s="30">
        <v>0</v>
      </c>
      <c r="D32" s="30">
        <v>0</v>
      </c>
      <c r="E32" s="30">
        <v>0</v>
      </c>
      <c r="F32" s="30">
        <v>0</v>
      </c>
      <c r="G32" s="31">
        <f>SUM(MT_FINANCIAL)</f>
        <v>227645.90257126387</v>
      </c>
      <c r="H32" s="30"/>
      <c r="I32" s="30"/>
      <c r="J32" s="30"/>
      <c r="K32" s="30"/>
      <c r="L32" s="29">
        <v>320000</v>
      </c>
      <c r="M32" s="30">
        <v>0</v>
      </c>
      <c r="N32" s="30"/>
      <c r="O32" s="30">
        <v>0</v>
      </c>
      <c r="P32" s="30">
        <v>0</v>
      </c>
      <c r="Q32" s="30"/>
      <c r="R32" s="30">
        <v>0</v>
      </c>
      <c r="S32" s="30">
        <v>0</v>
      </c>
      <c r="T32" s="30"/>
      <c r="U32" s="30">
        <v>0</v>
      </c>
      <c r="V32" s="31">
        <v>0</v>
      </c>
    </row>
    <row r="33" spans="1:22">
      <c r="A33" s="1" t="s">
        <v>54</v>
      </c>
      <c r="B33" s="29">
        <v>664836.66585023364</v>
      </c>
      <c r="C33" s="30">
        <v>0</v>
      </c>
      <c r="D33" s="30">
        <v>0</v>
      </c>
      <c r="E33" s="30">
        <v>0</v>
      </c>
      <c r="F33" s="30">
        <v>0</v>
      </c>
      <c r="G33" s="31">
        <f>SUM(NE_FINANCIAL)</f>
        <v>664836.66585023364</v>
      </c>
      <c r="H33" s="30"/>
      <c r="I33" s="30"/>
      <c r="J33" s="30"/>
      <c r="K33" s="30"/>
      <c r="L33" s="29">
        <v>540000</v>
      </c>
      <c r="M33" s="30">
        <v>0</v>
      </c>
      <c r="N33" s="30"/>
      <c r="O33" s="30">
        <v>0</v>
      </c>
      <c r="P33" s="30">
        <v>0</v>
      </c>
      <c r="Q33" s="30"/>
      <c r="R33" s="30">
        <v>0</v>
      </c>
      <c r="S33" s="30">
        <v>0</v>
      </c>
      <c r="T33" s="30"/>
      <c r="U33" s="30">
        <v>0</v>
      </c>
      <c r="V33" s="31">
        <v>0</v>
      </c>
    </row>
    <row r="34" spans="1:22">
      <c r="A34" s="1" t="s">
        <v>55</v>
      </c>
      <c r="B34" s="29">
        <v>182620.05271746675</v>
      </c>
      <c r="C34" s="30">
        <v>0</v>
      </c>
      <c r="D34" s="30">
        <v>0</v>
      </c>
      <c r="E34" s="30">
        <v>0</v>
      </c>
      <c r="F34" s="30">
        <v>0</v>
      </c>
      <c r="G34" s="31">
        <f>SUM(NV_FINANCIAL)</f>
        <v>182620.05271746675</v>
      </c>
      <c r="H34" s="30"/>
      <c r="I34" s="30"/>
      <c r="J34" s="30"/>
      <c r="K34" s="30"/>
      <c r="L34" s="29">
        <v>179400</v>
      </c>
      <c r="M34" s="30">
        <v>0</v>
      </c>
      <c r="N34" s="30"/>
      <c r="O34" s="30">
        <v>0</v>
      </c>
      <c r="P34" s="30">
        <v>0</v>
      </c>
      <c r="Q34" s="30"/>
      <c r="R34" s="30">
        <v>0</v>
      </c>
      <c r="S34" s="30">
        <v>0</v>
      </c>
      <c r="T34" s="30"/>
      <c r="U34" s="30">
        <v>0</v>
      </c>
      <c r="V34" s="31">
        <v>0</v>
      </c>
    </row>
    <row r="35" spans="1:22">
      <c r="A35" s="1" t="s">
        <v>56</v>
      </c>
      <c r="B35" s="29">
        <v>160474.75340974546</v>
      </c>
      <c r="C35" s="30">
        <v>0</v>
      </c>
      <c r="D35" s="30">
        <v>0</v>
      </c>
      <c r="E35" s="30">
        <v>0</v>
      </c>
      <c r="F35" s="30">
        <v>0</v>
      </c>
      <c r="G35" s="31">
        <f>SUM(NH_FINANCIAL)</f>
        <v>160474.75340974546</v>
      </c>
      <c r="H35" s="30"/>
      <c r="I35" s="30"/>
      <c r="J35" s="30"/>
      <c r="K35" s="30"/>
      <c r="L35" s="29">
        <v>200542</v>
      </c>
      <c r="M35" s="30">
        <v>206121</v>
      </c>
      <c r="N35" s="30"/>
      <c r="O35" s="30">
        <v>0</v>
      </c>
      <c r="P35" s="30">
        <v>0</v>
      </c>
      <c r="Q35" s="30"/>
      <c r="R35" s="30">
        <v>0</v>
      </c>
      <c r="S35" s="30">
        <v>0</v>
      </c>
      <c r="T35" s="30"/>
      <c r="U35" s="30">
        <v>0</v>
      </c>
      <c r="V35" s="31">
        <v>0</v>
      </c>
    </row>
    <row r="36" spans="1:22">
      <c r="A36" s="1" t="s">
        <v>57</v>
      </c>
      <c r="B36" s="29">
        <v>10805815.545461681</v>
      </c>
      <c r="C36" s="30">
        <v>0</v>
      </c>
      <c r="D36" s="30">
        <v>0</v>
      </c>
      <c r="E36" s="30">
        <v>0</v>
      </c>
      <c r="F36" s="30">
        <v>0</v>
      </c>
      <c r="G36" s="31">
        <f>SUM(NJ_FINANCIAL)</f>
        <v>10805815.545461681</v>
      </c>
      <c r="H36" s="30"/>
      <c r="I36" s="30"/>
      <c r="J36" s="30"/>
      <c r="K36" s="30"/>
      <c r="L36" s="29">
        <v>10750000</v>
      </c>
      <c r="M36" s="30">
        <v>500000</v>
      </c>
      <c r="N36" s="30"/>
      <c r="O36" s="30">
        <v>0</v>
      </c>
      <c r="P36" s="30">
        <v>0</v>
      </c>
      <c r="Q36" s="30"/>
      <c r="R36" s="30">
        <v>0</v>
      </c>
      <c r="S36" s="30">
        <v>0</v>
      </c>
      <c r="T36" s="30"/>
      <c r="U36" s="30">
        <v>0</v>
      </c>
      <c r="V36" s="31">
        <v>0</v>
      </c>
    </row>
    <row r="37" spans="1:22">
      <c r="A37" s="1" t="s">
        <v>58</v>
      </c>
      <c r="B37" s="29">
        <v>262358.32102176442</v>
      </c>
      <c r="C37" s="30">
        <v>0</v>
      </c>
      <c r="D37" s="30">
        <v>0</v>
      </c>
      <c r="E37" s="30">
        <v>0</v>
      </c>
      <c r="F37" s="30">
        <v>0</v>
      </c>
      <c r="G37" s="31">
        <f>SUM(NM_FINANCIAL)</f>
        <v>262358.32102176442</v>
      </c>
      <c r="H37" s="30"/>
      <c r="I37" s="30"/>
      <c r="J37" s="30"/>
      <c r="K37" s="30"/>
      <c r="L37" s="29">
        <v>250000</v>
      </c>
      <c r="M37" s="30">
        <v>0</v>
      </c>
      <c r="N37" s="30"/>
      <c r="O37" s="30">
        <v>0</v>
      </c>
      <c r="P37" s="30">
        <v>0</v>
      </c>
      <c r="Q37" s="30"/>
      <c r="R37" s="30">
        <v>0</v>
      </c>
      <c r="S37" s="30">
        <v>0</v>
      </c>
      <c r="T37" s="30"/>
      <c r="U37" s="30">
        <v>0</v>
      </c>
      <c r="V37" s="31">
        <v>0</v>
      </c>
    </row>
    <row r="38" spans="1:22">
      <c r="A38" s="1" t="s">
        <v>59</v>
      </c>
      <c r="B38" s="29">
        <v>0</v>
      </c>
      <c r="C38" s="30">
        <v>0</v>
      </c>
      <c r="D38" s="30">
        <v>0</v>
      </c>
      <c r="E38" s="30">
        <v>0</v>
      </c>
      <c r="F38" s="30">
        <v>0</v>
      </c>
      <c r="G38" s="31">
        <f>SUM(NY_FINANCIAL)</f>
        <v>0</v>
      </c>
      <c r="H38" s="30"/>
      <c r="I38" s="30"/>
      <c r="J38" s="30"/>
      <c r="K38" s="30"/>
      <c r="L38" s="29"/>
      <c r="M38" s="30"/>
      <c r="N38" s="30"/>
      <c r="O38" s="30"/>
      <c r="P38" s="30"/>
      <c r="Q38" s="30"/>
      <c r="R38" s="30"/>
      <c r="S38" s="30"/>
      <c r="T38" s="30"/>
      <c r="U38" s="30"/>
      <c r="V38" s="31"/>
    </row>
    <row r="39" spans="1:22">
      <c r="A39" s="1" t="s">
        <v>60</v>
      </c>
      <c r="B39" s="29">
        <v>703239.27495758887</v>
      </c>
      <c r="C39" s="30">
        <v>0</v>
      </c>
      <c r="D39" s="30">
        <v>0</v>
      </c>
      <c r="E39" s="30">
        <v>0</v>
      </c>
      <c r="F39" s="30">
        <v>0</v>
      </c>
      <c r="G39" s="31">
        <f>SUM(NC_FINANCIAL)</f>
        <v>703239.27495758887</v>
      </c>
      <c r="H39" s="30"/>
      <c r="I39" s="30"/>
      <c r="J39" s="30"/>
      <c r="K39" s="30"/>
      <c r="L39" s="29">
        <v>750000</v>
      </c>
      <c r="M39" s="30">
        <v>0</v>
      </c>
      <c r="N39" s="30"/>
      <c r="O39" s="30">
        <v>0</v>
      </c>
      <c r="P39" s="30">
        <v>0</v>
      </c>
      <c r="Q39" s="30"/>
      <c r="R39" s="30">
        <v>0</v>
      </c>
      <c r="S39" s="30">
        <v>0</v>
      </c>
      <c r="T39" s="30"/>
      <c r="U39" s="30">
        <v>0</v>
      </c>
      <c r="V39" s="31">
        <v>0</v>
      </c>
    </row>
    <row r="40" spans="1:22">
      <c r="A40" s="1" t="s">
        <v>61</v>
      </c>
      <c r="B40" s="29">
        <v>578831.69943088107</v>
      </c>
      <c r="C40" s="30">
        <v>0</v>
      </c>
      <c r="D40" s="30">
        <v>0</v>
      </c>
      <c r="E40" s="30">
        <v>0</v>
      </c>
      <c r="F40" s="30">
        <v>0</v>
      </c>
      <c r="G40" s="31">
        <f>SUM(ND_FINANCIAL)</f>
        <v>578831.69943088107</v>
      </c>
      <c r="H40" s="30"/>
      <c r="I40" s="30"/>
      <c r="J40" s="30"/>
      <c r="K40" s="30"/>
      <c r="L40" s="29">
        <v>627400</v>
      </c>
      <c r="M40" s="30">
        <v>0</v>
      </c>
      <c r="N40" s="30"/>
      <c r="O40" s="30">
        <v>0</v>
      </c>
      <c r="P40" s="30">
        <v>0</v>
      </c>
      <c r="Q40" s="30"/>
      <c r="R40" s="30">
        <v>0</v>
      </c>
      <c r="S40" s="30">
        <v>0</v>
      </c>
      <c r="T40" s="30"/>
      <c r="U40" s="30">
        <v>0</v>
      </c>
      <c r="V40" s="31">
        <v>0</v>
      </c>
    </row>
    <row r="41" spans="1:22">
      <c r="A41" s="1" t="s">
        <v>62</v>
      </c>
      <c r="B41" s="29">
        <v>2500802.2842936493</v>
      </c>
      <c r="C41" s="30">
        <v>0</v>
      </c>
      <c r="D41" s="30">
        <v>0</v>
      </c>
      <c r="E41" s="30">
        <v>0</v>
      </c>
      <c r="F41" s="30">
        <v>0</v>
      </c>
      <c r="G41" s="31">
        <f>SUM(OH_FINANCIAL)</f>
        <v>2500802.2842936493</v>
      </c>
      <c r="H41" s="30"/>
      <c r="I41" s="30"/>
      <c r="J41" s="30"/>
      <c r="K41" s="30"/>
      <c r="L41" s="29">
        <v>2450000</v>
      </c>
      <c r="M41" s="30">
        <v>0</v>
      </c>
      <c r="N41" s="30"/>
      <c r="O41" s="30">
        <v>0</v>
      </c>
      <c r="P41" s="30">
        <v>0</v>
      </c>
      <c r="Q41" s="30"/>
      <c r="R41" s="30">
        <v>0</v>
      </c>
      <c r="S41" s="30">
        <v>0</v>
      </c>
      <c r="T41" s="30"/>
      <c r="U41" s="30">
        <v>0</v>
      </c>
      <c r="V41" s="31">
        <v>0</v>
      </c>
    </row>
    <row r="42" spans="1:22">
      <c r="A42" s="1" t="s">
        <v>63</v>
      </c>
      <c r="B42" s="29">
        <v>890110.72859504749</v>
      </c>
      <c r="C42" s="30">
        <v>0</v>
      </c>
      <c r="D42" s="30">
        <v>0</v>
      </c>
      <c r="E42" s="30">
        <v>0</v>
      </c>
      <c r="F42" s="30">
        <v>0</v>
      </c>
      <c r="G42" s="31">
        <f>SUM(OK_FINANCIAL)</f>
        <v>890110.72859504749</v>
      </c>
      <c r="H42" s="30"/>
      <c r="I42" s="30"/>
      <c r="J42" s="30"/>
      <c r="K42" s="30"/>
      <c r="L42" s="29">
        <v>1000000</v>
      </c>
      <c r="M42" s="30">
        <v>0</v>
      </c>
      <c r="N42" s="30"/>
      <c r="O42" s="30">
        <v>0</v>
      </c>
      <c r="P42" s="30">
        <v>0</v>
      </c>
      <c r="Q42" s="30"/>
      <c r="R42" s="30">
        <v>0</v>
      </c>
      <c r="S42" s="30">
        <v>0</v>
      </c>
      <c r="T42" s="30"/>
      <c r="U42" s="30">
        <v>0</v>
      </c>
      <c r="V42" s="31">
        <v>0</v>
      </c>
    </row>
    <row r="43" spans="1:22">
      <c r="A43" s="1" t="s">
        <v>64</v>
      </c>
      <c r="B43" s="29">
        <v>572390.33103759005</v>
      </c>
      <c r="C43" s="30">
        <v>0</v>
      </c>
      <c r="D43" s="30">
        <v>0</v>
      </c>
      <c r="E43" s="30">
        <v>0</v>
      </c>
      <c r="F43" s="30">
        <v>0</v>
      </c>
      <c r="G43" s="31">
        <f>SUM(OR_FINANCIAL)</f>
        <v>572390.33103759005</v>
      </c>
      <c r="H43" s="30"/>
      <c r="I43" s="30"/>
      <c r="J43" s="30"/>
      <c r="K43" s="30"/>
      <c r="L43" s="29">
        <v>508534</v>
      </c>
      <c r="M43" s="30">
        <v>0</v>
      </c>
      <c r="N43" s="30"/>
      <c r="O43" s="30">
        <v>0</v>
      </c>
      <c r="P43" s="30">
        <v>0</v>
      </c>
      <c r="Q43" s="30"/>
      <c r="R43" s="30">
        <v>0</v>
      </c>
      <c r="S43" s="30">
        <v>0</v>
      </c>
      <c r="T43" s="30"/>
      <c r="U43" s="30">
        <v>0</v>
      </c>
      <c r="V43" s="31">
        <v>0</v>
      </c>
    </row>
    <row r="44" spans="1:22">
      <c r="A44" s="1" t="s">
        <v>65</v>
      </c>
      <c r="B44" s="29">
        <v>4952232.6136424895</v>
      </c>
      <c r="C44" s="30">
        <v>0</v>
      </c>
      <c r="D44" s="30">
        <v>0</v>
      </c>
      <c r="E44" s="30">
        <v>0</v>
      </c>
      <c r="F44" s="30">
        <v>0</v>
      </c>
      <c r="G44" s="31">
        <f>SUM(PA_FINANCIAL)</f>
        <v>4952232.6136424895</v>
      </c>
      <c r="H44" s="30"/>
      <c r="I44" s="30"/>
      <c r="J44" s="30"/>
      <c r="K44" s="30"/>
      <c r="L44" s="29">
        <v>5400000</v>
      </c>
      <c r="M44" s="30">
        <v>0</v>
      </c>
      <c r="N44" s="30"/>
      <c r="O44" s="30">
        <v>0</v>
      </c>
      <c r="P44" s="30">
        <v>0</v>
      </c>
      <c r="Q44" s="30"/>
      <c r="R44" s="30">
        <v>0</v>
      </c>
      <c r="S44" s="30">
        <v>0</v>
      </c>
      <c r="T44" s="30"/>
      <c r="U44" s="30">
        <v>0</v>
      </c>
      <c r="V44" s="31">
        <v>0</v>
      </c>
    </row>
    <row r="45" spans="1:22">
      <c r="A45" s="1" t="s">
        <v>66</v>
      </c>
      <c r="B45" s="29">
        <v>48272.394119240089</v>
      </c>
      <c r="C45" s="30">
        <v>0</v>
      </c>
      <c r="D45" s="30">
        <v>0</v>
      </c>
      <c r="E45" s="30">
        <v>0</v>
      </c>
      <c r="F45" s="30">
        <v>0</v>
      </c>
      <c r="G45" s="31">
        <f>SUM(PR_FINANCIAL)</f>
        <v>48272.394119240089</v>
      </c>
      <c r="H45" s="30"/>
      <c r="I45" s="30"/>
      <c r="J45" s="30"/>
      <c r="K45" s="30"/>
      <c r="L45" s="29">
        <v>66443</v>
      </c>
      <c r="M45" s="30">
        <v>0</v>
      </c>
      <c r="N45" s="30"/>
      <c r="O45" s="30">
        <v>0</v>
      </c>
      <c r="P45" s="30">
        <v>0</v>
      </c>
      <c r="Q45" s="30"/>
      <c r="R45" s="30">
        <v>0</v>
      </c>
      <c r="S45" s="30">
        <v>0</v>
      </c>
      <c r="T45" s="30"/>
      <c r="U45" s="30">
        <v>0</v>
      </c>
      <c r="V45" s="31">
        <v>0</v>
      </c>
    </row>
    <row r="46" spans="1:22">
      <c r="A46" s="1" t="s">
        <v>67</v>
      </c>
      <c r="B46" s="29">
        <v>0</v>
      </c>
      <c r="C46" s="30">
        <v>0</v>
      </c>
      <c r="D46" s="30">
        <v>0</v>
      </c>
      <c r="E46" s="30">
        <v>0</v>
      </c>
      <c r="F46" s="30">
        <v>0</v>
      </c>
      <c r="G46" s="31">
        <f>SUM(RI_FINANCIAL)</f>
        <v>0</v>
      </c>
      <c r="H46" s="30"/>
      <c r="I46" s="30"/>
      <c r="J46" s="30"/>
      <c r="K46" s="30"/>
      <c r="L46" s="29"/>
      <c r="M46" s="30"/>
      <c r="N46" s="30"/>
      <c r="O46" s="30"/>
      <c r="P46" s="30"/>
      <c r="Q46" s="30"/>
      <c r="R46" s="30"/>
      <c r="S46" s="30"/>
      <c r="T46" s="30"/>
      <c r="U46" s="30"/>
      <c r="V46" s="31"/>
    </row>
    <row r="47" spans="1:22">
      <c r="A47" s="1" t="s">
        <v>68</v>
      </c>
      <c r="B47" s="29">
        <v>1109880.6755680917</v>
      </c>
      <c r="C47" s="30">
        <v>0</v>
      </c>
      <c r="D47" s="30">
        <v>0</v>
      </c>
      <c r="E47" s="30">
        <v>0</v>
      </c>
      <c r="F47" s="30">
        <v>0</v>
      </c>
      <c r="G47" s="31">
        <f>SUM(SC_FINANCIAL)</f>
        <v>1109880.6755680917</v>
      </c>
      <c r="H47" s="30"/>
      <c r="I47" s="30"/>
      <c r="J47" s="30"/>
      <c r="K47" s="30"/>
      <c r="L47" s="29">
        <v>1168847</v>
      </c>
      <c r="M47" s="30">
        <v>0</v>
      </c>
      <c r="N47" s="30"/>
      <c r="O47" s="30">
        <v>0</v>
      </c>
      <c r="P47" s="30">
        <v>0</v>
      </c>
      <c r="Q47" s="30"/>
      <c r="R47" s="30">
        <v>0</v>
      </c>
      <c r="S47" s="30">
        <v>0</v>
      </c>
      <c r="T47" s="30"/>
      <c r="U47" s="30">
        <v>0</v>
      </c>
      <c r="V47" s="31">
        <v>0</v>
      </c>
    </row>
    <row r="48" spans="1:22">
      <c r="A48" s="1" t="s">
        <v>69</v>
      </c>
      <c r="B48" s="29">
        <v>373104.31602974358</v>
      </c>
      <c r="C48" s="30">
        <v>0</v>
      </c>
      <c r="D48" s="30">
        <v>0</v>
      </c>
      <c r="E48" s="30">
        <v>0</v>
      </c>
      <c r="F48" s="30">
        <v>0</v>
      </c>
      <c r="G48" s="31">
        <f>SUM(SD_FINANCIAL)</f>
        <v>373104.31602974358</v>
      </c>
      <c r="H48" s="30"/>
      <c r="I48" s="30"/>
      <c r="J48" s="30"/>
      <c r="K48" s="30"/>
      <c r="L48" s="29">
        <v>458794</v>
      </c>
      <c r="M48" s="30">
        <v>0</v>
      </c>
      <c r="N48" s="30"/>
      <c r="O48" s="30">
        <v>0</v>
      </c>
      <c r="P48" s="30">
        <v>0</v>
      </c>
      <c r="Q48" s="30"/>
      <c r="R48" s="30">
        <v>0</v>
      </c>
      <c r="S48" s="30">
        <v>0</v>
      </c>
      <c r="T48" s="30"/>
      <c r="U48" s="30">
        <v>0</v>
      </c>
      <c r="V48" s="31">
        <v>0</v>
      </c>
    </row>
    <row r="49" spans="1:22">
      <c r="A49" s="1" t="s">
        <v>70</v>
      </c>
      <c r="B49" s="29">
        <v>1336918.657313786</v>
      </c>
      <c r="C49" s="30">
        <v>0</v>
      </c>
      <c r="D49" s="30">
        <v>0</v>
      </c>
      <c r="E49" s="30">
        <v>0</v>
      </c>
      <c r="F49" s="30">
        <v>0</v>
      </c>
      <c r="G49" s="31">
        <f>SUM(TN_FINANCIAL)</f>
        <v>1336918.657313786</v>
      </c>
      <c r="H49" s="30"/>
      <c r="I49" s="30"/>
      <c r="J49" s="30"/>
      <c r="K49" s="30"/>
      <c r="L49" s="29">
        <v>1500000</v>
      </c>
      <c r="M49" s="30">
        <v>0</v>
      </c>
      <c r="N49" s="30"/>
      <c r="O49" s="30">
        <v>0</v>
      </c>
      <c r="P49" s="30">
        <v>0</v>
      </c>
      <c r="Q49" s="30"/>
      <c r="R49" s="30">
        <v>0</v>
      </c>
      <c r="S49" s="30">
        <v>0</v>
      </c>
      <c r="T49" s="30"/>
      <c r="U49" s="30">
        <v>0</v>
      </c>
      <c r="V49" s="31">
        <v>0</v>
      </c>
    </row>
    <row r="50" spans="1:22">
      <c r="A50" s="1" t="s">
        <v>71</v>
      </c>
      <c r="B50" s="29">
        <v>1670566.0909198592</v>
      </c>
      <c r="C50" s="30">
        <v>0</v>
      </c>
      <c r="D50" s="30">
        <v>0</v>
      </c>
      <c r="E50" s="30">
        <v>0</v>
      </c>
      <c r="F50" s="30">
        <v>0</v>
      </c>
      <c r="G50" s="31">
        <f>SUM(TX_FINANCIAL)</f>
        <v>1670566.0909198592</v>
      </c>
      <c r="H50" s="30"/>
      <c r="I50" s="30"/>
      <c r="J50" s="30"/>
      <c r="K50" s="30"/>
      <c r="L50" s="29">
        <v>1814462</v>
      </c>
      <c r="M50" s="30">
        <v>113806.23419999999</v>
      </c>
      <c r="N50" s="30"/>
      <c r="O50" s="30">
        <v>0</v>
      </c>
      <c r="P50" s="30">
        <v>0</v>
      </c>
      <c r="Q50" s="30"/>
      <c r="R50" s="30">
        <v>449</v>
      </c>
      <c r="S50" s="30">
        <v>22.765800000006497</v>
      </c>
      <c r="T50" s="30"/>
      <c r="U50" s="30">
        <v>0</v>
      </c>
      <c r="V50" s="31">
        <v>0</v>
      </c>
    </row>
    <row r="51" spans="1:22">
      <c r="A51" s="1" t="s">
        <v>72</v>
      </c>
      <c r="B51" s="29">
        <v>324421.57752454875</v>
      </c>
      <c r="C51" s="30">
        <v>0</v>
      </c>
      <c r="D51" s="30">
        <v>0</v>
      </c>
      <c r="E51" s="30">
        <v>0</v>
      </c>
      <c r="F51" s="30">
        <v>0</v>
      </c>
      <c r="G51" s="31">
        <f>SUM(UT_FINANCIAL)</f>
        <v>324421.57752454875</v>
      </c>
      <c r="H51" s="30"/>
      <c r="I51" s="30"/>
      <c r="J51" s="30"/>
      <c r="K51" s="30"/>
      <c r="L51" s="29">
        <v>430000</v>
      </c>
      <c r="M51" s="30">
        <v>0</v>
      </c>
      <c r="N51" s="30"/>
      <c r="O51" s="30">
        <v>0</v>
      </c>
      <c r="P51" s="30">
        <v>0</v>
      </c>
      <c r="Q51" s="30"/>
      <c r="R51" s="30">
        <v>0</v>
      </c>
      <c r="S51" s="30">
        <v>0</v>
      </c>
      <c r="T51" s="30"/>
      <c r="U51" s="30">
        <v>0</v>
      </c>
      <c r="V51" s="31">
        <v>0</v>
      </c>
    </row>
    <row r="52" spans="1:22">
      <c r="A52" s="1" t="s">
        <v>73</v>
      </c>
      <c r="B52" s="29">
        <v>0</v>
      </c>
      <c r="C52" s="30">
        <v>0</v>
      </c>
      <c r="D52" s="30">
        <v>0</v>
      </c>
      <c r="E52" s="30">
        <v>0</v>
      </c>
      <c r="F52" s="30">
        <v>0</v>
      </c>
      <c r="G52" s="31">
        <f>SUM(VT_FINANCIAL)</f>
        <v>0</v>
      </c>
      <c r="H52" s="30"/>
      <c r="I52" s="30"/>
      <c r="J52" s="30"/>
      <c r="K52" s="30"/>
      <c r="L52" s="29">
        <v>230000</v>
      </c>
      <c r="M52" s="30">
        <v>0</v>
      </c>
      <c r="N52" s="30"/>
      <c r="O52" s="30">
        <v>0</v>
      </c>
      <c r="P52" s="30">
        <v>0</v>
      </c>
      <c r="Q52" s="30"/>
      <c r="R52" s="30">
        <v>0</v>
      </c>
      <c r="S52" s="30">
        <v>0</v>
      </c>
      <c r="T52" s="30"/>
      <c r="U52" s="30">
        <v>0</v>
      </c>
      <c r="V52" s="31">
        <v>0</v>
      </c>
    </row>
    <row r="53" spans="1:22">
      <c r="A53" s="1" t="s">
        <v>74</v>
      </c>
      <c r="B53" s="29">
        <v>1328684.0466469328</v>
      </c>
      <c r="C53" s="30">
        <v>0</v>
      </c>
      <c r="D53" s="30">
        <v>0</v>
      </c>
      <c r="E53" s="30">
        <v>0</v>
      </c>
      <c r="F53" s="30">
        <v>0</v>
      </c>
      <c r="G53" s="31">
        <f>SUM(VA_FINANCIAL)</f>
        <v>1328684.0466469328</v>
      </c>
      <c r="H53" s="30"/>
      <c r="I53" s="30"/>
      <c r="J53" s="30"/>
      <c r="K53" s="30"/>
      <c r="L53" s="29">
        <v>1407146</v>
      </c>
      <c r="M53" s="30">
        <v>0</v>
      </c>
      <c r="N53" s="30"/>
      <c r="O53" s="30">
        <v>20683</v>
      </c>
      <c r="P53" s="30">
        <v>26777</v>
      </c>
      <c r="Q53" s="30"/>
      <c r="R53" s="30">
        <v>0</v>
      </c>
      <c r="S53" s="30">
        <v>0</v>
      </c>
      <c r="T53" s="30"/>
      <c r="U53" s="30">
        <v>0</v>
      </c>
      <c r="V53" s="31">
        <v>0</v>
      </c>
    </row>
    <row r="54" spans="1:22">
      <c r="A54" s="1" t="s">
        <v>75</v>
      </c>
      <c r="B54" s="29">
        <v>1631969.3995969479</v>
      </c>
      <c r="C54" s="30">
        <v>0</v>
      </c>
      <c r="D54" s="30">
        <v>0</v>
      </c>
      <c r="E54" s="30">
        <v>0</v>
      </c>
      <c r="F54" s="30">
        <v>0</v>
      </c>
      <c r="G54" s="31">
        <f>SUM(WA_FINANCIAL)</f>
        <v>1631969.3995969479</v>
      </c>
      <c r="H54" s="30"/>
      <c r="I54" s="30"/>
      <c r="J54" s="30"/>
      <c r="K54" s="30"/>
      <c r="L54" s="29">
        <v>1750000</v>
      </c>
      <c r="M54" s="30">
        <v>133907</v>
      </c>
      <c r="N54" s="30"/>
      <c r="O54" s="30">
        <v>0</v>
      </c>
      <c r="P54" s="30">
        <v>0</v>
      </c>
      <c r="Q54" s="30"/>
      <c r="R54" s="30">
        <v>0</v>
      </c>
      <c r="S54" s="30">
        <v>0</v>
      </c>
      <c r="T54" s="30"/>
      <c r="U54" s="30">
        <v>0</v>
      </c>
      <c r="V54" s="31">
        <v>0</v>
      </c>
    </row>
    <row r="55" spans="1:22">
      <c r="A55" s="1" t="s">
        <v>76</v>
      </c>
      <c r="B55" s="29">
        <v>256247.5006850611</v>
      </c>
      <c r="C55" s="30">
        <v>0</v>
      </c>
      <c r="D55" s="30">
        <v>0</v>
      </c>
      <c r="E55" s="30">
        <v>0</v>
      </c>
      <c r="F55" s="30">
        <v>0</v>
      </c>
      <c r="G55" s="31">
        <f>SUM(WV_FINANCIAL)</f>
        <v>256247.5006850611</v>
      </c>
      <c r="H55" s="30"/>
      <c r="I55" s="30"/>
      <c r="J55" s="30"/>
      <c r="K55" s="30"/>
      <c r="L55" s="29">
        <v>350000</v>
      </c>
      <c r="M55" s="30">
        <v>99335</v>
      </c>
      <c r="N55" s="30"/>
      <c r="O55" s="30">
        <v>0</v>
      </c>
      <c r="P55" s="30">
        <v>0</v>
      </c>
      <c r="Q55" s="30"/>
      <c r="R55" s="30">
        <v>0</v>
      </c>
      <c r="S55" s="30">
        <v>0</v>
      </c>
      <c r="T55" s="30"/>
      <c r="U55" s="30">
        <v>0</v>
      </c>
      <c r="V55" s="31">
        <v>0</v>
      </c>
    </row>
    <row r="56" spans="1:22">
      <c r="A56" s="1" t="s">
        <v>77</v>
      </c>
      <c r="B56" s="29">
        <v>12154894.709011666</v>
      </c>
      <c r="C56" s="30">
        <v>0</v>
      </c>
      <c r="D56" s="30">
        <v>0</v>
      </c>
      <c r="E56" s="30">
        <v>0</v>
      </c>
      <c r="F56" s="30">
        <v>0</v>
      </c>
      <c r="G56" s="31">
        <f>SUM(WI_FINANCIAL)</f>
        <v>12154894.709011666</v>
      </c>
      <c r="H56" s="30"/>
      <c r="I56" s="30"/>
      <c r="J56" s="30"/>
      <c r="K56" s="30"/>
      <c r="L56" s="29">
        <v>14500000</v>
      </c>
      <c r="M56" s="30">
        <v>0</v>
      </c>
      <c r="N56" s="30"/>
      <c r="O56" s="30">
        <v>0</v>
      </c>
      <c r="P56" s="30">
        <v>0</v>
      </c>
      <c r="Q56" s="30"/>
      <c r="R56" s="30">
        <v>0</v>
      </c>
      <c r="S56" s="30">
        <v>0</v>
      </c>
      <c r="T56" s="30"/>
      <c r="U56" s="30">
        <v>0</v>
      </c>
      <c r="V56" s="31">
        <v>0</v>
      </c>
    </row>
    <row r="57" spans="1:22">
      <c r="A57" s="1" t="s">
        <v>78</v>
      </c>
      <c r="B57" s="29">
        <v>258868.16438568919</v>
      </c>
      <c r="C57" s="30">
        <v>0</v>
      </c>
      <c r="D57" s="30">
        <v>0</v>
      </c>
      <c r="E57" s="30">
        <v>0</v>
      </c>
      <c r="F57" s="30">
        <v>0</v>
      </c>
      <c r="G57" s="31">
        <f>SUM(WY_FINANCIAL)</f>
        <v>258868.16438568919</v>
      </c>
      <c r="H57" s="30"/>
      <c r="I57" s="30"/>
      <c r="J57" s="30"/>
      <c r="K57" s="30"/>
      <c r="L57" s="29">
        <v>235000</v>
      </c>
      <c r="M57" s="30">
        <v>0</v>
      </c>
      <c r="N57" s="30"/>
      <c r="O57" s="30">
        <v>0</v>
      </c>
      <c r="P57" s="30">
        <v>0</v>
      </c>
      <c r="Q57" s="30"/>
      <c r="R57" s="30">
        <v>0</v>
      </c>
      <c r="S57" s="30">
        <v>0</v>
      </c>
      <c r="T57" s="30"/>
      <c r="U57" s="30">
        <v>0</v>
      </c>
      <c r="V57" s="31">
        <v>0</v>
      </c>
    </row>
    <row r="58" spans="1:22">
      <c r="A58" s="1" t="s">
        <v>79</v>
      </c>
      <c r="B58" s="29">
        <v>0</v>
      </c>
      <c r="C58" s="30">
        <v>0</v>
      </c>
      <c r="D58" s="30">
        <v>0</v>
      </c>
      <c r="E58" s="30">
        <v>0</v>
      </c>
      <c r="F58" s="30">
        <v>0</v>
      </c>
      <c r="G58" s="31">
        <f>SUM(OT_FINANCIAL)</f>
        <v>0</v>
      </c>
      <c r="H58" s="30"/>
      <c r="I58" s="30"/>
      <c r="J58" s="30"/>
      <c r="K58" s="30"/>
      <c r="L58" s="29"/>
      <c r="M58" s="30"/>
      <c r="N58" s="30"/>
      <c r="O58" s="30"/>
      <c r="P58" s="30"/>
      <c r="Q58" s="30"/>
      <c r="R58" s="30"/>
      <c r="S58" s="30"/>
      <c r="T58" s="30"/>
      <c r="U58" s="30"/>
      <c r="V58" s="31"/>
    </row>
    <row r="59" spans="1:22">
      <c r="B59" s="29"/>
      <c r="C59" s="30"/>
      <c r="D59" s="30"/>
      <c r="E59" s="30"/>
      <c r="F59" s="30"/>
      <c r="G59" s="31"/>
      <c r="H59" s="30"/>
      <c r="I59" s="30"/>
      <c r="J59" s="30"/>
      <c r="K59" s="30"/>
      <c r="L59" s="29"/>
      <c r="M59" s="30"/>
      <c r="N59" s="30"/>
      <c r="O59" s="30"/>
      <c r="P59" s="30"/>
      <c r="Q59" s="30"/>
      <c r="R59" s="30"/>
      <c r="S59" s="30"/>
      <c r="T59" s="30"/>
      <c r="U59" s="30"/>
      <c r="V59" s="31"/>
    </row>
    <row r="60" spans="1:22">
      <c r="A60" s="1" t="s">
        <v>8</v>
      </c>
      <c r="B60" s="29">
        <f>SUM(LIFE)</f>
        <v>81903024.650000021</v>
      </c>
      <c r="C60" s="30">
        <f>SUM(ALLOCATED)</f>
        <v>0</v>
      </c>
      <c r="D60" s="30">
        <f>SUM(HEALTH)</f>
        <v>0</v>
      </c>
      <c r="E60" s="30">
        <f>SUM(UNALLOCATED)</f>
        <v>0</v>
      </c>
      <c r="F60" s="30">
        <f>SUM(LTC)</f>
        <v>0</v>
      </c>
      <c r="G60" s="31">
        <f>SUM(ALL_BLOCKS)</f>
        <v>81903024.650000021</v>
      </c>
      <c r="H60" s="30"/>
      <c r="I60" s="30"/>
      <c r="J60" s="30"/>
      <c r="K60" s="30"/>
      <c r="L60" s="29">
        <f>SUM(LIFE_CALLED)</f>
        <v>88482480</v>
      </c>
      <c r="M60" s="30">
        <f>SUM(LIFE_REFUNDED)</f>
        <v>2590816.2341999998</v>
      </c>
      <c r="N60" s="30"/>
      <c r="O60" s="30">
        <f>SUM(ALLOC_CALLED)</f>
        <v>20683</v>
      </c>
      <c r="P60" s="30">
        <f>SUM(ALLOC_REFUNDED)</f>
        <v>26777</v>
      </c>
      <c r="Q60" s="30"/>
      <c r="R60" s="30">
        <f>SUM(HEALTH_CALLED)</f>
        <v>449</v>
      </c>
      <c r="S60" s="30">
        <f>SUM(HEALTH_REFUNDED)</f>
        <v>22.765800000006497</v>
      </c>
      <c r="T60" s="30"/>
      <c r="U60" s="30">
        <f>SUM(UNALLOC_CALLED)</f>
        <v>0</v>
      </c>
      <c r="V60" s="31">
        <f>SUM(UNALLOC_REFUNDED)</f>
        <v>0</v>
      </c>
    </row>
    <row r="61" spans="1:22" ht="5.0999999999999996" customHeight="1">
      <c r="B61" s="8"/>
      <c r="G61" s="11"/>
      <c r="L61" s="8"/>
      <c r="V61" s="11"/>
    </row>
    <row r="62" spans="1:22">
      <c r="B62" s="8"/>
      <c r="G62" s="11"/>
      <c r="L62" s="122" t="s">
        <v>80</v>
      </c>
      <c r="M62" s="123"/>
      <c r="N62" s="123"/>
      <c r="O62" s="123"/>
      <c r="P62" s="123"/>
      <c r="Q62" s="123"/>
      <c r="R62" s="123"/>
      <c r="S62" s="123"/>
      <c r="T62" s="123"/>
      <c r="U62" s="123"/>
      <c r="V62" s="124"/>
    </row>
    <row r="63" spans="1:22">
      <c r="B63" s="8"/>
      <c r="G63" s="11"/>
      <c r="L63" s="125"/>
      <c r="M63" s="123"/>
      <c r="N63" s="123"/>
      <c r="O63" s="123"/>
      <c r="P63" s="123"/>
      <c r="Q63" s="123"/>
      <c r="R63" s="123"/>
      <c r="S63" s="123"/>
      <c r="T63" s="123"/>
      <c r="U63" s="123"/>
      <c r="V63" s="124"/>
    </row>
    <row r="64" spans="1:22">
      <c r="B64" s="10"/>
      <c r="C64" s="7"/>
      <c r="D64" s="7"/>
      <c r="E64" s="7"/>
      <c r="F64" s="7"/>
      <c r="G64" s="13"/>
      <c r="L64" s="126"/>
      <c r="M64" s="127"/>
      <c r="N64" s="127"/>
      <c r="O64" s="127"/>
      <c r="P64" s="127"/>
      <c r="Q64" s="127"/>
      <c r="R64" s="127"/>
      <c r="S64" s="127"/>
      <c r="T64" s="127"/>
      <c r="U64" s="127"/>
      <c r="V64" s="128"/>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V64"/>
  <sheetViews>
    <sheetView zoomScale="75" workbookViewId="0">
      <selection sqref="A1:XFD1048576"/>
    </sheetView>
  </sheetViews>
  <sheetFormatPr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129" t="s">
        <v>86</v>
      </c>
      <c r="B1" s="123"/>
      <c r="C1" s="123"/>
      <c r="D1" s="123"/>
      <c r="E1" s="123"/>
      <c r="F1" s="123"/>
      <c r="G1" s="123"/>
    </row>
    <row r="3" spans="1:22">
      <c r="B3" s="130" t="s">
        <v>1</v>
      </c>
      <c r="C3" s="131"/>
      <c r="D3" s="131"/>
      <c r="E3" s="131"/>
      <c r="F3" s="131"/>
      <c r="G3" s="132"/>
      <c r="L3" s="133" t="s">
        <v>2</v>
      </c>
      <c r="M3" s="134"/>
      <c r="N3" s="134"/>
      <c r="O3" s="134"/>
      <c r="P3" s="134"/>
      <c r="Q3" s="134"/>
      <c r="R3" s="134"/>
      <c r="S3" s="134"/>
      <c r="T3" s="134"/>
      <c r="U3" s="134"/>
      <c r="V3" s="135"/>
    </row>
    <row r="4" spans="1:22">
      <c r="B4" s="8"/>
      <c r="G4" s="11"/>
      <c r="L4" s="136" t="s">
        <v>3</v>
      </c>
      <c r="M4" s="137"/>
      <c r="N4" s="4"/>
      <c r="O4" s="138" t="s">
        <v>4</v>
      </c>
      <c r="P4" s="137"/>
      <c r="Q4" s="4"/>
      <c r="R4" s="138" t="s">
        <v>5</v>
      </c>
      <c r="S4" s="137"/>
      <c r="T4" s="4"/>
      <c r="U4" s="138" t="s">
        <v>6</v>
      </c>
      <c r="V4" s="139"/>
    </row>
    <row r="5" spans="1:22" ht="60" customHeight="1">
      <c r="B5" s="9" t="s">
        <v>3</v>
      </c>
      <c r="C5" s="5" t="s">
        <v>4</v>
      </c>
      <c r="D5" s="5" t="s">
        <v>5</v>
      </c>
      <c r="E5" s="5" t="s">
        <v>6</v>
      </c>
      <c r="F5" s="5" t="s">
        <v>7</v>
      </c>
      <c r="G5" s="12" t="s">
        <v>8</v>
      </c>
      <c r="L5" s="15" t="s">
        <v>9</v>
      </c>
      <c r="M5" s="14" t="s">
        <v>10</v>
      </c>
      <c r="N5" s="14"/>
      <c r="O5" s="14" t="s">
        <v>9</v>
      </c>
      <c r="P5" s="14" t="s">
        <v>10</v>
      </c>
      <c r="Q5" s="14"/>
      <c r="R5" s="14" t="s">
        <v>9</v>
      </c>
      <c r="S5" s="14" t="s">
        <v>10</v>
      </c>
      <c r="T5" s="14"/>
      <c r="U5" s="14" t="s">
        <v>9</v>
      </c>
      <c r="V5" s="16" t="s">
        <v>10</v>
      </c>
    </row>
    <row r="6" spans="1:22">
      <c r="A6" s="1" t="s">
        <v>11</v>
      </c>
      <c r="B6" s="29">
        <v>0</v>
      </c>
      <c r="C6" s="30">
        <v>0</v>
      </c>
      <c r="D6" s="30">
        <v>62934.107086003802</v>
      </c>
      <c r="E6" s="30">
        <v>0</v>
      </c>
      <c r="F6" s="30">
        <v>0</v>
      </c>
      <c r="G6" s="31">
        <f>SUM(AL_FINANCIAL)</f>
        <v>62934.107086003802</v>
      </c>
      <c r="H6" s="30"/>
      <c r="I6" s="30"/>
      <c r="J6" s="30"/>
      <c r="K6" s="30"/>
      <c r="L6" s="29"/>
      <c r="M6" s="30"/>
      <c r="N6" s="30"/>
      <c r="O6" s="30"/>
      <c r="P6" s="30"/>
      <c r="Q6" s="30"/>
      <c r="R6" s="30"/>
      <c r="S6" s="30"/>
      <c r="T6" s="30"/>
      <c r="U6" s="30"/>
      <c r="V6" s="31"/>
    </row>
    <row r="7" spans="1:22">
      <c r="A7" s="1" t="s">
        <v>12</v>
      </c>
      <c r="B7" s="29">
        <v>0</v>
      </c>
      <c r="C7" s="30">
        <v>0</v>
      </c>
      <c r="D7" s="30">
        <v>0</v>
      </c>
      <c r="E7" s="30">
        <v>0</v>
      </c>
      <c r="F7" s="30">
        <v>0</v>
      </c>
      <c r="G7" s="31">
        <f>SUM(AK_FINANCIAL)</f>
        <v>0</v>
      </c>
      <c r="H7" s="30"/>
      <c r="I7" s="32"/>
      <c r="J7" s="33"/>
      <c r="K7" s="30"/>
      <c r="L7" s="29"/>
      <c r="M7" s="30"/>
      <c r="N7" s="30"/>
      <c r="O7" s="30"/>
      <c r="P7" s="30"/>
      <c r="Q7" s="30"/>
      <c r="R7" s="30"/>
      <c r="S7" s="30"/>
      <c r="T7" s="30"/>
      <c r="U7" s="30"/>
      <c r="V7" s="31"/>
    </row>
    <row r="8" spans="1:22">
      <c r="A8" s="1" t="s">
        <v>13</v>
      </c>
      <c r="B8" s="29">
        <v>0</v>
      </c>
      <c r="C8" s="30">
        <v>0</v>
      </c>
      <c r="D8" s="30">
        <v>1843435.4275802588</v>
      </c>
      <c r="E8" s="30">
        <v>0</v>
      </c>
      <c r="F8" s="30">
        <v>0</v>
      </c>
      <c r="G8" s="31">
        <f>SUM(AZ_FINANCIAL)</f>
        <v>1843435.4275802588</v>
      </c>
      <c r="H8" s="30"/>
      <c r="I8" s="34" t="s">
        <v>14</v>
      </c>
      <c r="J8" s="35"/>
      <c r="K8" s="30"/>
      <c r="L8" s="29"/>
      <c r="M8" s="30"/>
      <c r="N8" s="30"/>
      <c r="O8" s="30"/>
      <c r="P8" s="30"/>
      <c r="Q8" s="30"/>
      <c r="R8" s="30"/>
      <c r="S8" s="30"/>
      <c r="T8" s="30"/>
      <c r="U8" s="30"/>
      <c r="V8" s="31"/>
    </row>
    <row r="9" spans="1:22">
      <c r="A9" s="1" t="s">
        <v>15</v>
      </c>
      <c r="B9" s="29">
        <v>0</v>
      </c>
      <c r="C9" s="30">
        <v>0</v>
      </c>
      <c r="D9" s="30">
        <v>14274.597656780101</v>
      </c>
      <c r="E9" s="30">
        <v>0</v>
      </c>
      <c r="F9" s="30">
        <v>0</v>
      </c>
      <c r="G9" s="31">
        <f>SUM(AR_FINANCIAL)</f>
        <v>14274.597656780101</v>
      </c>
      <c r="H9" s="30"/>
      <c r="I9" s="34"/>
      <c r="J9" s="35"/>
      <c r="K9" s="30"/>
      <c r="L9" s="29"/>
      <c r="M9" s="30"/>
      <c r="N9" s="30"/>
      <c r="O9" s="30"/>
      <c r="P9" s="30"/>
      <c r="Q9" s="30"/>
      <c r="R9" s="30"/>
      <c r="S9" s="30"/>
      <c r="T9" s="30"/>
      <c r="U9" s="30"/>
      <c r="V9" s="31"/>
    </row>
    <row r="10" spans="1:22">
      <c r="A10" s="1" t="s">
        <v>16</v>
      </c>
      <c r="B10" s="29">
        <v>0</v>
      </c>
      <c r="C10" s="30">
        <v>0</v>
      </c>
      <c r="D10" s="30">
        <v>2347904.8840026748</v>
      </c>
      <c r="E10" s="30">
        <v>0</v>
      </c>
      <c r="F10" s="30">
        <v>0</v>
      </c>
      <c r="G10" s="31">
        <f>SUM(CA_FINANCIAL)</f>
        <v>2347904.8840026748</v>
      </c>
      <c r="H10" s="30"/>
      <c r="I10" s="34" t="s">
        <v>17</v>
      </c>
      <c r="J10" s="35">
        <v>385667154.38576686</v>
      </c>
      <c r="K10" s="30"/>
      <c r="L10" s="29"/>
      <c r="M10" s="30"/>
      <c r="N10" s="30"/>
      <c r="O10" s="30"/>
      <c r="P10" s="30"/>
      <c r="Q10" s="30"/>
      <c r="R10" s="30"/>
      <c r="S10" s="30"/>
      <c r="T10" s="30"/>
      <c r="U10" s="30"/>
      <c r="V10" s="31"/>
    </row>
    <row r="11" spans="1:22">
      <c r="A11" s="1" t="s">
        <v>18</v>
      </c>
      <c r="B11" s="29">
        <v>0</v>
      </c>
      <c r="C11" s="30">
        <v>0</v>
      </c>
      <c r="D11" s="30">
        <v>19335470.155418351</v>
      </c>
      <c r="E11" s="30">
        <v>0</v>
      </c>
      <c r="F11" s="30">
        <v>0</v>
      </c>
      <c r="G11" s="31">
        <f>SUM(CO_FINANCIAL)</f>
        <v>19335470.155418351</v>
      </c>
      <c r="H11" s="30"/>
      <c r="I11" s="34"/>
      <c r="J11" s="35"/>
      <c r="K11" s="30"/>
      <c r="L11" s="29">
        <v>0</v>
      </c>
      <c r="M11" s="30">
        <v>0</v>
      </c>
      <c r="N11" s="30"/>
      <c r="O11" s="30">
        <v>0</v>
      </c>
      <c r="P11" s="30">
        <v>0</v>
      </c>
      <c r="Q11" s="30"/>
      <c r="R11" s="30">
        <v>16000000</v>
      </c>
      <c r="S11" s="30">
        <v>0</v>
      </c>
      <c r="T11" s="30"/>
      <c r="U11" s="30">
        <v>0</v>
      </c>
      <c r="V11" s="31">
        <v>0</v>
      </c>
    </row>
    <row r="12" spans="1:22">
      <c r="A12" s="1" t="s">
        <v>19</v>
      </c>
      <c r="B12" s="29">
        <v>0</v>
      </c>
      <c r="C12" s="30">
        <v>0</v>
      </c>
      <c r="D12" s="30">
        <v>24100777.348431982</v>
      </c>
      <c r="E12" s="30">
        <v>0</v>
      </c>
      <c r="F12" s="30">
        <v>0</v>
      </c>
      <c r="G12" s="31">
        <f>SUM(CT_FINANCIAL)</f>
        <v>24100777.348431982</v>
      </c>
      <c r="H12" s="30"/>
      <c r="I12" s="34" t="s">
        <v>20</v>
      </c>
      <c r="J12" s="35"/>
      <c r="K12" s="30"/>
      <c r="L12" s="29">
        <v>0</v>
      </c>
      <c r="M12" s="30">
        <v>0</v>
      </c>
      <c r="N12" s="30"/>
      <c r="O12" s="30">
        <v>0</v>
      </c>
      <c r="P12" s="30">
        <v>0</v>
      </c>
      <c r="Q12" s="30"/>
      <c r="R12" s="30">
        <v>1173019</v>
      </c>
      <c r="S12" s="30">
        <v>0</v>
      </c>
      <c r="T12" s="30"/>
      <c r="U12" s="30">
        <v>0</v>
      </c>
      <c r="V12" s="31">
        <v>0</v>
      </c>
    </row>
    <row r="13" spans="1:22">
      <c r="A13" s="1" t="s">
        <v>21</v>
      </c>
      <c r="B13" s="29">
        <v>0</v>
      </c>
      <c r="C13" s="30">
        <v>0</v>
      </c>
      <c r="D13" s="30">
        <v>527898.92622900358</v>
      </c>
      <c r="E13" s="30">
        <v>0</v>
      </c>
      <c r="F13" s="30">
        <v>0</v>
      </c>
      <c r="G13" s="31">
        <f>SUM(DE_FINANCIAL)</f>
        <v>527898.92622900358</v>
      </c>
      <c r="H13" s="30"/>
      <c r="I13" s="34" t="s">
        <v>22</v>
      </c>
      <c r="J13" s="35">
        <v>0</v>
      </c>
      <c r="K13" s="30"/>
      <c r="L13" s="29">
        <v>0</v>
      </c>
      <c r="M13" s="30">
        <v>0</v>
      </c>
      <c r="N13" s="30"/>
      <c r="O13" s="30">
        <v>0</v>
      </c>
      <c r="P13" s="30">
        <v>0</v>
      </c>
      <c r="Q13" s="30"/>
      <c r="R13" s="30">
        <v>596000</v>
      </c>
      <c r="S13" s="30">
        <v>0</v>
      </c>
      <c r="T13" s="30"/>
      <c r="U13" s="30">
        <v>0</v>
      </c>
      <c r="V13" s="31">
        <v>0</v>
      </c>
    </row>
    <row r="14" spans="1:22">
      <c r="A14" s="1" t="s">
        <v>23</v>
      </c>
      <c r="B14" s="29">
        <v>0</v>
      </c>
      <c r="C14" s="30">
        <v>0</v>
      </c>
      <c r="D14" s="30">
        <v>165709.66588100165</v>
      </c>
      <c r="E14" s="30">
        <v>0</v>
      </c>
      <c r="F14" s="30">
        <v>0</v>
      </c>
      <c r="G14" s="31">
        <f>SUM(DC_FINANCIAL)</f>
        <v>165709.66588100165</v>
      </c>
      <c r="H14" s="30"/>
      <c r="I14" s="34" t="s">
        <v>24</v>
      </c>
      <c r="J14" s="35">
        <v>3102445.1342655225</v>
      </c>
      <c r="K14" s="30"/>
      <c r="L14" s="29">
        <v>0</v>
      </c>
      <c r="M14" s="30">
        <v>0</v>
      </c>
      <c r="N14" s="30"/>
      <c r="O14" s="30">
        <v>0</v>
      </c>
      <c r="P14" s="30">
        <v>0</v>
      </c>
      <c r="Q14" s="30"/>
      <c r="R14" s="30">
        <v>142500</v>
      </c>
      <c r="S14" s="30">
        <v>0</v>
      </c>
      <c r="T14" s="30"/>
      <c r="U14" s="30">
        <v>0</v>
      </c>
      <c r="V14" s="31">
        <v>0</v>
      </c>
    </row>
    <row r="15" spans="1:22">
      <c r="A15" s="1" t="s">
        <v>25</v>
      </c>
      <c r="B15" s="29">
        <v>0</v>
      </c>
      <c r="C15" s="30">
        <v>0</v>
      </c>
      <c r="D15" s="30">
        <v>14860672.083175566</v>
      </c>
      <c r="E15" s="30">
        <v>0</v>
      </c>
      <c r="F15" s="30">
        <v>0</v>
      </c>
      <c r="G15" s="31">
        <f>SUM(FL_FINANCIAL)</f>
        <v>14860672.083175566</v>
      </c>
      <c r="H15" s="30"/>
      <c r="I15" s="34" t="s">
        <v>26</v>
      </c>
      <c r="J15" s="35">
        <v>5356935.6240889989</v>
      </c>
      <c r="K15" s="30"/>
      <c r="L15" s="29">
        <v>0</v>
      </c>
      <c r="M15" s="30">
        <v>0</v>
      </c>
      <c r="N15" s="30"/>
      <c r="O15" s="30">
        <v>0</v>
      </c>
      <c r="P15" s="30">
        <v>0</v>
      </c>
      <c r="Q15" s="30"/>
      <c r="R15" s="30">
        <v>14795535</v>
      </c>
      <c r="S15" s="30">
        <v>0</v>
      </c>
      <c r="T15" s="30"/>
      <c r="U15" s="30">
        <v>0</v>
      </c>
      <c r="V15" s="31">
        <v>0</v>
      </c>
    </row>
    <row r="16" spans="1:22">
      <c r="A16" s="1" t="s">
        <v>27</v>
      </c>
      <c r="B16" s="29">
        <v>0</v>
      </c>
      <c r="C16" s="30">
        <v>0</v>
      </c>
      <c r="D16" s="30">
        <v>1433892.5493643861</v>
      </c>
      <c r="E16" s="30">
        <v>0</v>
      </c>
      <c r="F16" s="30">
        <v>0</v>
      </c>
      <c r="G16" s="31">
        <f>SUM(GA_FINANCIAL)</f>
        <v>1433892.5493643861</v>
      </c>
      <c r="H16" s="30"/>
      <c r="I16" s="34" t="s">
        <v>28</v>
      </c>
      <c r="J16" s="35">
        <v>297622917.3857671</v>
      </c>
      <c r="K16" s="30"/>
      <c r="L16" s="29">
        <v>0</v>
      </c>
      <c r="M16" s="30">
        <v>0</v>
      </c>
      <c r="N16" s="30"/>
      <c r="O16" s="30">
        <v>0</v>
      </c>
      <c r="P16" s="30">
        <v>0</v>
      </c>
      <c r="Q16" s="30"/>
      <c r="R16" s="30">
        <v>1700000</v>
      </c>
      <c r="S16" s="30">
        <v>0</v>
      </c>
      <c r="T16" s="30"/>
      <c r="U16" s="30">
        <v>0</v>
      </c>
      <c r="V16" s="31">
        <v>0</v>
      </c>
    </row>
    <row r="17" spans="1:22">
      <c r="A17" s="1" t="s">
        <v>29</v>
      </c>
      <c r="B17" s="29">
        <v>0</v>
      </c>
      <c r="C17" s="30">
        <v>0</v>
      </c>
      <c r="D17" s="30">
        <v>15096.865122402432</v>
      </c>
      <c r="E17" s="30">
        <v>0</v>
      </c>
      <c r="F17" s="30">
        <v>0</v>
      </c>
      <c r="G17" s="31">
        <f>SUM(HI_FINANCIAL)</f>
        <v>15096.865122402432</v>
      </c>
      <c r="H17" s="30"/>
      <c r="I17" s="34"/>
      <c r="J17" s="35"/>
      <c r="K17" s="30"/>
      <c r="L17" s="29"/>
      <c r="M17" s="30"/>
      <c r="N17" s="30"/>
      <c r="O17" s="30"/>
      <c r="P17" s="30"/>
      <c r="Q17" s="30"/>
      <c r="R17" s="30"/>
      <c r="S17" s="30"/>
      <c r="T17" s="30"/>
      <c r="U17" s="30"/>
      <c r="V17" s="31"/>
    </row>
    <row r="18" spans="1:22">
      <c r="A18" s="1" t="s">
        <v>30</v>
      </c>
      <c r="B18" s="29">
        <v>0</v>
      </c>
      <c r="C18" s="30">
        <v>0</v>
      </c>
      <c r="D18" s="30">
        <v>115856.00740991718</v>
      </c>
      <c r="E18" s="30">
        <v>0</v>
      </c>
      <c r="F18" s="30">
        <v>0</v>
      </c>
      <c r="G18" s="31">
        <f>SUM(ID_FINANCIAL)</f>
        <v>115856.00740991718</v>
      </c>
      <c r="H18" s="30"/>
      <c r="I18" s="34" t="s">
        <v>31</v>
      </c>
      <c r="J18" s="35"/>
      <c r="K18" s="30"/>
      <c r="L18" s="29"/>
      <c r="M18" s="30"/>
      <c r="N18" s="30"/>
      <c r="O18" s="30"/>
      <c r="P18" s="30"/>
      <c r="Q18" s="30"/>
      <c r="R18" s="30"/>
      <c r="S18" s="30"/>
      <c r="T18" s="30"/>
      <c r="U18" s="30"/>
      <c r="V18" s="31"/>
    </row>
    <row r="19" spans="1:22">
      <c r="A19" s="1" t="s">
        <v>32</v>
      </c>
      <c r="B19" s="29">
        <v>0</v>
      </c>
      <c r="C19" s="30">
        <v>0</v>
      </c>
      <c r="D19" s="30">
        <v>298365.33840986318</v>
      </c>
      <c r="E19" s="30">
        <v>0</v>
      </c>
      <c r="F19" s="30">
        <v>0</v>
      </c>
      <c r="G19" s="31">
        <f>SUM(IL_FINANCIAL)</f>
        <v>298365.33840986318</v>
      </c>
      <c r="H19" s="30"/>
      <c r="I19" s="34" t="s">
        <v>33</v>
      </c>
      <c r="J19" s="35">
        <v>88044236.999999821</v>
      </c>
      <c r="K19" s="30"/>
      <c r="L19" s="29"/>
      <c r="M19" s="30"/>
      <c r="N19" s="30"/>
      <c r="O19" s="30"/>
      <c r="P19" s="30"/>
      <c r="Q19" s="30"/>
      <c r="R19" s="30"/>
      <c r="S19" s="30"/>
      <c r="T19" s="30"/>
      <c r="U19" s="30"/>
      <c r="V19" s="31"/>
    </row>
    <row r="20" spans="1:22">
      <c r="A20" s="1" t="s">
        <v>34</v>
      </c>
      <c r="B20" s="29">
        <v>0</v>
      </c>
      <c r="C20" s="30">
        <v>0</v>
      </c>
      <c r="D20" s="30">
        <v>162457.35564132212</v>
      </c>
      <c r="E20" s="30">
        <v>0</v>
      </c>
      <c r="F20" s="30">
        <v>0</v>
      </c>
      <c r="G20" s="31">
        <f>SUM(IN_FINANCIAL)</f>
        <v>162457.35564132212</v>
      </c>
      <c r="H20" s="30"/>
      <c r="I20" s="34" t="s">
        <v>35</v>
      </c>
      <c r="J20" s="35">
        <v>297622917.3857671</v>
      </c>
      <c r="K20" s="30"/>
      <c r="L20" s="29"/>
      <c r="M20" s="30"/>
      <c r="N20" s="30"/>
      <c r="O20" s="30"/>
      <c r="P20" s="30"/>
      <c r="Q20" s="30"/>
      <c r="R20" s="30"/>
      <c r="S20" s="30"/>
      <c r="T20" s="30"/>
      <c r="U20" s="30"/>
      <c r="V20" s="31"/>
    </row>
    <row r="21" spans="1:22">
      <c r="A21" s="1" t="s">
        <v>36</v>
      </c>
      <c r="B21" s="29">
        <v>0</v>
      </c>
      <c r="C21" s="30">
        <v>0</v>
      </c>
      <c r="D21" s="30">
        <v>0</v>
      </c>
      <c r="E21" s="30">
        <v>0</v>
      </c>
      <c r="F21" s="30">
        <v>0</v>
      </c>
      <c r="G21" s="31">
        <f>SUM(IA_FINANCIAL)</f>
        <v>0</v>
      </c>
      <c r="H21" s="30"/>
      <c r="I21" s="34" t="s">
        <v>37</v>
      </c>
      <c r="J21" s="35"/>
      <c r="K21" s="30"/>
      <c r="L21" s="29"/>
      <c r="M21" s="30"/>
      <c r="N21" s="30"/>
      <c r="O21" s="30"/>
      <c r="P21" s="30"/>
      <c r="Q21" s="30"/>
      <c r="R21" s="30"/>
      <c r="S21" s="30"/>
      <c r="T21" s="30"/>
      <c r="U21" s="30"/>
      <c r="V21" s="31"/>
    </row>
    <row r="22" spans="1:22">
      <c r="A22" s="1" t="s">
        <v>38</v>
      </c>
      <c r="B22" s="29">
        <v>0</v>
      </c>
      <c r="C22" s="30">
        <v>0</v>
      </c>
      <c r="D22" s="30">
        <v>11449532.098668553</v>
      </c>
      <c r="E22" s="30">
        <v>0</v>
      </c>
      <c r="F22" s="30">
        <v>0</v>
      </c>
      <c r="G22" s="31">
        <f>SUM(KS_FINANCIAL)</f>
        <v>11449532.098668553</v>
      </c>
      <c r="H22" s="30"/>
      <c r="I22" s="34" t="s">
        <v>39</v>
      </c>
      <c r="J22" s="35">
        <v>0</v>
      </c>
      <c r="K22" s="30"/>
      <c r="L22" s="29">
        <v>0</v>
      </c>
      <c r="M22" s="30">
        <v>0</v>
      </c>
      <c r="N22" s="30"/>
      <c r="O22" s="30">
        <v>0</v>
      </c>
      <c r="P22" s="30">
        <v>0</v>
      </c>
      <c r="Q22" s="30"/>
      <c r="R22" s="30">
        <v>9800000</v>
      </c>
      <c r="S22" s="30">
        <v>0</v>
      </c>
      <c r="T22" s="30"/>
      <c r="U22" s="30">
        <v>0</v>
      </c>
      <c r="V22" s="31">
        <v>0</v>
      </c>
    </row>
    <row r="23" spans="1:22">
      <c r="A23" s="1" t="s">
        <v>40</v>
      </c>
      <c r="B23" s="29">
        <v>0</v>
      </c>
      <c r="C23" s="30">
        <v>0</v>
      </c>
      <c r="D23" s="30">
        <v>130159.55441546071</v>
      </c>
      <c r="E23" s="30">
        <v>0</v>
      </c>
      <c r="F23" s="30">
        <v>0</v>
      </c>
      <c r="G23" s="31">
        <f>SUM(KY_FINANCIAL)</f>
        <v>130159.55441546071</v>
      </c>
      <c r="H23" s="30"/>
      <c r="I23" s="34" t="s">
        <v>41</v>
      </c>
      <c r="J23" s="35"/>
      <c r="K23" s="30"/>
      <c r="L23" s="29"/>
      <c r="M23" s="30"/>
      <c r="N23" s="30"/>
      <c r="O23" s="30"/>
      <c r="P23" s="30"/>
      <c r="Q23" s="30"/>
      <c r="R23" s="30"/>
      <c r="S23" s="30"/>
      <c r="T23" s="30"/>
      <c r="U23" s="30"/>
      <c r="V23" s="31"/>
    </row>
    <row r="24" spans="1:22">
      <c r="A24" s="1" t="s">
        <v>42</v>
      </c>
      <c r="B24" s="29">
        <v>0</v>
      </c>
      <c r="C24" s="30">
        <v>0</v>
      </c>
      <c r="D24" s="30">
        <v>151440.75422342989</v>
      </c>
      <c r="E24" s="30">
        <v>0</v>
      </c>
      <c r="F24" s="30">
        <v>0</v>
      </c>
      <c r="G24" s="31">
        <f>SUM(LA_FINANCIAL)</f>
        <v>151440.75422342989</v>
      </c>
      <c r="H24" s="30"/>
      <c r="I24" s="34" t="s">
        <v>43</v>
      </c>
      <c r="J24" s="35">
        <v>0</v>
      </c>
      <c r="K24" s="30"/>
      <c r="L24" s="29"/>
      <c r="M24" s="30"/>
      <c r="N24" s="30"/>
      <c r="O24" s="30"/>
      <c r="P24" s="30"/>
      <c r="Q24" s="30"/>
      <c r="R24" s="30"/>
      <c r="S24" s="30"/>
      <c r="T24" s="30"/>
      <c r="U24" s="30"/>
      <c r="V24" s="31"/>
    </row>
    <row r="25" spans="1:22">
      <c r="A25" s="1" t="s">
        <v>44</v>
      </c>
      <c r="B25" s="29">
        <v>0</v>
      </c>
      <c r="C25" s="30">
        <v>0</v>
      </c>
      <c r="D25" s="30">
        <v>672264.11298962333</v>
      </c>
      <c r="E25" s="30">
        <v>0</v>
      </c>
      <c r="F25" s="30">
        <v>0</v>
      </c>
      <c r="G25" s="31">
        <f>SUM(ME_FINANCIAL)</f>
        <v>672264.11298962333</v>
      </c>
      <c r="H25" s="30"/>
      <c r="I25" s="34"/>
      <c r="J25" s="35"/>
      <c r="K25" s="30"/>
      <c r="L25" s="29">
        <v>0</v>
      </c>
      <c r="M25" s="30">
        <v>0</v>
      </c>
      <c r="N25" s="30"/>
      <c r="O25" s="30">
        <v>0</v>
      </c>
      <c r="P25" s="30">
        <v>0</v>
      </c>
      <c r="Q25" s="30"/>
      <c r="R25" s="30">
        <v>566000</v>
      </c>
      <c r="S25" s="30">
        <v>0</v>
      </c>
      <c r="T25" s="30"/>
      <c r="U25" s="30">
        <v>0</v>
      </c>
      <c r="V25" s="31">
        <v>0</v>
      </c>
    </row>
    <row r="26" spans="1:22">
      <c r="A26" s="1" t="s">
        <v>45</v>
      </c>
      <c r="B26" s="29">
        <v>0</v>
      </c>
      <c r="C26" s="30">
        <v>0</v>
      </c>
      <c r="D26" s="30">
        <v>2129135.9190078736</v>
      </c>
      <c r="E26" s="30">
        <v>0</v>
      </c>
      <c r="F26" s="30">
        <v>0</v>
      </c>
      <c r="G26" s="31">
        <f>SUM(MD_FINANCIAL)</f>
        <v>2129135.9190078736</v>
      </c>
      <c r="H26" s="30"/>
      <c r="I26" s="34" t="s">
        <v>46</v>
      </c>
      <c r="J26" s="35">
        <f>SUM(ADD_FINANCIAL)-SUM(LESS_FINANCIAL)</f>
        <v>306082298.14412159</v>
      </c>
      <c r="K26" s="30"/>
      <c r="L26" s="29"/>
      <c r="M26" s="30"/>
      <c r="N26" s="30"/>
      <c r="O26" s="30"/>
      <c r="P26" s="30"/>
      <c r="Q26" s="30"/>
      <c r="R26" s="30"/>
      <c r="S26" s="30"/>
      <c r="T26" s="30"/>
      <c r="U26" s="30"/>
      <c r="V26" s="31"/>
    </row>
    <row r="27" spans="1:22">
      <c r="A27" s="1" t="s">
        <v>47</v>
      </c>
      <c r="B27" s="29">
        <v>0</v>
      </c>
      <c r="C27" s="30">
        <v>0</v>
      </c>
      <c r="D27" s="30">
        <v>2289366.7173534115</v>
      </c>
      <c r="E27" s="30">
        <v>0</v>
      </c>
      <c r="F27" s="30">
        <v>0</v>
      </c>
      <c r="G27" s="31">
        <f>SUM(MA_FINANCIAL)</f>
        <v>2289366.7173534115</v>
      </c>
      <c r="H27" s="30"/>
      <c r="I27" s="34" t="s">
        <v>48</v>
      </c>
      <c r="J27" s="35">
        <f>SUM(ALL_BLOCKS)</f>
        <v>306082298.14412159</v>
      </c>
      <c r="K27" s="30"/>
      <c r="L27" s="29">
        <v>0</v>
      </c>
      <c r="M27" s="30">
        <v>0</v>
      </c>
      <c r="N27" s="30"/>
      <c r="O27" s="30">
        <v>0</v>
      </c>
      <c r="P27" s="30">
        <v>0</v>
      </c>
      <c r="Q27" s="30"/>
      <c r="R27" s="30">
        <v>1898000</v>
      </c>
      <c r="S27" s="30">
        <v>0</v>
      </c>
      <c r="T27" s="30"/>
      <c r="U27" s="30">
        <v>0</v>
      </c>
      <c r="V27" s="31">
        <v>0</v>
      </c>
    </row>
    <row r="28" spans="1:22">
      <c r="A28" s="1" t="s">
        <v>49</v>
      </c>
      <c r="B28" s="29">
        <v>0</v>
      </c>
      <c r="C28" s="30">
        <v>0</v>
      </c>
      <c r="D28" s="30">
        <v>0</v>
      </c>
      <c r="E28" s="30">
        <v>0</v>
      </c>
      <c r="F28" s="30">
        <v>0</v>
      </c>
      <c r="G28" s="31">
        <f>SUM(MI_FINANCIAL)</f>
        <v>0</v>
      </c>
      <c r="H28" s="30"/>
      <c r="I28" s="36"/>
      <c r="J28" s="37"/>
      <c r="K28" s="30"/>
      <c r="L28" s="29"/>
      <c r="M28" s="30"/>
      <c r="N28" s="30"/>
      <c r="O28" s="30"/>
      <c r="P28" s="30"/>
      <c r="Q28" s="30"/>
      <c r="R28" s="30"/>
      <c r="S28" s="30"/>
      <c r="T28" s="30"/>
      <c r="U28" s="30"/>
      <c r="V28" s="31"/>
    </row>
    <row r="29" spans="1:22">
      <c r="A29" s="1" t="s">
        <v>50</v>
      </c>
      <c r="B29" s="29">
        <v>0</v>
      </c>
      <c r="C29" s="30">
        <v>0</v>
      </c>
      <c r="D29" s="30">
        <v>135121.32562911187</v>
      </c>
      <c r="E29" s="30">
        <v>0</v>
      </c>
      <c r="F29" s="30">
        <v>0</v>
      </c>
      <c r="G29" s="31">
        <f>SUM(MN_FINANCIAL)</f>
        <v>135121.32562911187</v>
      </c>
      <c r="H29" s="30"/>
      <c r="I29" s="30"/>
      <c r="J29" s="30"/>
      <c r="K29" s="30"/>
      <c r="L29" s="29">
        <v>0</v>
      </c>
      <c r="M29" s="30">
        <v>0</v>
      </c>
      <c r="N29" s="30"/>
      <c r="O29" s="30">
        <v>0</v>
      </c>
      <c r="P29" s="30">
        <v>0</v>
      </c>
      <c r="Q29" s="30"/>
      <c r="R29" s="30">
        <v>150000</v>
      </c>
      <c r="S29" s="30">
        <v>0</v>
      </c>
      <c r="T29" s="30"/>
      <c r="U29" s="30">
        <v>0</v>
      </c>
      <c r="V29" s="31">
        <v>0</v>
      </c>
    </row>
    <row r="30" spans="1:22">
      <c r="A30" s="1" t="s">
        <v>51</v>
      </c>
      <c r="B30" s="29">
        <v>0</v>
      </c>
      <c r="C30" s="30">
        <v>0</v>
      </c>
      <c r="D30" s="30">
        <v>9479.5199363415559</v>
      </c>
      <c r="E30" s="30">
        <v>0</v>
      </c>
      <c r="F30" s="30">
        <v>0</v>
      </c>
      <c r="G30" s="31">
        <f>SUM(MS_FINANCIAL)</f>
        <v>9479.5199363415559</v>
      </c>
      <c r="H30" s="30"/>
      <c r="I30" s="30"/>
      <c r="J30" s="30"/>
      <c r="K30" s="30"/>
      <c r="L30" s="29"/>
      <c r="M30" s="30"/>
      <c r="N30" s="30"/>
      <c r="O30" s="30"/>
      <c r="P30" s="30"/>
      <c r="Q30" s="30"/>
      <c r="R30" s="30"/>
      <c r="S30" s="30"/>
      <c r="T30" s="30"/>
      <c r="U30" s="30"/>
      <c r="V30" s="31"/>
    </row>
    <row r="31" spans="1:22">
      <c r="A31" s="1" t="s">
        <v>52</v>
      </c>
      <c r="B31" s="29">
        <v>0</v>
      </c>
      <c r="C31" s="30">
        <v>0</v>
      </c>
      <c r="D31" s="30">
        <v>323463.79755865887</v>
      </c>
      <c r="E31" s="30">
        <v>0</v>
      </c>
      <c r="F31" s="30">
        <v>0</v>
      </c>
      <c r="G31" s="31">
        <f>SUM(MO_FINANCIAL)</f>
        <v>323463.79755865887</v>
      </c>
      <c r="H31" s="30"/>
      <c r="I31" s="30"/>
      <c r="J31" s="30"/>
      <c r="K31" s="30"/>
      <c r="L31" s="29">
        <v>0</v>
      </c>
      <c r="M31" s="30">
        <v>0</v>
      </c>
      <c r="N31" s="30"/>
      <c r="O31" s="30">
        <v>0</v>
      </c>
      <c r="P31" s="30">
        <v>0</v>
      </c>
      <c r="Q31" s="30"/>
      <c r="R31" s="30">
        <v>267450</v>
      </c>
      <c r="S31" s="30">
        <v>0</v>
      </c>
      <c r="T31" s="30"/>
      <c r="U31" s="30">
        <v>0</v>
      </c>
      <c r="V31" s="31">
        <v>0</v>
      </c>
    </row>
    <row r="32" spans="1:22">
      <c r="A32" s="1" t="s">
        <v>53</v>
      </c>
      <c r="B32" s="29">
        <v>0</v>
      </c>
      <c r="C32" s="30">
        <v>0</v>
      </c>
      <c r="D32" s="30">
        <v>84033.145209762151</v>
      </c>
      <c r="E32" s="30">
        <v>0</v>
      </c>
      <c r="F32" s="30">
        <v>0</v>
      </c>
      <c r="G32" s="31">
        <f>SUM(MT_FINANCIAL)</f>
        <v>84033.145209762151</v>
      </c>
      <c r="H32" s="30"/>
      <c r="I32" s="30"/>
      <c r="J32" s="30"/>
      <c r="K32" s="30"/>
      <c r="L32" s="29"/>
      <c r="M32" s="30"/>
      <c r="N32" s="30"/>
      <c r="O32" s="30"/>
      <c r="P32" s="30"/>
      <c r="Q32" s="30"/>
      <c r="R32" s="30"/>
      <c r="S32" s="30"/>
      <c r="T32" s="30"/>
      <c r="U32" s="30"/>
      <c r="V32" s="31"/>
    </row>
    <row r="33" spans="1:22">
      <c r="A33" s="1" t="s">
        <v>54</v>
      </c>
      <c r="B33" s="29">
        <v>0</v>
      </c>
      <c r="C33" s="30">
        <v>0</v>
      </c>
      <c r="D33" s="30">
        <v>94207.075952977757</v>
      </c>
      <c r="E33" s="30">
        <v>0</v>
      </c>
      <c r="F33" s="30">
        <v>0</v>
      </c>
      <c r="G33" s="31">
        <f>SUM(NE_FINANCIAL)</f>
        <v>94207.075952977757</v>
      </c>
      <c r="H33" s="30"/>
      <c r="I33" s="30"/>
      <c r="J33" s="30"/>
      <c r="K33" s="30"/>
      <c r="L33" s="29"/>
      <c r="M33" s="30"/>
      <c r="N33" s="30"/>
      <c r="O33" s="30"/>
      <c r="P33" s="30"/>
      <c r="Q33" s="30"/>
      <c r="R33" s="30"/>
      <c r="S33" s="30"/>
      <c r="T33" s="30"/>
      <c r="U33" s="30"/>
      <c r="V33" s="31"/>
    </row>
    <row r="34" spans="1:22">
      <c r="A34" s="1" t="s">
        <v>55</v>
      </c>
      <c r="B34" s="29">
        <v>0</v>
      </c>
      <c r="C34" s="30">
        <v>0</v>
      </c>
      <c r="D34" s="30">
        <v>168802.0078693142</v>
      </c>
      <c r="E34" s="30">
        <v>0</v>
      </c>
      <c r="F34" s="30">
        <v>0</v>
      </c>
      <c r="G34" s="31">
        <f>SUM(NV_FINANCIAL)</f>
        <v>168802.0078693142</v>
      </c>
      <c r="H34" s="30"/>
      <c r="I34" s="30"/>
      <c r="J34" s="30"/>
      <c r="K34" s="30"/>
      <c r="L34" s="29"/>
      <c r="M34" s="30"/>
      <c r="N34" s="30"/>
      <c r="O34" s="30"/>
      <c r="P34" s="30"/>
      <c r="Q34" s="30"/>
      <c r="R34" s="30"/>
      <c r="S34" s="30"/>
      <c r="T34" s="30"/>
      <c r="U34" s="30"/>
      <c r="V34" s="31"/>
    </row>
    <row r="35" spans="1:22">
      <c r="A35" s="1" t="s">
        <v>56</v>
      </c>
      <c r="B35" s="29">
        <v>0</v>
      </c>
      <c r="C35" s="30">
        <v>0</v>
      </c>
      <c r="D35" s="30">
        <v>370731.62075268081</v>
      </c>
      <c r="E35" s="30">
        <v>0</v>
      </c>
      <c r="F35" s="30">
        <v>0</v>
      </c>
      <c r="G35" s="31">
        <f>SUM(NH_FINANCIAL)</f>
        <v>370731.62075268081</v>
      </c>
      <c r="H35" s="30"/>
      <c r="I35" s="30"/>
      <c r="J35" s="30"/>
      <c r="K35" s="30"/>
      <c r="L35" s="29"/>
      <c r="M35" s="30"/>
      <c r="N35" s="30"/>
      <c r="O35" s="30"/>
      <c r="P35" s="30"/>
      <c r="Q35" s="30"/>
      <c r="R35" s="30"/>
      <c r="S35" s="30"/>
      <c r="T35" s="30"/>
      <c r="U35" s="30"/>
      <c r="V35" s="31"/>
    </row>
    <row r="36" spans="1:22">
      <c r="A36" s="1" t="s">
        <v>57</v>
      </c>
      <c r="B36" s="29">
        <v>0</v>
      </c>
      <c r="C36" s="30">
        <v>0</v>
      </c>
      <c r="D36" s="30">
        <v>149499686.39795566</v>
      </c>
      <c r="E36" s="30">
        <v>0</v>
      </c>
      <c r="F36" s="30">
        <v>0</v>
      </c>
      <c r="G36" s="31">
        <f>SUM(NJ_FINANCIAL)</f>
        <v>149499686.39795566</v>
      </c>
      <c r="H36" s="30"/>
      <c r="I36" s="30"/>
      <c r="J36" s="30"/>
      <c r="K36" s="30"/>
      <c r="L36" s="29">
        <v>0</v>
      </c>
      <c r="M36" s="30">
        <v>0</v>
      </c>
      <c r="N36" s="30"/>
      <c r="O36" s="30">
        <v>0</v>
      </c>
      <c r="P36" s="30">
        <v>0</v>
      </c>
      <c r="Q36" s="30"/>
      <c r="R36" s="30">
        <v>125949000</v>
      </c>
      <c r="S36" s="30">
        <v>0</v>
      </c>
      <c r="T36" s="30"/>
      <c r="U36" s="30">
        <v>0</v>
      </c>
      <c r="V36" s="31">
        <v>0</v>
      </c>
    </row>
    <row r="37" spans="1:22">
      <c r="A37" s="1" t="s">
        <v>58</v>
      </c>
      <c r="B37" s="29">
        <v>0</v>
      </c>
      <c r="C37" s="30">
        <v>0</v>
      </c>
      <c r="D37" s="30">
        <v>350096.89265221014</v>
      </c>
      <c r="E37" s="30">
        <v>0</v>
      </c>
      <c r="F37" s="30">
        <v>0</v>
      </c>
      <c r="G37" s="31">
        <f>SUM(NM_FINANCIAL)</f>
        <v>350096.89265221014</v>
      </c>
      <c r="H37" s="30"/>
      <c r="I37" s="30"/>
      <c r="J37" s="30"/>
      <c r="K37" s="30"/>
      <c r="L37" s="29"/>
      <c r="M37" s="30"/>
      <c r="N37" s="30"/>
      <c r="O37" s="30"/>
      <c r="P37" s="30"/>
      <c r="Q37" s="30"/>
      <c r="R37" s="30"/>
      <c r="S37" s="30"/>
      <c r="T37" s="30"/>
      <c r="U37" s="30"/>
      <c r="V37" s="31"/>
    </row>
    <row r="38" spans="1:22">
      <c r="A38" s="1" t="s">
        <v>59</v>
      </c>
      <c r="B38" s="29">
        <v>0</v>
      </c>
      <c r="C38" s="30">
        <v>0</v>
      </c>
      <c r="D38" s="30">
        <v>0</v>
      </c>
      <c r="E38" s="30">
        <v>0</v>
      </c>
      <c r="F38" s="30">
        <v>0</v>
      </c>
      <c r="G38" s="31">
        <f>SUM(NY_FINANCIAL)</f>
        <v>0</v>
      </c>
      <c r="H38" s="30"/>
      <c r="I38" s="30"/>
      <c r="J38" s="30"/>
      <c r="K38" s="30"/>
      <c r="L38" s="29"/>
      <c r="M38" s="30"/>
      <c r="N38" s="30"/>
      <c r="O38" s="30"/>
      <c r="P38" s="30"/>
      <c r="Q38" s="30"/>
      <c r="R38" s="30"/>
      <c r="S38" s="30"/>
      <c r="T38" s="30"/>
      <c r="U38" s="30"/>
      <c r="V38" s="31"/>
    </row>
    <row r="39" spans="1:22">
      <c r="A39" s="1" t="s">
        <v>60</v>
      </c>
      <c r="B39" s="29">
        <v>0</v>
      </c>
      <c r="C39" s="30">
        <v>0</v>
      </c>
      <c r="D39" s="30">
        <v>2771242.0038228258</v>
      </c>
      <c r="E39" s="30">
        <v>0</v>
      </c>
      <c r="F39" s="30">
        <v>0</v>
      </c>
      <c r="G39" s="31">
        <f>SUM(NC_FINANCIAL)</f>
        <v>2771242.0038228258</v>
      </c>
      <c r="H39" s="30"/>
      <c r="I39" s="30"/>
      <c r="J39" s="30"/>
      <c r="K39" s="30"/>
      <c r="L39" s="29">
        <v>0</v>
      </c>
      <c r="M39" s="30">
        <v>0</v>
      </c>
      <c r="N39" s="30"/>
      <c r="O39" s="30">
        <v>0</v>
      </c>
      <c r="P39" s="30">
        <v>0</v>
      </c>
      <c r="Q39" s="30"/>
      <c r="R39" s="30">
        <v>2500000</v>
      </c>
      <c r="S39" s="30">
        <v>0</v>
      </c>
      <c r="T39" s="30"/>
      <c r="U39" s="30">
        <v>0</v>
      </c>
      <c r="V39" s="31">
        <v>0</v>
      </c>
    </row>
    <row r="40" spans="1:22">
      <c r="A40" s="1" t="s">
        <v>61</v>
      </c>
      <c r="B40" s="29">
        <v>0</v>
      </c>
      <c r="C40" s="30">
        <v>0</v>
      </c>
      <c r="D40" s="30">
        <v>0</v>
      </c>
      <c r="E40" s="30">
        <v>0</v>
      </c>
      <c r="F40" s="30">
        <v>0</v>
      </c>
      <c r="G40" s="31">
        <f>SUM(ND_FINANCIAL)</f>
        <v>0</v>
      </c>
      <c r="H40" s="30"/>
      <c r="I40" s="30"/>
      <c r="J40" s="30"/>
      <c r="K40" s="30"/>
      <c r="L40" s="29"/>
      <c r="M40" s="30"/>
      <c r="N40" s="30"/>
      <c r="O40" s="30"/>
      <c r="P40" s="30"/>
      <c r="Q40" s="30"/>
      <c r="R40" s="30"/>
      <c r="S40" s="30"/>
      <c r="T40" s="30"/>
      <c r="U40" s="30"/>
      <c r="V40" s="31"/>
    </row>
    <row r="41" spans="1:22">
      <c r="A41" s="1" t="s">
        <v>62</v>
      </c>
      <c r="B41" s="29">
        <v>0</v>
      </c>
      <c r="C41" s="30">
        <v>0</v>
      </c>
      <c r="D41" s="30">
        <v>291482.42121521774</v>
      </c>
      <c r="E41" s="30">
        <v>0</v>
      </c>
      <c r="F41" s="30">
        <v>0</v>
      </c>
      <c r="G41" s="31">
        <f>SUM(OH_FINANCIAL)</f>
        <v>291482.42121521774</v>
      </c>
      <c r="H41" s="30"/>
      <c r="I41" s="30"/>
      <c r="J41" s="30"/>
      <c r="K41" s="30"/>
      <c r="L41" s="29"/>
      <c r="M41" s="30"/>
      <c r="N41" s="30"/>
      <c r="O41" s="30"/>
      <c r="P41" s="30"/>
      <c r="Q41" s="30"/>
      <c r="R41" s="30"/>
      <c r="S41" s="30"/>
      <c r="T41" s="30"/>
      <c r="U41" s="30"/>
      <c r="V41" s="31"/>
    </row>
    <row r="42" spans="1:22">
      <c r="A42" s="1" t="s">
        <v>63</v>
      </c>
      <c r="B42" s="29">
        <v>0</v>
      </c>
      <c r="C42" s="30">
        <v>0</v>
      </c>
      <c r="D42" s="30">
        <v>182346.41839041573</v>
      </c>
      <c r="E42" s="30">
        <v>0</v>
      </c>
      <c r="F42" s="30">
        <v>0</v>
      </c>
      <c r="G42" s="31">
        <f>SUM(OK_FINANCIAL)</f>
        <v>182346.41839041573</v>
      </c>
      <c r="H42" s="30"/>
      <c r="I42" s="30"/>
      <c r="J42" s="30"/>
      <c r="K42" s="30"/>
      <c r="L42" s="29"/>
      <c r="M42" s="30"/>
      <c r="N42" s="30"/>
      <c r="O42" s="30"/>
      <c r="P42" s="30"/>
      <c r="Q42" s="30"/>
      <c r="R42" s="30"/>
      <c r="S42" s="30"/>
      <c r="T42" s="30"/>
      <c r="U42" s="30"/>
      <c r="V42" s="31"/>
    </row>
    <row r="43" spans="1:22">
      <c r="A43" s="1" t="s">
        <v>64</v>
      </c>
      <c r="B43" s="29">
        <v>0</v>
      </c>
      <c r="C43" s="30">
        <v>0</v>
      </c>
      <c r="D43" s="30">
        <v>129125.28514030647</v>
      </c>
      <c r="E43" s="30">
        <v>0</v>
      </c>
      <c r="F43" s="30">
        <v>0</v>
      </c>
      <c r="G43" s="31">
        <f>SUM(OR_FINANCIAL)</f>
        <v>129125.28514030647</v>
      </c>
      <c r="H43" s="30"/>
      <c r="I43" s="30"/>
      <c r="J43" s="30"/>
      <c r="K43" s="30"/>
      <c r="L43" s="29"/>
      <c r="M43" s="30"/>
      <c r="N43" s="30"/>
      <c r="O43" s="30"/>
      <c r="P43" s="30"/>
      <c r="Q43" s="30"/>
      <c r="R43" s="30"/>
      <c r="S43" s="30"/>
      <c r="T43" s="30"/>
      <c r="U43" s="30"/>
      <c r="V43" s="31"/>
    </row>
    <row r="44" spans="1:22">
      <c r="A44" s="1" t="s">
        <v>65</v>
      </c>
      <c r="B44" s="29">
        <v>0</v>
      </c>
      <c r="C44" s="30">
        <v>0</v>
      </c>
      <c r="D44" s="30">
        <v>8787727.4558893852</v>
      </c>
      <c r="E44" s="30">
        <v>0</v>
      </c>
      <c r="F44" s="30">
        <v>0</v>
      </c>
      <c r="G44" s="31">
        <f>SUM(PA_FINANCIAL)</f>
        <v>8787727.4558893852</v>
      </c>
      <c r="H44" s="30"/>
      <c r="I44" s="30"/>
      <c r="J44" s="30"/>
      <c r="K44" s="30"/>
      <c r="L44" s="29">
        <v>0</v>
      </c>
      <c r="M44" s="30">
        <v>0</v>
      </c>
      <c r="N44" s="30"/>
      <c r="O44" s="30">
        <v>0</v>
      </c>
      <c r="P44" s="30">
        <v>0</v>
      </c>
      <c r="Q44" s="30"/>
      <c r="R44" s="30">
        <v>8294000</v>
      </c>
      <c r="S44" s="30">
        <v>0</v>
      </c>
      <c r="T44" s="30"/>
      <c r="U44" s="30">
        <v>0</v>
      </c>
      <c r="V44" s="31">
        <v>0</v>
      </c>
    </row>
    <row r="45" spans="1:22">
      <c r="A45" s="1" t="s">
        <v>66</v>
      </c>
      <c r="B45" s="29">
        <v>0</v>
      </c>
      <c r="C45" s="30">
        <v>0</v>
      </c>
      <c r="D45" s="30">
        <v>0</v>
      </c>
      <c r="E45" s="30">
        <v>0</v>
      </c>
      <c r="F45" s="30">
        <v>0</v>
      </c>
      <c r="G45" s="31">
        <f>SUM(PR_FINANCIAL)</f>
        <v>0</v>
      </c>
      <c r="H45" s="30"/>
      <c r="I45" s="30"/>
      <c r="J45" s="30"/>
      <c r="K45" s="30"/>
      <c r="L45" s="29"/>
      <c r="M45" s="30"/>
      <c r="N45" s="30"/>
      <c r="O45" s="30"/>
      <c r="P45" s="30"/>
      <c r="Q45" s="30"/>
      <c r="R45" s="30"/>
      <c r="S45" s="30"/>
      <c r="T45" s="30"/>
      <c r="U45" s="30"/>
      <c r="V45" s="31"/>
    </row>
    <row r="46" spans="1:22">
      <c r="A46" s="1" t="s">
        <v>67</v>
      </c>
      <c r="B46" s="29">
        <v>0</v>
      </c>
      <c r="C46" s="30">
        <v>0</v>
      </c>
      <c r="D46" s="30">
        <v>318127.51310205675</v>
      </c>
      <c r="E46" s="30">
        <v>0</v>
      </c>
      <c r="F46" s="30">
        <v>0</v>
      </c>
      <c r="G46" s="31">
        <f>SUM(RI_FINANCIAL)</f>
        <v>318127.51310205675</v>
      </c>
      <c r="H46" s="30"/>
      <c r="I46" s="30"/>
      <c r="J46" s="30"/>
      <c r="K46" s="30"/>
      <c r="L46" s="29">
        <v>0</v>
      </c>
      <c r="M46" s="30">
        <v>0</v>
      </c>
      <c r="N46" s="30"/>
      <c r="O46" s="30">
        <v>0</v>
      </c>
      <c r="P46" s="30">
        <v>0</v>
      </c>
      <c r="Q46" s="30"/>
      <c r="R46" s="30">
        <v>599122</v>
      </c>
      <c r="S46" s="30">
        <v>0</v>
      </c>
      <c r="T46" s="30"/>
      <c r="U46" s="30">
        <v>0</v>
      </c>
      <c r="V46" s="31">
        <v>0</v>
      </c>
    </row>
    <row r="47" spans="1:22">
      <c r="A47" s="1" t="s">
        <v>68</v>
      </c>
      <c r="B47" s="29">
        <v>0</v>
      </c>
      <c r="C47" s="30">
        <v>0</v>
      </c>
      <c r="D47" s="30">
        <v>2592460.272931946</v>
      </c>
      <c r="E47" s="30">
        <v>0</v>
      </c>
      <c r="F47" s="30">
        <v>0</v>
      </c>
      <c r="G47" s="31">
        <f>SUM(SC_FINANCIAL)</f>
        <v>2592460.272931946</v>
      </c>
      <c r="H47" s="30"/>
      <c r="I47" s="30"/>
      <c r="J47" s="30"/>
      <c r="K47" s="30"/>
      <c r="L47" s="29"/>
      <c r="M47" s="30"/>
      <c r="N47" s="30"/>
      <c r="O47" s="30"/>
      <c r="P47" s="30"/>
      <c r="Q47" s="30"/>
      <c r="R47" s="30"/>
      <c r="S47" s="30"/>
      <c r="T47" s="30"/>
      <c r="U47" s="30"/>
      <c r="V47" s="31"/>
    </row>
    <row r="48" spans="1:22">
      <c r="A48" s="1" t="s">
        <v>69</v>
      </c>
      <c r="B48" s="29">
        <v>0</v>
      </c>
      <c r="C48" s="30">
        <v>0</v>
      </c>
      <c r="D48" s="30">
        <v>50034.859329969608</v>
      </c>
      <c r="E48" s="30">
        <v>0</v>
      </c>
      <c r="F48" s="30">
        <v>0</v>
      </c>
      <c r="G48" s="31">
        <f>SUM(SD_FINANCIAL)</f>
        <v>50034.859329969608</v>
      </c>
      <c r="H48" s="30"/>
      <c r="I48" s="30"/>
      <c r="J48" s="30"/>
      <c r="K48" s="30"/>
      <c r="L48" s="29"/>
      <c r="M48" s="30"/>
      <c r="N48" s="30"/>
      <c r="O48" s="30"/>
      <c r="P48" s="30"/>
      <c r="Q48" s="30"/>
      <c r="R48" s="30"/>
      <c r="S48" s="30"/>
      <c r="T48" s="30"/>
      <c r="U48" s="30"/>
      <c r="V48" s="31"/>
    </row>
    <row r="49" spans="1:22">
      <c r="A49" s="1" t="s">
        <v>70</v>
      </c>
      <c r="B49" s="29">
        <v>0</v>
      </c>
      <c r="C49" s="30">
        <v>0</v>
      </c>
      <c r="D49" s="30">
        <v>1112170.6196109846</v>
      </c>
      <c r="E49" s="30">
        <v>0</v>
      </c>
      <c r="F49" s="30">
        <v>0</v>
      </c>
      <c r="G49" s="31">
        <f>SUM(TN_FINANCIAL)</f>
        <v>1112170.6196109846</v>
      </c>
      <c r="H49" s="30"/>
      <c r="I49" s="30"/>
      <c r="J49" s="30"/>
      <c r="K49" s="30"/>
      <c r="L49" s="29">
        <v>0</v>
      </c>
      <c r="M49" s="30">
        <v>0</v>
      </c>
      <c r="N49" s="30"/>
      <c r="O49" s="30">
        <v>0</v>
      </c>
      <c r="P49" s="30">
        <v>0</v>
      </c>
      <c r="Q49" s="30"/>
      <c r="R49" s="30">
        <v>1288597</v>
      </c>
      <c r="S49" s="30">
        <v>7752</v>
      </c>
      <c r="T49" s="30"/>
      <c r="U49" s="30">
        <v>0</v>
      </c>
      <c r="V49" s="31">
        <v>0</v>
      </c>
    </row>
    <row r="50" spans="1:22">
      <c r="A50" s="1" t="s">
        <v>71</v>
      </c>
      <c r="B50" s="29">
        <v>0</v>
      </c>
      <c r="C50" s="30">
        <v>0</v>
      </c>
      <c r="D50" s="30">
        <v>817104.06899959629</v>
      </c>
      <c r="E50" s="30">
        <v>0</v>
      </c>
      <c r="F50" s="30">
        <v>0</v>
      </c>
      <c r="G50" s="31">
        <f>SUM(TX_FINANCIAL)</f>
        <v>817104.06899959629</v>
      </c>
      <c r="H50" s="30"/>
      <c r="I50" s="30"/>
      <c r="J50" s="30"/>
      <c r="K50" s="30"/>
      <c r="L50" s="29"/>
      <c r="M50" s="30"/>
      <c r="N50" s="30"/>
      <c r="O50" s="30"/>
      <c r="P50" s="30"/>
      <c r="Q50" s="30"/>
      <c r="R50" s="30"/>
      <c r="S50" s="30"/>
      <c r="T50" s="30"/>
      <c r="U50" s="30"/>
      <c r="V50" s="31"/>
    </row>
    <row r="51" spans="1:22">
      <c r="A51" s="1" t="s">
        <v>72</v>
      </c>
      <c r="B51" s="29">
        <v>0</v>
      </c>
      <c r="C51" s="30">
        <v>0</v>
      </c>
      <c r="D51" s="30">
        <v>39727.491994922369</v>
      </c>
      <c r="E51" s="30">
        <v>0</v>
      </c>
      <c r="F51" s="30">
        <v>0</v>
      </c>
      <c r="G51" s="31">
        <f>SUM(UT_FINANCIAL)</f>
        <v>39727.491994922369</v>
      </c>
      <c r="H51" s="30"/>
      <c r="I51" s="30"/>
      <c r="J51" s="30"/>
      <c r="K51" s="30"/>
      <c r="L51" s="29"/>
      <c r="M51" s="30"/>
      <c r="N51" s="30"/>
      <c r="O51" s="30"/>
      <c r="P51" s="30"/>
      <c r="Q51" s="30"/>
      <c r="R51" s="30"/>
      <c r="S51" s="30"/>
      <c r="T51" s="30"/>
      <c r="U51" s="30"/>
      <c r="V51" s="31"/>
    </row>
    <row r="52" spans="1:22">
      <c r="A52" s="1" t="s">
        <v>73</v>
      </c>
      <c r="B52" s="29">
        <v>0</v>
      </c>
      <c r="C52" s="30">
        <v>0</v>
      </c>
      <c r="D52" s="30">
        <v>357425.83942521951</v>
      </c>
      <c r="E52" s="30">
        <v>0</v>
      </c>
      <c r="F52" s="30">
        <v>0</v>
      </c>
      <c r="G52" s="31">
        <f>SUM(VT_FINANCIAL)</f>
        <v>357425.83942521951</v>
      </c>
      <c r="H52" s="30"/>
      <c r="I52" s="30"/>
      <c r="J52" s="30"/>
      <c r="K52" s="30"/>
      <c r="L52" s="29"/>
      <c r="M52" s="30"/>
      <c r="N52" s="30"/>
      <c r="O52" s="30"/>
      <c r="P52" s="30"/>
      <c r="Q52" s="30"/>
      <c r="R52" s="30"/>
      <c r="S52" s="30"/>
      <c r="T52" s="30"/>
      <c r="U52" s="30"/>
      <c r="V52" s="31"/>
    </row>
    <row r="53" spans="1:22">
      <c r="A53" s="1" t="s">
        <v>74</v>
      </c>
      <c r="B53" s="29">
        <v>0</v>
      </c>
      <c r="C53" s="30">
        <v>0</v>
      </c>
      <c r="D53" s="30">
        <v>51663773.049140595</v>
      </c>
      <c r="E53" s="30">
        <v>0</v>
      </c>
      <c r="F53" s="30">
        <v>0</v>
      </c>
      <c r="G53" s="31">
        <f>SUM(VA_FINANCIAL)</f>
        <v>51663773.049140595</v>
      </c>
      <c r="H53" s="30"/>
      <c r="I53" s="30"/>
      <c r="J53" s="30"/>
      <c r="K53" s="30"/>
      <c r="L53" s="29"/>
      <c r="M53" s="30"/>
      <c r="N53" s="30"/>
      <c r="O53" s="30"/>
      <c r="P53" s="30"/>
      <c r="Q53" s="30"/>
      <c r="R53" s="30"/>
      <c r="S53" s="30"/>
      <c r="T53" s="30"/>
      <c r="U53" s="30"/>
      <c r="V53" s="31"/>
    </row>
    <row r="54" spans="1:22">
      <c r="A54" s="1" t="s">
        <v>75</v>
      </c>
      <c r="B54" s="29">
        <v>0</v>
      </c>
      <c r="C54" s="30">
        <v>0</v>
      </c>
      <c r="D54" s="30">
        <v>271126.19552123419</v>
      </c>
      <c r="E54" s="30">
        <v>0</v>
      </c>
      <c r="F54" s="30">
        <v>0</v>
      </c>
      <c r="G54" s="31">
        <f>SUM(WA_FINANCIAL)</f>
        <v>271126.19552123419</v>
      </c>
      <c r="H54" s="30"/>
      <c r="I54" s="30"/>
      <c r="J54" s="30"/>
      <c r="K54" s="30"/>
      <c r="L54" s="29"/>
      <c r="M54" s="30"/>
      <c r="N54" s="30"/>
      <c r="O54" s="30"/>
      <c r="P54" s="30"/>
      <c r="Q54" s="30"/>
      <c r="R54" s="30"/>
      <c r="S54" s="30"/>
      <c r="T54" s="30"/>
      <c r="U54" s="30"/>
      <c r="V54" s="31"/>
    </row>
    <row r="55" spans="1:22">
      <c r="A55" s="1" t="s">
        <v>76</v>
      </c>
      <c r="B55" s="29">
        <v>0</v>
      </c>
      <c r="C55" s="30">
        <v>0</v>
      </c>
      <c r="D55" s="30">
        <v>3556158.3980223336</v>
      </c>
      <c r="E55" s="30">
        <v>0</v>
      </c>
      <c r="F55" s="30">
        <v>0</v>
      </c>
      <c r="G55" s="31">
        <f>SUM(WV_FINANCIAL)</f>
        <v>3556158.3980223336</v>
      </c>
      <c r="H55" s="30"/>
      <c r="I55" s="30"/>
      <c r="J55" s="30"/>
      <c r="K55" s="30"/>
      <c r="L55" s="29">
        <v>0</v>
      </c>
      <c r="M55" s="30">
        <v>0</v>
      </c>
      <c r="N55" s="30"/>
      <c r="O55" s="30">
        <v>0</v>
      </c>
      <c r="P55" s="30">
        <v>0</v>
      </c>
      <c r="Q55" s="30"/>
      <c r="R55" s="30">
        <v>3620000</v>
      </c>
      <c r="S55" s="30">
        <v>0</v>
      </c>
      <c r="T55" s="30"/>
      <c r="U55" s="30">
        <v>0</v>
      </c>
      <c r="V55" s="31">
        <v>0</v>
      </c>
    </row>
    <row r="56" spans="1:22">
      <c r="A56" s="1" t="s">
        <v>77</v>
      </c>
      <c r="B56" s="29">
        <v>0</v>
      </c>
      <c r="C56" s="30">
        <v>0</v>
      </c>
      <c r="D56" s="30">
        <v>0</v>
      </c>
      <c r="E56" s="30">
        <v>0</v>
      </c>
      <c r="F56" s="30">
        <v>0</v>
      </c>
      <c r="G56" s="31">
        <f>SUM(WI_FINANCIAL)</f>
        <v>0</v>
      </c>
      <c r="H56" s="30"/>
      <c r="I56" s="30"/>
      <c r="J56" s="30"/>
      <c r="K56" s="30"/>
      <c r="L56" s="29"/>
      <c r="M56" s="30"/>
      <c r="N56" s="30"/>
      <c r="O56" s="30"/>
      <c r="P56" s="30"/>
      <c r="Q56" s="30"/>
      <c r="R56" s="30"/>
      <c r="S56" s="30"/>
      <c r="T56" s="30"/>
      <c r="U56" s="30"/>
      <c r="V56" s="31"/>
    </row>
    <row r="57" spans="1:22">
      <c r="A57" s="1" t="s">
        <v>78</v>
      </c>
      <c r="B57" s="29">
        <v>0</v>
      </c>
      <c r="C57" s="30">
        <v>0</v>
      </c>
      <c r="D57" s="30">
        <v>0</v>
      </c>
      <c r="E57" s="30">
        <v>0</v>
      </c>
      <c r="F57" s="30">
        <v>0</v>
      </c>
      <c r="G57" s="31">
        <f>SUM(WY_FINANCIAL)</f>
        <v>0</v>
      </c>
      <c r="H57" s="30"/>
      <c r="I57" s="30"/>
      <c r="J57" s="30"/>
      <c r="K57" s="30"/>
      <c r="L57" s="29"/>
      <c r="M57" s="30"/>
      <c r="N57" s="30"/>
      <c r="O57" s="30"/>
      <c r="P57" s="30"/>
      <c r="Q57" s="30"/>
      <c r="R57" s="30"/>
      <c r="S57" s="30"/>
      <c r="T57" s="30"/>
      <c r="U57" s="30"/>
      <c r="V57" s="31"/>
    </row>
    <row r="58" spans="1:22">
      <c r="A58" s="1" t="s">
        <v>79</v>
      </c>
      <c r="B58" s="29">
        <v>0</v>
      </c>
      <c r="C58" s="30">
        <v>0</v>
      </c>
      <c r="D58" s="30">
        <v>0</v>
      </c>
      <c r="E58" s="30">
        <v>0</v>
      </c>
      <c r="F58" s="30">
        <v>0</v>
      </c>
      <c r="G58" s="31">
        <f>SUM(OT_FINANCIAL)</f>
        <v>0</v>
      </c>
      <c r="H58" s="30"/>
      <c r="I58" s="30"/>
      <c r="J58" s="30"/>
      <c r="K58" s="30"/>
      <c r="L58" s="29"/>
      <c r="M58" s="30"/>
      <c r="N58" s="30"/>
      <c r="O58" s="30"/>
      <c r="P58" s="30"/>
      <c r="Q58" s="30"/>
      <c r="R58" s="30"/>
      <c r="S58" s="30"/>
      <c r="T58" s="30"/>
      <c r="U58" s="30"/>
      <c r="V58" s="31"/>
    </row>
    <row r="59" spans="1:22">
      <c r="B59" s="29"/>
      <c r="C59" s="30"/>
      <c r="D59" s="30"/>
      <c r="E59" s="30"/>
      <c r="F59" s="30"/>
      <c r="G59" s="31"/>
      <c r="H59" s="30"/>
      <c r="I59" s="30"/>
      <c r="J59" s="30"/>
      <c r="K59" s="30"/>
      <c r="L59" s="29"/>
      <c r="M59" s="30"/>
      <c r="N59" s="30"/>
      <c r="O59" s="30"/>
      <c r="P59" s="30"/>
      <c r="Q59" s="30"/>
      <c r="R59" s="30"/>
      <c r="S59" s="30"/>
      <c r="T59" s="30"/>
      <c r="U59" s="30"/>
      <c r="V59" s="31"/>
    </row>
    <row r="60" spans="1:22">
      <c r="A60" s="1" t="s">
        <v>8</v>
      </c>
      <c r="B60" s="29">
        <f>SUM(LIFE)</f>
        <v>0</v>
      </c>
      <c r="C60" s="30">
        <f>SUM(ALLOCATED)</f>
        <v>0</v>
      </c>
      <c r="D60" s="30">
        <f>SUM(HEALTH)</f>
        <v>306082298.14412159</v>
      </c>
      <c r="E60" s="30">
        <f>SUM(UNALLOCATED)</f>
        <v>0</v>
      </c>
      <c r="F60" s="30">
        <f>SUM(LTC)</f>
        <v>0</v>
      </c>
      <c r="G60" s="31">
        <f>SUM(ALL_BLOCKS)</f>
        <v>306082298.14412159</v>
      </c>
      <c r="H60" s="30"/>
      <c r="I60" s="30"/>
      <c r="J60" s="30"/>
      <c r="K60" s="30"/>
      <c r="L60" s="29">
        <f>SUM(LIFE_CALLED)</f>
        <v>0</v>
      </c>
      <c r="M60" s="30">
        <f>SUM(LIFE_REFUNDED)</f>
        <v>0</v>
      </c>
      <c r="N60" s="30"/>
      <c r="O60" s="30">
        <f>SUM(ALLOC_CALLED)</f>
        <v>0</v>
      </c>
      <c r="P60" s="30">
        <f>SUM(ALLOC_REFUNDED)</f>
        <v>0</v>
      </c>
      <c r="Q60" s="30"/>
      <c r="R60" s="30">
        <f>SUM(HEALTH_CALLED)</f>
        <v>189339223</v>
      </c>
      <c r="S60" s="30">
        <f>SUM(HEALTH_REFUNDED)</f>
        <v>7752</v>
      </c>
      <c r="T60" s="30"/>
      <c r="U60" s="30">
        <f>SUM(UNALLOC_CALLED)</f>
        <v>0</v>
      </c>
      <c r="V60" s="31">
        <f>SUM(UNALLOC_REFUNDED)</f>
        <v>0</v>
      </c>
    </row>
    <row r="61" spans="1:22" ht="5.0999999999999996" customHeight="1">
      <c r="B61" s="8"/>
      <c r="G61" s="11"/>
      <c r="L61" s="8"/>
      <c r="V61" s="11"/>
    </row>
    <row r="62" spans="1:22">
      <c r="B62" s="8"/>
      <c r="G62" s="11"/>
      <c r="L62" s="122" t="s">
        <v>80</v>
      </c>
      <c r="M62" s="123"/>
      <c r="N62" s="123"/>
      <c r="O62" s="123"/>
      <c r="P62" s="123"/>
      <c r="Q62" s="123"/>
      <c r="R62" s="123"/>
      <c r="S62" s="123"/>
      <c r="T62" s="123"/>
      <c r="U62" s="123"/>
      <c r="V62" s="124"/>
    </row>
    <row r="63" spans="1:22">
      <c r="B63" s="8"/>
      <c r="G63" s="11"/>
      <c r="L63" s="125"/>
      <c r="M63" s="123"/>
      <c r="N63" s="123"/>
      <c r="O63" s="123"/>
      <c r="P63" s="123"/>
      <c r="Q63" s="123"/>
      <c r="R63" s="123"/>
      <c r="S63" s="123"/>
      <c r="T63" s="123"/>
      <c r="U63" s="123"/>
      <c r="V63" s="124"/>
    </row>
    <row r="64" spans="1:22">
      <c r="B64" s="10"/>
      <c r="C64" s="7"/>
      <c r="D64" s="7"/>
      <c r="E64" s="7"/>
      <c r="F64" s="7"/>
      <c r="G64" s="13"/>
      <c r="L64" s="126"/>
      <c r="M64" s="127"/>
      <c r="N64" s="127"/>
      <c r="O64" s="127"/>
      <c r="P64" s="127"/>
      <c r="Q64" s="127"/>
      <c r="R64" s="127"/>
      <c r="S64" s="127"/>
      <c r="T64" s="127"/>
      <c r="U64" s="127"/>
      <c r="V64" s="128"/>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pageSetUpPr fitToPage="1"/>
  </sheetPr>
  <dimension ref="A1:V64"/>
  <sheetViews>
    <sheetView zoomScale="75" workbookViewId="0">
      <selection sqref="A1:XFD1048576"/>
    </sheetView>
  </sheetViews>
  <sheetFormatPr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129" t="s">
        <v>149</v>
      </c>
      <c r="B1" s="123"/>
      <c r="C1" s="123"/>
      <c r="D1" s="123"/>
      <c r="E1" s="123"/>
      <c r="F1" s="123"/>
      <c r="G1" s="123"/>
    </row>
    <row r="3" spans="1:22">
      <c r="B3" s="130" t="s">
        <v>1</v>
      </c>
      <c r="C3" s="131"/>
      <c r="D3" s="131"/>
      <c r="E3" s="131"/>
      <c r="F3" s="131"/>
      <c r="G3" s="132"/>
      <c r="L3" s="133" t="s">
        <v>2</v>
      </c>
      <c r="M3" s="134"/>
      <c r="N3" s="134"/>
      <c r="O3" s="134"/>
      <c r="P3" s="134"/>
      <c r="Q3" s="134"/>
      <c r="R3" s="134"/>
      <c r="S3" s="134"/>
      <c r="T3" s="134"/>
      <c r="U3" s="134"/>
      <c r="V3" s="135"/>
    </row>
    <row r="4" spans="1:22">
      <c r="B4" s="8"/>
      <c r="G4" s="11"/>
      <c r="L4" s="136" t="s">
        <v>3</v>
      </c>
      <c r="M4" s="137"/>
      <c r="N4" s="4"/>
      <c r="O4" s="138" t="s">
        <v>4</v>
      </c>
      <c r="P4" s="137"/>
      <c r="Q4" s="4"/>
      <c r="R4" s="138" t="s">
        <v>5</v>
      </c>
      <c r="S4" s="137"/>
      <c r="T4" s="4"/>
      <c r="U4" s="138" t="s">
        <v>6</v>
      </c>
      <c r="V4" s="139"/>
    </row>
    <row r="5" spans="1:22" ht="60" customHeight="1">
      <c r="B5" s="9" t="s">
        <v>3</v>
      </c>
      <c r="C5" s="5" t="s">
        <v>4</v>
      </c>
      <c r="D5" s="5" t="s">
        <v>5</v>
      </c>
      <c r="E5" s="5" t="s">
        <v>6</v>
      </c>
      <c r="F5" s="5" t="s">
        <v>7</v>
      </c>
      <c r="G5" s="12" t="s">
        <v>8</v>
      </c>
      <c r="L5" s="15" t="s">
        <v>9</v>
      </c>
      <c r="M5" s="14" t="s">
        <v>10</v>
      </c>
      <c r="N5" s="14"/>
      <c r="O5" s="14" t="s">
        <v>9</v>
      </c>
      <c r="P5" s="14" t="s">
        <v>10</v>
      </c>
      <c r="Q5" s="14"/>
      <c r="R5" s="14" t="s">
        <v>9</v>
      </c>
      <c r="S5" s="14" t="s">
        <v>10</v>
      </c>
      <c r="T5" s="14"/>
      <c r="U5" s="14" t="s">
        <v>9</v>
      </c>
      <c r="V5" s="16" t="s">
        <v>10</v>
      </c>
    </row>
    <row r="6" spans="1:22">
      <c r="A6" s="1" t="s">
        <v>11</v>
      </c>
      <c r="B6" s="29">
        <v>0</v>
      </c>
      <c r="C6" s="30">
        <v>0</v>
      </c>
      <c r="D6" s="30">
        <v>0</v>
      </c>
      <c r="E6" s="30">
        <v>0</v>
      </c>
      <c r="F6" s="30">
        <v>0</v>
      </c>
      <c r="G6" s="31">
        <f>SUM(AL_FINANCIAL)</f>
        <v>0</v>
      </c>
      <c r="H6" s="30"/>
      <c r="I6" s="30"/>
      <c r="J6" s="30"/>
      <c r="K6" s="30"/>
      <c r="L6" s="29"/>
      <c r="M6" s="30"/>
      <c r="N6" s="30"/>
      <c r="O6" s="30"/>
      <c r="P6" s="30"/>
      <c r="Q6" s="30"/>
      <c r="R6" s="30"/>
      <c r="S6" s="30"/>
      <c r="T6" s="30"/>
      <c r="U6" s="30"/>
      <c r="V6" s="31"/>
    </row>
    <row r="7" spans="1:22">
      <c r="A7" s="1" t="s">
        <v>12</v>
      </c>
      <c r="B7" s="29">
        <v>0</v>
      </c>
      <c r="C7" s="30">
        <v>0</v>
      </c>
      <c r="D7" s="30">
        <v>0</v>
      </c>
      <c r="E7" s="30">
        <v>0</v>
      </c>
      <c r="F7" s="30">
        <v>0</v>
      </c>
      <c r="G7" s="31">
        <f>SUM(AK_FINANCIAL)</f>
        <v>0</v>
      </c>
      <c r="H7" s="30"/>
      <c r="I7" s="32"/>
      <c r="J7" s="33"/>
      <c r="K7" s="30"/>
      <c r="L7" s="29"/>
      <c r="M7" s="30"/>
      <c r="N7" s="30"/>
      <c r="O7" s="30"/>
      <c r="P7" s="30"/>
      <c r="Q7" s="30"/>
      <c r="R7" s="30"/>
      <c r="S7" s="30"/>
      <c r="T7" s="30"/>
      <c r="U7" s="30"/>
      <c r="V7" s="31"/>
    </row>
    <row r="8" spans="1:22">
      <c r="A8" s="1" t="s">
        <v>13</v>
      </c>
      <c r="B8" s="29">
        <v>0</v>
      </c>
      <c r="C8" s="30">
        <v>0</v>
      </c>
      <c r="D8" s="30">
        <v>0</v>
      </c>
      <c r="E8" s="30">
        <v>0</v>
      </c>
      <c r="F8" s="30">
        <v>0</v>
      </c>
      <c r="G8" s="31">
        <f>SUM(AZ_FINANCIAL)</f>
        <v>0</v>
      </c>
      <c r="H8" s="30"/>
      <c r="I8" s="34" t="s">
        <v>14</v>
      </c>
      <c r="J8" s="35"/>
      <c r="K8" s="30"/>
      <c r="L8" s="29"/>
      <c r="M8" s="30"/>
      <c r="N8" s="30"/>
      <c r="O8" s="30"/>
      <c r="P8" s="30"/>
      <c r="Q8" s="30"/>
      <c r="R8" s="30"/>
      <c r="S8" s="30"/>
      <c r="T8" s="30"/>
      <c r="U8" s="30"/>
      <c r="V8" s="31"/>
    </row>
    <row r="9" spans="1:22">
      <c r="A9" s="1" t="s">
        <v>15</v>
      </c>
      <c r="B9" s="29">
        <v>0</v>
      </c>
      <c r="C9" s="30">
        <v>0</v>
      </c>
      <c r="D9" s="30">
        <v>0</v>
      </c>
      <c r="E9" s="30">
        <v>0</v>
      </c>
      <c r="F9" s="30">
        <v>0</v>
      </c>
      <c r="G9" s="31">
        <f>SUM(AR_FINANCIAL)</f>
        <v>0</v>
      </c>
      <c r="H9" s="30"/>
      <c r="I9" s="34"/>
      <c r="J9" s="35"/>
      <c r="K9" s="30"/>
      <c r="L9" s="29"/>
      <c r="M9" s="30"/>
      <c r="N9" s="30"/>
      <c r="O9" s="30"/>
      <c r="P9" s="30"/>
      <c r="Q9" s="30"/>
      <c r="R9" s="30"/>
      <c r="S9" s="30"/>
      <c r="T9" s="30"/>
      <c r="U9" s="30"/>
      <c r="V9" s="31"/>
    </row>
    <row r="10" spans="1:22">
      <c r="A10" s="1" t="s">
        <v>16</v>
      </c>
      <c r="B10" s="29">
        <v>0</v>
      </c>
      <c r="C10" s="30">
        <v>0</v>
      </c>
      <c r="D10" s="30">
        <v>1019568.8016068523</v>
      </c>
      <c r="E10" s="30">
        <v>0</v>
      </c>
      <c r="F10" s="30">
        <v>0</v>
      </c>
      <c r="G10" s="31">
        <f>SUM(CA_FINANCIAL)</f>
        <v>1019568.8016068523</v>
      </c>
      <c r="H10" s="30"/>
      <c r="I10" s="34" t="s">
        <v>17</v>
      </c>
      <c r="J10" s="35">
        <v>6382342.2200228013</v>
      </c>
      <c r="K10" s="30"/>
      <c r="L10" s="29"/>
      <c r="M10" s="30"/>
      <c r="N10" s="30"/>
      <c r="O10" s="30"/>
      <c r="P10" s="30"/>
      <c r="Q10" s="30"/>
      <c r="R10" s="30"/>
      <c r="S10" s="30"/>
      <c r="T10" s="30"/>
      <c r="U10" s="30"/>
      <c r="V10" s="31"/>
    </row>
    <row r="11" spans="1:22">
      <c r="A11" s="1" t="s">
        <v>18</v>
      </c>
      <c r="B11" s="29">
        <v>0</v>
      </c>
      <c r="C11" s="30">
        <v>0</v>
      </c>
      <c r="D11" s="30">
        <v>0</v>
      </c>
      <c r="E11" s="30">
        <v>0</v>
      </c>
      <c r="F11" s="30">
        <v>0</v>
      </c>
      <c r="G11" s="31">
        <f>SUM(CO_FINANCIAL)</f>
        <v>0</v>
      </c>
      <c r="H11" s="30"/>
      <c r="I11" s="34"/>
      <c r="J11" s="35"/>
      <c r="K11" s="30"/>
      <c r="L11" s="29"/>
      <c r="M11" s="30"/>
      <c r="N11" s="30"/>
      <c r="O11" s="30"/>
      <c r="P11" s="30"/>
      <c r="Q11" s="30"/>
      <c r="R11" s="30"/>
      <c r="S11" s="30"/>
      <c r="T11" s="30"/>
      <c r="U11" s="30"/>
      <c r="V11" s="31"/>
    </row>
    <row r="12" spans="1:22">
      <c r="A12" s="1" t="s">
        <v>19</v>
      </c>
      <c r="B12" s="29">
        <v>0</v>
      </c>
      <c r="C12" s="30">
        <v>0</v>
      </c>
      <c r="D12" s="30">
        <v>73821.97728691611</v>
      </c>
      <c r="E12" s="30">
        <v>0</v>
      </c>
      <c r="F12" s="30">
        <v>0</v>
      </c>
      <c r="G12" s="31">
        <f>SUM(CT_FINANCIAL)</f>
        <v>73821.97728691611</v>
      </c>
      <c r="H12" s="30"/>
      <c r="I12" s="34" t="s">
        <v>20</v>
      </c>
      <c r="J12" s="35"/>
      <c r="K12" s="30"/>
      <c r="L12" s="29"/>
      <c r="M12" s="30"/>
      <c r="N12" s="30"/>
      <c r="O12" s="30"/>
      <c r="P12" s="30"/>
      <c r="Q12" s="30"/>
      <c r="R12" s="30"/>
      <c r="S12" s="30"/>
      <c r="T12" s="30"/>
      <c r="U12" s="30"/>
      <c r="V12" s="31"/>
    </row>
    <row r="13" spans="1:22">
      <c r="A13" s="1" t="s">
        <v>21</v>
      </c>
      <c r="B13" s="29">
        <v>0</v>
      </c>
      <c r="C13" s="30">
        <v>0</v>
      </c>
      <c r="D13" s="30">
        <v>0</v>
      </c>
      <c r="E13" s="30">
        <v>0</v>
      </c>
      <c r="F13" s="30">
        <v>0</v>
      </c>
      <c r="G13" s="31">
        <f>SUM(DE_FINANCIAL)</f>
        <v>0</v>
      </c>
      <c r="H13" s="30"/>
      <c r="I13" s="34" t="s">
        <v>22</v>
      </c>
      <c r="J13" s="35">
        <v>1048160.8101999999</v>
      </c>
      <c r="K13" s="30"/>
      <c r="L13" s="29"/>
      <c r="M13" s="30"/>
      <c r="N13" s="30"/>
      <c r="O13" s="30"/>
      <c r="P13" s="30"/>
      <c r="Q13" s="30"/>
      <c r="R13" s="30"/>
      <c r="S13" s="30"/>
      <c r="T13" s="30"/>
      <c r="U13" s="30"/>
      <c r="V13" s="31"/>
    </row>
    <row r="14" spans="1:22">
      <c r="A14" s="1" t="s">
        <v>23</v>
      </c>
      <c r="B14" s="29">
        <v>0</v>
      </c>
      <c r="C14" s="30">
        <v>0</v>
      </c>
      <c r="D14" s="30">
        <v>0</v>
      </c>
      <c r="E14" s="30">
        <v>0</v>
      </c>
      <c r="F14" s="30">
        <v>0</v>
      </c>
      <c r="G14" s="31">
        <f>SUM(DC_FINANCIAL)</f>
        <v>0</v>
      </c>
      <c r="H14" s="30"/>
      <c r="I14" s="34" t="s">
        <v>24</v>
      </c>
      <c r="J14" s="35">
        <v>551914.32999999996</v>
      </c>
      <c r="K14" s="30"/>
      <c r="L14" s="29"/>
      <c r="M14" s="30"/>
      <c r="N14" s="30"/>
      <c r="O14" s="30"/>
      <c r="P14" s="30"/>
      <c r="Q14" s="30"/>
      <c r="R14" s="30"/>
      <c r="S14" s="30"/>
      <c r="T14" s="30"/>
      <c r="U14" s="30"/>
      <c r="V14" s="31"/>
    </row>
    <row r="15" spans="1:22">
      <c r="A15" s="1" t="s">
        <v>25</v>
      </c>
      <c r="B15" s="29">
        <v>0</v>
      </c>
      <c r="C15" s="30">
        <v>0</v>
      </c>
      <c r="D15" s="30">
        <v>2645155.4252888239</v>
      </c>
      <c r="E15" s="30">
        <v>0</v>
      </c>
      <c r="F15" s="30">
        <v>0</v>
      </c>
      <c r="G15" s="31">
        <f>SUM(FL_FINANCIAL)</f>
        <v>2645155.4252888239</v>
      </c>
      <c r="H15" s="30"/>
      <c r="I15" s="34" t="s">
        <v>26</v>
      </c>
      <c r="J15" s="35">
        <v>918086.66588235379</v>
      </c>
      <c r="K15" s="30"/>
      <c r="L15" s="29">
        <v>0</v>
      </c>
      <c r="M15" s="30">
        <v>0</v>
      </c>
      <c r="N15" s="30"/>
      <c r="O15" s="30">
        <v>0</v>
      </c>
      <c r="P15" s="30">
        <v>0</v>
      </c>
      <c r="Q15" s="30"/>
      <c r="R15" s="30">
        <v>300000</v>
      </c>
      <c r="S15" s="30">
        <v>0</v>
      </c>
      <c r="T15" s="30"/>
      <c r="U15" s="30">
        <v>0</v>
      </c>
      <c r="V15" s="31">
        <v>0</v>
      </c>
    </row>
    <row r="16" spans="1:22">
      <c r="A16" s="1" t="s">
        <v>27</v>
      </c>
      <c r="B16" s="29">
        <v>0</v>
      </c>
      <c r="C16" s="30">
        <v>0</v>
      </c>
      <c r="D16" s="30">
        <v>0</v>
      </c>
      <c r="E16" s="30">
        <v>0</v>
      </c>
      <c r="F16" s="30">
        <v>0</v>
      </c>
      <c r="G16" s="31">
        <f>SUM(GA_FINANCIAL)</f>
        <v>0</v>
      </c>
      <c r="H16" s="30"/>
      <c r="I16" s="34" t="s">
        <v>28</v>
      </c>
      <c r="J16" s="35">
        <v>5334181.4098228011</v>
      </c>
      <c r="K16" s="30"/>
      <c r="L16" s="29"/>
      <c r="M16" s="30"/>
      <c r="N16" s="30"/>
      <c r="O16" s="30"/>
      <c r="P16" s="30"/>
      <c r="Q16" s="30"/>
      <c r="R16" s="30"/>
      <c r="S16" s="30"/>
      <c r="T16" s="30"/>
      <c r="U16" s="30"/>
      <c r="V16" s="31"/>
    </row>
    <row r="17" spans="1:22">
      <c r="A17" s="1" t="s">
        <v>29</v>
      </c>
      <c r="B17" s="29">
        <v>0</v>
      </c>
      <c r="C17" s="30">
        <v>0</v>
      </c>
      <c r="D17" s="30">
        <v>0</v>
      </c>
      <c r="E17" s="30">
        <v>0</v>
      </c>
      <c r="F17" s="30">
        <v>0</v>
      </c>
      <c r="G17" s="31">
        <f>SUM(HI_FINANCIAL)</f>
        <v>0</v>
      </c>
      <c r="H17" s="30"/>
      <c r="I17" s="34"/>
      <c r="J17" s="35"/>
      <c r="K17" s="30"/>
      <c r="L17" s="29"/>
      <c r="M17" s="30"/>
      <c r="N17" s="30"/>
      <c r="O17" s="30"/>
      <c r="P17" s="30"/>
      <c r="Q17" s="30"/>
      <c r="R17" s="30"/>
      <c r="S17" s="30"/>
      <c r="T17" s="30"/>
      <c r="U17" s="30"/>
      <c r="V17" s="31"/>
    </row>
    <row r="18" spans="1:22">
      <c r="A18" s="1" t="s">
        <v>30</v>
      </c>
      <c r="B18" s="29">
        <v>0</v>
      </c>
      <c r="C18" s="30">
        <v>0</v>
      </c>
      <c r="D18" s="30">
        <v>0</v>
      </c>
      <c r="E18" s="30">
        <v>0</v>
      </c>
      <c r="F18" s="30">
        <v>0</v>
      </c>
      <c r="G18" s="31">
        <f>SUM(ID_FINANCIAL)</f>
        <v>0</v>
      </c>
      <c r="H18" s="30"/>
      <c r="I18" s="34" t="s">
        <v>31</v>
      </c>
      <c r="J18" s="35"/>
      <c r="K18" s="30"/>
      <c r="L18" s="29"/>
      <c r="M18" s="30"/>
      <c r="N18" s="30"/>
      <c r="O18" s="30"/>
      <c r="P18" s="30"/>
      <c r="Q18" s="30"/>
      <c r="R18" s="30"/>
      <c r="S18" s="30"/>
      <c r="T18" s="30"/>
      <c r="U18" s="30"/>
      <c r="V18" s="31"/>
    </row>
    <row r="19" spans="1:22">
      <c r="A19" s="1" t="s">
        <v>32</v>
      </c>
      <c r="B19" s="29">
        <v>0</v>
      </c>
      <c r="C19" s="30">
        <v>0</v>
      </c>
      <c r="D19" s="30">
        <v>40372.999570928783</v>
      </c>
      <c r="E19" s="30">
        <v>0</v>
      </c>
      <c r="F19" s="30">
        <v>0</v>
      </c>
      <c r="G19" s="31">
        <f>SUM(IL_FINANCIAL)</f>
        <v>40372.999570928783</v>
      </c>
      <c r="H19" s="30"/>
      <c r="I19" s="34" t="s">
        <v>33</v>
      </c>
      <c r="J19" s="35">
        <v>0</v>
      </c>
      <c r="K19" s="30"/>
      <c r="L19" s="29"/>
      <c r="M19" s="30"/>
      <c r="N19" s="30"/>
      <c r="O19" s="30"/>
      <c r="P19" s="30"/>
      <c r="Q19" s="30"/>
      <c r="R19" s="30"/>
      <c r="S19" s="30"/>
      <c r="T19" s="30"/>
      <c r="U19" s="30"/>
      <c r="V19" s="31"/>
    </row>
    <row r="20" spans="1:22">
      <c r="A20" s="1" t="s">
        <v>34</v>
      </c>
      <c r="B20" s="29">
        <v>0</v>
      </c>
      <c r="C20" s="30">
        <v>0</v>
      </c>
      <c r="D20" s="30">
        <v>0</v>
      </c>
      <c r="E20" s="30">
        <v>0</v>
      </c>
      <c r="F20" s="30">
        <v>0</v>
      </c>
      <c r="G20" s="31">
        <f>SUM(IN_FINANCIAL)</f>
        <v>0</v>
      </c>
      <c r="H20" s="30"/>
      <c r="I20" s="34" t="s">
        <v>35</v>
      </c>
      <c r="J20" s="35">
        <v>6382342.2200228013</v>
      </c>
      <c r="K20" s="30"/>
      <c r="L20" s="29"/>
      <c r="M20" s="30"/>
      <c r="N20" s="30"/>
      <c r="O20" s="30"/>
      <c r="P20" s="30"/>
      <c r="Q20" s="30"/>
      <c r="R20" s="30"/>
      <c r="S20" s="30"/>
      <c r="T20" s="30"/>
      <c r="U20" s="30"/>
      <c r="V20" s="31"/>
    </row>
    <row r="21" spans="1:22">
      <c r="A21" s="1" t="s">
        <v>36</v>
      </c>
      <c r="B21" s="29">
        <v>0</v>
      </c>
      <c r="C21" s="30">
        <v>0</v>
      </c>
      <c r="D21" s="30">
        <v>0</v>
      </c>
      <c r="E21" s="30">
        <v>0</v>
      </c>
      <c r="F21" s="30">
        <v>0</v>
      </c>
      <c r="G21" s="31">
        <f>SUM(IA_FINANCIAL)</f>
        <v>0</v>
      </c>
      <c r="H21" s="30"/>
      <c r="I21" s="34" t="s">
        <v>37</v>
      </c>
      <c r="J21" s="35"/>
      <c r="K21" s="30"/>
      <c r="L21" s="29"/>
      <c r="M21" s="30"/>
      <c r="N21" s="30"/>
      <c r="O21" s="30"/>
      <c r="P21" s="30"/>
      <c r="Q21" s="30"/>
      <c r="R21" s="30"/>
      <c r="S21" s="30"/>
      <c r="T21" s="30"/>
      <c r="U21" s="30"/>
      <c r="V21" s="31"/>
    </row>
    <row r="22" spans="1:22">
      <c r="A22" s="1" t="s">
        <v>38</v>
      </c>
      <c r="B22" s="29">
        <v>0</v>
      </c>
      <c r="C22" s="30">
        <v>0</v>
      </c>
      <c r="D22" s="30">
        <v>74918.44802734931</v>
      </c>
      <c r="E22" s="30">
        <v>0</v>
      </c>
      <c r="F22" s="30">
        <v>0</v>
      </c>
      <c r="G22" s="31">
        <f>SUM(KS_FINANCIAL)</f>
        <v>74918.44802734931</v>
      </c>
      <c r="H22" s="30"/>
      <c r="I22" s="34" t="s">
        <v>39</v>
      </c>
      <c r="J22" s="35">
        <v>0</v>
      </c>
      <c r="K22" s="30"/>
      <c r="L22" s="29"/>
      <c r="M22" s="30"/>
      <c r="N22" s="30"/>
      <c r="O22" s="30"/>
      <c r="P22" s="30"/>
      <c r="Q22" s="30"/>
      <c r="R22" s="30"/>
      <c r="S22" s="30"/>
      <c r="T22" s="30"/>
      <c r="U22" s="30"/>
      <c r="V22" s="31"/>
    </row>
    <row r="23" spans="1:22">
      <c r="A23" s="1" t="s">
        <v>40</v>
      </c>
      <c r="B23" s="29">
        <v>0</v>
      </c>
      <c r="C23" s="30">
        <v>0</v>
      </c>
      <c r="D23" s="30">
        <v>0</v>
      </c>
      <c r="E23" s="30">
        <v>0</v>
      </c>
      <c r="F23" s="30">
        <v>0</v>
      </c>
      <c r="G23" s="31">
        <f>SUM(KY_FINANCIAL)</f>
        <v>0</v>
      </c>
      <c r="H23" s="30"/>
      <c r="I23" s="34" t="s">
        <v>41</v>
      </c>
      <c r="J23" s="35"/>
      <c r="K23" s="30"/>
      <c r="L23" s="29"/>
      <c r="M23" s="30"/>
      <c r="N23" s="30"/>
      <c r="O23" s="30"/>
      <c r="P23" s="30"/>
      <c r="Q23" s="30"/>
      <c r="R23" s="30"/>
      <c r="S23" s="30"/>
      <c r="T23" s="30"/>
      <c r="U23" s="30"/>
      <c r="V23" s="31"/>
    </row>
    <row r="24" spans="1:22">
      <c r="A24" s="1" t="s">
        <v>42</v>
      </c>
      <c r="B24" s="29">
        <v>0</v>
      </c>
      <c r="C24" s="30">
        <v>0</v>
      </c>
      <c r="D24" s="30">
        <v>0</v>
      </c>
      <c r="E24" s="30">
        <v>0</v>
      </c>
      <c r="F24" s="30">
        <v>0</v>
      </c>
      <c r="G24" s="31">
        <f>SUM(LA_FINANCIAL)</f>
        <v>0</v>
      </c>
      <c r="H24" s="30"/>
      <c r="I24" s="34" t="s">
        <v>43</v>
      </c>
      <c r="J24" s="35">
        <v>0</v>
      </c>
      <c r="K24" s="30"/>
      <c r="L24" s="29"/>
      <c r="M24" s="30"/>
      <c r="N24" s="30"/>
      <c r="O24" s="30"/>
      <c r="P24" s="30"/>
      <c r="Q24" s="30"/>
      <c r="R24" s="30"/>
      <c r="S24" s="30"/>
      <c r="T24" s="30"/>
      <c r="U24" s="30"/>
      <c r="V24" s="31"/>
    </row>
    <row r="25" spans="1:22">
      <c r="A25" s="1" t="s">
        <v>44</v>
      </c>
      <c r="B25" s="29">
        <v>0</v>
      </c>
      <c r="C25" s="30">
        <v>0</v>
      </c>
      <c r="D25" s="30">
        <v>279042.22271544021</v>
      </c>
      <c r="E25" s="30">
        <v>0</v>
      </c>
      <c r="F25" s="30">
        <v>0</v>
      </c>
      <c r="G25" s="31">
        <f>SUM(ME_FINANCIAL)</f>
        <v>279042.22271544021</v>
      </c>
      <c r="H25" s="30"/>
      <c r="I25" s="34"/>
      <c r="J25" s="35"/>
      <c r="K25" s="30"/>
      <c r="L25" s="29"/>
      <c r="M25" s="30"/>
      <c r="N25" s="30"/>
      <c r="O25" s="30"/>
      <c r="P25" s="30"/>
      <c r="Q25" s="30"/>
      <c r="R25" s="30"/>
      <c r="S25" s="30"/>
      <c r="T25" s="30"/>
      <c r="U25" s="30"/>
      <c r="V25" s="31"/>
    </row>
    <row r="26" spans="1:22">
      <c r="A26" s="1" t="s">
        <v>45</v>
      </c>
      <c r="B26" s="29">
        <v>0</v>
      </c>
      <c r="C26" s="30">
        <v>0</v>
      </c>
      <c r="D26" s="30">
        <v>290790.20055014122</v>
      </c>
      <c r="E26" s="30">
        <v>0</v>
      </c>
      <c r="F26" s="30">
        <v>0</v>
      </c>
      <c r="G26" s="31">
        <f>SUM(MD_FINANCIAL)</f>
        <v>290790.20055014122</v>
      </c>
      <c r="H26" s="30"/>
      <c r="I26" s="34" t="s">
        <v>46</v>
      </c>
      <c r="J26" s="35">
        <f>SUM(ADD_FINANCIAL)-SUM(LESS_FINANCIAL)</f>
        <v>7852343.215905156</v>
      </c>
      <c r="K26" s="30"/>
      <c r="L26" s="29"/>
      <c r="M26" s="30"/>
      <c r="N26" s="30"/>
      <c r="O26" s="30"/>
      <c r="P26" s="30"/>
      <c r="Q26" s="30"/>
      <c r="R26" s="30"/>
      <c r="S26" s="30"/>
      <c r="T26" s="30"/>
      <c r="U26" s="30"/>
      <c r="V26" s="31"/>
    </row>
    <row r="27" spans="1:22">
      <c r="A27" s="1" t="s">
        <v>47</v>
      </c>
      <c r="B27" s="29">
        <v>0</v>
      </c>
      <c r="C27" s="30">
        <v>0</v>
      </c>
      <c r="D27" s="30">
        <v>766155.67228667147</v>
      </c>
      <c r="E27" s="30">
        <v>0</v>
      </c>
      <c r="F27" s="30">
        <v>0</v>
      </c>
      <c r="G27" s="31">
        <f>SUM(MA_FINANCIAL)</f>
        <v>766155.67228667147</v>
      </c>
      <c r="H27" s="30"/>
      <c r="I27" s="34" t="s">
        <v>48</v>
      </c>
      <c r="J27" s="35">
        <f>SUM(ALL_BLOCKS)</f>
        <v>7852343.2159051551</v>
      </c>
      <c r="K27" s="30"/>
      <c r="L27" s="29"/>
      <c r="M27" s="30"/>
      <c r="N27" s="30"/>
      <c r="O27" s="30"/>
      <c r="P27" s="30"/>
      <c r="Q27" s="30"/>
      <c r="R27" s="30"/>
      <c r="S27" s="30"/>
      <c r="T27" s="30"/>
      <c r="U27" s="30"/>
      <c r="V27" s="31"/>
    </row>
    <row r="28" spans="1:22">
      <c r="A28" s="1" t="s">
        <v>49</v>
      </c>
      <c r="B28" s="29">
        <v>0</v>
      </c>
      <c r="C28" s="30">
        <v>0</v>
      </c>
      <c r="D28" s="30">
        <v>0</v>
      </c>
      <c r="E28" s="30">
        <v>0</v>
      </c>
      <c r="F28" s="30">
        <v>0</v>
      </c>
      <c r="G28" s="31">
        <f>SUM(MI_FINANCIAL)</f>
        <v>0</v>
      </c>
      <c r="H28" s="30"/>
      <c r="I28" s="36"/>
      <c r="J28" s="37"/>
      <c r="K28" s="30"/>
      <c r="L28" s="29"/>
      <c r="M28" s="30"/>
      <c r="N28" s="30"/>
      <c r="O28" s="30"/>
      <c r="P28" s="30"/>
      <c r="Q28" s="30"/>
      <c r="R28" s="30"/>
      <c r="S28" s="30"/>
      <c r="T28" s="30"/>
      <c r="U28" s="30"/>
      <c r="V28" s="31"/>
    </row>
    <row r="29" spans="1:22">
      <c r="A29" s="1" t="s">
        <v>50</v>
      </c>
      <c r="B29" s="29">
        <v>0</v>
      </c>
      <c r="C29" s="30">
        <v>0</v>
      </c>
      <c r="D29" s="30">
        <v>0</v>
      </c>
      <c r="E29" s="30">
        <v>0</v>
      </c>
      <c r="F29" s="30">
        <v>0</v>
      </c>
      <c r="G29" s="31">
        <f>SUM(MN_FINANCIAL)</f>
        <v>0</v>
      </c>
      <c r="H29" s="30"/>
      <c r="I29" s="30"/>
      <c r="J29" s="30"/>
      <c r="K29" s="30"/>
      <c r="L29" s="29"/>
      <c r="M29" s="30"/>
      <c r="N29" s="30"/>
      <c r="O29" s="30"/>
      <c r="P29" s="30"/>
      <c r="Q29" s="30"/>
      <c r="R29" s="30"/>
      <c r="S29" s="30"/>
      <c r="T29" s="30"/>
      <c r="U29" s="30"/>
      <c r="V29" s="31"/>
    </row>
    <row r="30" spans="1:22">
      <c r="A30" s="1" t="s">
        <v>51</v>
      </c>
      <c r="B30" s="29">
        <v>0</v>
      </c>
      <c r="C30" s="30">
        <v>0</v>
      </c>
      <c r="D30" s="30">
        <v>0</v>
      </c>
      <c r="E30" s="30">
        <v>0</v>
      </c>
      <c r="F30" s="30">
        <v>0</v>
      </c>
      <c r="G30" s="31">
        <f>SUM(MS_FINANCIAL)</f>
        <v>0</v>
      </c>
      <c r="H30" s="30"/>
      <c r="I30" s="30"/>
      <c r="J30" s="30"/>
      <c r="K30" s="30"/>
      <c r="L30" s="29"/>
      <c r="M30" s="30"/>
      <c r="N30" s="30"/>
      <c r="O30" s="30"/>
      <c r="P30" s="30"/>
      <c r="Q30" s="30"/>
      <c r="R30" s="30"/>
      <c r="S30" s="30"/>
      <c r="T30" s="30"/>
      <c r="U30" s="30"/>
      <c r="V30" s="31"/>
    </row>
    <row r="31" spans="1:22">
      <c r="A31" s="1" t="s">
        <v>52</v>
      </c>
      <c r="B31" s="29">
        <v>0</v>
      </c>
      <c r="C31" s="30">
        <v>0</v>
      </c>
      <c r="D31" s="30">
        <v>0</v>
      </c>
      <c r="E31" s="30">
        <v>0</v>
      </c>
      <c r="F31" s="30">
        <v>0</v>
      </c>
      <c r="G31" s="31">
        <f>SUM(MO_FINANCIAL)</f>
        <v>0</v>
      </c>
      <c r="H31" s="30"/>
      <c r="I31" s="30"/>
      <c r="J31" s="30"/>
      <c r="K31" s="30"/>
      <c r="L31" s="29"/>
      <c r="M31" s="30"/>
      <c r="N31" s="30"/>
      <c r="O31" s="30"/>
      <c r="P31" s="30"/>
      <c r="Q31" s="30"/>
      <c r="R31" s="30"/>
      <c r="S31" s="30"/>
      <c r="T31" s="30"/>
      <c r="U31" s="30"/>
      <c r="V31" s="31"/>
    </row>
    <row r="32" spans="1:22">
      <c r="A32" s="1" t="s">
        <v>53</v>
      </c>
      <c r="B32" s="29">
        <v>0</v>
      </c>
      <c r="C32" s="30">
        <v>0</v>
      </c>
      <c r="D32" s="30">
        <v>60990.42811230501</v>
      </c>
      <c r="E32" s="30">
        <v>0</v>
      </c>
      <c r="F32" s="30">
        <v>0</v>
      </c>
      <c r="G32" s="31">
        <f>SUM(MT_FINANCIAL)</f>
        <v>60990.42811230501</v>
      </c>
      <c r="H32" s="30"/>
      <c r="I32" s="30"/>
      <c r="J32" s="30"/>
      <c r="K32" s="30"/>
      <c r="L32" s="29"/>
      <c r="M32" s="30"/>
      <c r="N32" s="30"/>
      <c r="O32" s="30"/>
      <c r="P32" s="30"/>
      <c r="Q32" s="30"/>
      <c r="R32" s="30"/>
      <c r="S32" s="30"/>
      <c r="T32" s="30"/>
      <c r="U32" s="30"/>
      <c r="V32" s="31"/>
    </row>
    <row r="33" spans="1:22">
      <c r="A33" s="1" t="s">
        <v>54</v>
      </c>
      <c r="B33" s="29">
        <v>0</v>
      </c>
      <c r="C33" s="30">
        <v>0</v>
      </c>
      <c r="D33" s="30">
        <v>0</v>
      </c>
      <c r="E33" s="30">
        <v>0</v>
      </c>
      <c r="F33" s="30">
        <v>0</v>
      </c>
      <c r="G33" s="31">
        <f>SUM(NE_FINANCIAL)</f>
        <v>0</v>
      </c>
      <c r="H33" s="30"/>
      <c r="I33" s="30"/>
      <c r="J33" s="30"/>
      <c r="K33" s="30"/>
      <c r="L33" s="29"/>
      <c r="M33" s="30"/>
      <c r="N33" s="30"/>
      <c r="O33" s="30"/>
      <c r="P33" s="30"/>
      <c r="Q33" s="30"/>
      <c r="R33" s="30"/>
      <c r="S33" s="30"/>
      <c r="T33" s="30"/>
      <c r="U33" s="30"/>
      <c r="V33" s="31"/>
    </row>
    <row r="34" spans="1:22">
      <c r="A34" s="1" t="s">
        <v>55</v>
      </c>
      <c r="B34" s="29">
        <v>0</v>
      </c>
      <c r="C34" s="30">
        <v>0</v>
      </c>
      <c r="D34" s="30">
        <v>0</v>
      </c>
      <c r="E34" s="30">
        <v>0</v>
      </c>
      <c r="F34" s="30">
        <v>0</v>
      </c>
      <c r="G34" s="31">
        <f>SUM(NV_FINANCIAL)</f>
        <v>0</v>
      </c>
      <c r="H34" s="30"/>
      <c r="I34" s="30"/>
      <c r="J34" s="30"/>
      <c r="K34" s="30"/>
      <c r="L34" s="29"/>
      <c r="M34" s="30"/>
      <c r="N34" s="30"/>
      <c r="O34" s="30"/>
      <c r="P34" s="30"/>
      <c r="Q34" s="30"/>
      <c r="R34" s="30"/>
      <c r="S34" s="30"/>
      <c r="T34" s="30"/>
      <c r="U34" s="30"/>
      <c r="V34" s="31"/>
    </row>
    <row r="35" spans="1:22">
      <c r="A35" s="1" t="s">
        <v>56</v>
      </c>
      <c r="B35" s="29">
        <v>0</v>
      </c>
      <c r="C35" s="30">
        <v>0</v>
      </c>
      <c r="D35" s="30">
        <v>237093.72324304131</v>
      </c>
      <c r="E35" s="30">
        <v>0</v>
      </c>
      <c r="F35" s="30">
        <v>0</v>
      </c>
      <c r="G35" s="31">
        <f>SUM(NH_FINANCIAL)</f>
        <v>237093.72324304131</v>
      </c>
      <c r="H35" s="30"/>
      <c r="I35" s="30"/>
      <c r="J35" s="30"/>
      <c r="K35" s="30"/>
      <c r="L35" s="29"/>
      <c r="M35" s="30"/>
      <c r="N35" s="30"/>
      <c r="O35" s="30"/>
      <c r="P35" s="30"/>
      <c r="Q35" s="30"/>
      <c r="R35" s="30"/>
      <c r="S35" s="30"/>
      <c r="T35" s="30"/>
      <c r="U35" s="30"/>
      <c r="V35" s="31"/>
    </row>
    <row r="36" spans="1:22">
      <c r="A36" s="1" t="s">
        <v>57</v>
      </c>
      <c r="B36" s="29">
        <v>0</v>
      </c>
      <c r="C36" s="30">
        <v>0</v>
      </c>
      <c r="D36" s="30">
        <v>903243.59571736224</v>
      </c>
      <c r="E36" s="30">
        <v>0</v>
      </c>
      <c r="F36" s="30">
        <v>0</v>
      </c>
      <c r="G36" s="31">
        <f>SUM(NJ_FINANCIAL)</f>
        <v>903243.59571736224</v>
      </c>
      <c r="H36" s="30"/>
      <c r="I36" s="30"/>
      <c r="J36" s="30"/>
      <c r="K36" s="30"/>
      <c r="L36" s="29"/>
      <c r="M36" s="30"/>
      <c r="N36" s="30"/>
      <c r="O36" s="30"/>
      <c r="P36" s="30"/>
      <c r="Q36" s="30"/>
      <c r="R36" s="30"/>
      <c r="S36" s="30"/>
      <c r="T36" s="30"/>
      <c r="U36" s="30"/>
      <c r="V36" s="31"/>
    </row>
    <row r="37" spans="1:22">
      <c r="A37" s="1" t="s">
        <v>58</v>
      </c>
      <c r="B37" s="29">
        <v>0</v>
      </c>
      <c r="C37" s="30">
        <v>0</v>
      </c>
      <c r="D37" s="30">
        <v>0</v>
      </c>
      <c r="E37" s="30">
        <v>0</v>
      </c>
      <c r="F37" s="30">
        <v>0</v>
      </c>
      <c r="G37" s="31">
        <f>SUM(NM_FINANCIAL)</f>
        <v>0</v>
      </c>
      <c r="H37" s="30"/>
      <c r="I37" s="30"/>
      <c r="J37" s="30"/>
      <c r="K37" s="30"/>
      <c r="L37" s="29"/>
      <c r="M37" s="30"/>
      <c r="N37" s="30"/>
      <c r="O37" s="30"/>
      <c r="P37" s="30"/>
      <c r="Q37" s="30"/>
      <c r="R37" s="30"/>
      <c r="S37" s="30"/>
      <c r="T37" s="30"/>
      <c r="U37" s="30"/>
      <c r="V37" s="31"/>
    </row>
    <row r="38" spans="1:22">
      <c r="A38" s="1" t="s">
        <v>59</v>
      </c>
      <c r="B38" s="29">
        <v>0</v>
      </c>
      <c r="C38" s="30">
        <v>0</v>
      </c>
      <c r="D38" s="30">
        <v>0</v>
      </c>
      <c r="E38" s="30">
        <v>0</v>
      </c>
      <c r="F38" s="30">
        <v>0</v>
      </c>
      <c r="G38" s="31">
        <f>SUM(NY_FINANCIAL)</f>
        <v>0</v>
      </c>
      <c r="H38" s="30"/>
      <c r="I38" s="30"/>
      <c r="J38" s="30"/>
      <c r="K38" s="30"/>
      <c r="L38" s="29"/>
      <c r="M38" s="30"/>
      <c r="N38" s="30"/>
      <c r="O38" s="30"/>
      <c r="P38" s="30"/>
      <c r="Q38" s="30"/>
      <c r="R38" s="30"/>
      <c r="S38" s="30"/>
      <c r="T38" s="30"/>
      <c r="U38" s="30"/>
      <c r="V38" s="31"/>
    </row>
    <row r="39" spans="1:22">
      <c r="A39" s="1" t="s">
        <v>60</v>
      </c>
      <c r="B39" s="29">
        <v>0</v>
      </c>
      <c r="C39" s="30">
        <v>0</v>
      </c>
      <c r="D39" s="30">
        <v>0</v>
      </c>
      <c r="E39" s="30">
        <v>0</v>
      </c>
      <c r="F39" s="30">
        <v>0</v>
      </c>
      <c r="G39" s="31">
        <f>SUM(NC_FINANCIAL)</f>
        <v>0</v>
      </c>
      <c r="H39" s="30"/>
      <c r="I39" s="30"/>
      <c r="J39" s="30"/>
      <c r="K39" s="30"/>
      <c r="L39" s="29"/>
      <c r="M39" s="30"/>
      <c r="N39" s="30"/>
      <c r="O39" s="30"/>
      <c r="P39" s="30"/>
      <c r="Q39" s="30"/>
      <c r="R39" s="30"/>
      <c r="S39" s="30"/>
      <c r="T39" s="30"/>
      <c r="U39" s="30"/>
      <c r="V39" s="31"/>
    </row>
    <row r="40" spans="1:22">
      <c r="A40" s="1" t="s">
        <v>61</v>
      </c>
      <c r="B40" s="29">
        <v>0</v>
      </c>
      <c r="C40" s="30">
        <v>0</v>
      </c>
      <c r="D40" s="30">
        <v>0</v>
      </c>
      <c r="E40" s="30">
        <v>0</v>
      </c>
      <c r="F40" s="30">
        <v>0</v>
      </c>
      <c r="G40" s="31">
        <f>SUM(ND_FINANCIAL)</f>
        <v>0</v>
      </c>
      <c r="H40" s="30"/>
      <c r="I40" s="30"/>
      <c r="J40" s="30"/>
      <c r="K40" s="30"/>
      <c r="L40" s="29"/>
      <c r="M40" s="30"/>
      <c r="N40" s="30"/>
      <c r="O40" s="30"/>
      <c r="P40" s="30"/>
      <c r="Q40" s="30"/>
      <c r="R40" s="30"/>
      <c r="S40" s="30"/>
      <c r="T40" s="30"/>
      <c r="U40" s="30"/>
      <c r="V40" s="31"/>
    </row>
    <row r="41" spans="1:22">
      <c r="A41" s="1" t="s">
        <v>62</v>
      </c>
      <c r="B41" s="29">
        <v>0</v>
      </c>
      <c r="C41" s="30">
        <v>0</v>
      </c>
      <c r="D41" s="30">
        <v>83565</v>
      </c>
      <c r="E41" s="30">
        <v>0</v>
      </c>
      <c r="F41" s="30">
        <v>0</v>
      </c>
      <c r="G41" s="31">
        <f>SUM(OH_FINANCIAL)</f>
        <v>83565</v>
      </c>
      <c r="H41" s="30"/>
      <c r="I41" s="30"/>
      <c r="J41" s="30"/>
      <c r="K41" s="30"/>
      <c r="L41" s="29"/>
      <c r="M41" s="30"/>
      <c r="N41" s="30"/>
      <c r="O41" s="30"/>
      <c r="P41" s="30"/>
      <c r="Q41" s="30"/>
      <c r="R41" s="30"/>
      <c r="S41" s="30"/>
      <c r="T41" s="30"/>
      <c r="U41" s="30"/>
      <c r="V41" s="31"/>
    </row>
    <row r="42" spans="1:22">
      <c r="A42" s="1" t="s">
        <v>63</v>
      </c>
      <c r="B42" s="29">
        <v>0</v>
      </c>
      <c r="C42" s="30">
        <v>0</v>
      </c>
      <c r="D42" s="30">
        <v>0</v>
      </c>
      <c r="E42" s="30">
        <v>0</v>
      </c>
      <c r="F42" s="30">
        <v>0</v>
      </c>
      <c r="G42" s="31">
        <f>SUM(OK_FINANCIAL)</f>
        <v>0</v>
      </c>
      <c r="H42" s="30"/>
      <c r="I42" s="30"/>
      <c r="J42" s="30"/>
      <c r="K42" s="30"/>
      <c r="L42" s="29"/>
      <c r="M42" s="30"/>
      <c r="N42" s="30"/>
      <c r="O42" s="30"/>
      <c r="P42" s="30"/>
      <c r="Q42" s="30"/>
      <c r="R42" s="30"/>
      <c r="S42" s="30"/>
      <c r="T42" s="30"/>
      <c r="U42" s="30"/>
      <c r="V42" s="31"/>
    </row>
    <row r="43" spans="1:22">
      <c r="A43" s="1" t="s">
        <v>64</v>
      </c>
      <c r="B43" s="29">
        <v>0</v>
      </c>
      <c r="C43" s="30">
        <v>0</v>
      </c>
      <c r="D43" s="30">
        <v>0</v>
      </c>
      <c r="E43" s="30">
        <v>0</v>
      </c>
      <c r="F43" s="30">
        <v>0</v>
      </c>
      <c r="G43" s="31">
        <f>SUM(OR_FINANCIAL)</f>
        <v>0</v>
      </c>
      <c r="H43" s="30"/>
      <c r="I43" s="30"/>
      <c r="J43" s="30"/>
      <c r="K43" s="30"/>
      <c r="L43" s="29"/>
      <c r="M43" s="30"/>
      <c r="N43" s="30"/>
      <c r="O43" s="30"/>
      <c r="P43" s="30"/>
      <c r="Q43" s="30"/>
      <c r="R43" s="30"/>
      <c r="S43" s="30"/>
      <c r="T43" s="30"/>
      <c r="U43" s="30"/>
      <c r="V43" s="31"/>
    </row>
    <row r="44" spans="1:22">
      <c r="A44" s="1" t="s">
        <v>65</v>
      </c>
      <c r="B44" s="29">
        <v>0</v>
      </c>
      <c r="C44" s="30">
        <v>0</v>
      </c>
      <c r="D44" s="30">
        <v>1124286.6214771846</v>
      </c>
      <c r="E44" s="30">
        <v>0</v>
      </c>
      <c r="F44" s="30">
        <v>0</v>
      </c>
      <c r="G44" s="31">
        <f>SUM(PA_FINANCIAL)</f>
        <v>1124286.6214771846</v>
      </c>
      <c r="H44" s="30"/>
      <c r="I44" s="30"/>
      <c r="J44" s="30"/>
      <c r="K44" s="30"/>
      <c r="L44" s="29"/>
      <c r="M44" s="30"/>
      <c r="N44" s="30"/>
      <c r="O44" s="30"/>
      <c r="P44" s="30"/>
      <c r="Q44" s="30"/>
      <c r="R44" s="30"/>
      <c r="S44" s="30"/>
      <c r="T44" s="30"/>
      <c r="U44" s="30"/>
      <c r="V44" s="31"/>
    </row>
    <row r="45" spans="1:22">
      <c r="A45" s="1" t="s">
        <v>66</v>
      </c>
      <c r="B45" s="29">
        <v>0</v>
      </c>
      <c r="C45" s="30">
        <v>0</v>
      </c>
      <c r="D45" s="30">
        <v>0</v>
      </c>
      <c r="E45" s="30">
        <v>0</v>
      </c>
      <c r="F45" s="30">
        <v>0</v>
      </c>
      <c r="G45" s="31">
        <f>SUM(PR_FINANCIAL)</f>
        <v>0</v>
      </c>
      <c r="H45" s="30"/>
      <c r="I45" s="30"/>
      <c r="J45" s="30"/>
      <c r="K45" s="30"/>
      <c r="L45" s="29"/>
      <c r="M45" s="30"/>
      <c r="N45" s="30"/>
      <c r="O45" s="30"/>
      <c r="P45" s="30"/>
      <c r="Q45" s="30"/>
      <c r="R45" s="30"/>
      <c r="S45" s="30"/>
      <c r="T45" s="30"/>
      <c r="U45" s="30"/>
      <c r="V45" s="31"/>
    </row>
    <row r="46" spans="1:22">
      <c r="A46" s="1" t="s">
        <v>67</v>
      </c>
      <c r="B46" s="29">
        <v>0</v>
      </c>
      <c r="C46" s="30">
        <v>0</v>
      </c>
      <c r="D46" s="30">
        <v>0</v>
      </c>
      <c r="E46" s="30">
        <v>0</v>
      </c>
      <c r="F46" s="30">
        <v>0</v>
      </c>
      <c r="G46" s="31">
        <f>SUM(RI_FINANCIAL)</f>
        <v>0</v>
      </c>
      <c r="H46" s="30"/>
      <c r="I46" s="30"/>
      <c r="J46" s="30"/>
      <c r="K46" s="30"/>
      <c r="L46" s="29"/>
      <c r="M46" s="30"/>
      <c r="N46" s="30"/>
      <c r="O46" s="30"/>
      <c r="P46" s="30"/>
      <c r="Q46" s="30"/>
      <c r="R46" s="30"/>
      <c r="S46" s="30"/>
      <c r="T46" s="30"/>
      <c r="U46" s="30"/>
      <c r="V46" s="31"/>
    </row>
    <row r="47" spans="1:22">
      <c r="A47" s="1" t="s">
        <v>68</v>
      </c>
      <c r="B47" s="29">
        <v>0</v>
      </c>
      <c r="C47" s="30">
        <v>0</v>
      </c>
      <c r="D47" s="30">
        <v>0</v>
      </c>
      <c r="E47" s="30">
        <v>0</v>
      </c>
      <c r="F47" s="30">
        <v>0</v>
      </c>
      <c r="G47" s="31">
        <f>SUM(SC_FINANCIAL)</f>
        <v>0</v>
      </c>
      <c r="H47" s="30"/>
      <c r="I47" s="30"/>
      <c r="J47" s="30"/>
      <c r="K47" s="30"/>
      <c r="L47" s="29"/>
      <c r="M47" s="30"/>
      <c r="N47" s="30"/>
      <c r="O47" s="30"/>
      <c r="P47" s="30"/>
      <c r="Q47" s="30"/>
      <c r="R47" s="30"/>
      <c r="S47" s="30"/>
      <c r="T47" s="30"/>
      <c r="U47" s="30"/>
      <c r="V47" s="31"/>
    </row>
    <row r="48" spans="1:22">
      <c r="A48" s="1" t="s">
        <v>69</v>
      </c>
      <c r="B48" s="29">
        <v>0</v>
      </c>
      <c r="C48" s="30">
        <v>0</v>
      </c>
      <c r="D48" s="30">
        <v>0</v>
      </c>
      <c r="E48" s="30">
        <v>0</v>
      </c>
      <c r="F48" s="30">
        <v>0</v>
      </c>
      <c r="G48" s="31">
        <f>SUM(SD_FINANCIAL)</f>
        <v>0</v>
      </c>
      <c r="H48" s="30"/>
      <c r="I48" s="30"/>
      <c r="J48" s="30"/>
      <c r="K48" s="30"/>
      <c r="L48" s="29"/>
      <c r="M48" s="30"/>
      <c r="N48" s="30"/>
      <c r="O48" s="30"/>
      <c r="P48" s="30"/>
      <c r="Q48" s="30"/>
      <c r="R48" s="30"/>
      <c r="S48" s="30"/>
      <c r="T48" s="30"/>
      <c r="U48" s="30"/>
      <c r="V48" s="31"/>
    </row>
    <row r="49" spans="1:22">
      <c r="A49" s="1" t="s">
        <v>70</v>
      </c>
      <c r="B49" s="29">
        <v>0</v>
      </c>
      <c r="C49" s="30">
        <v>0</v>
      </c>
      <c r="D49" s="30">
        <v>0</v>
      </c>
      <c r="E49" s="30">
        <v>0</v>
      </c>
      <c r="F49" s="30">
        <v>0</v>
      </c>
      <c r="G49" s="31">
        <f>SUM(TN_FINANCIAL)</f>
        <v>0</v>
      </c>
      <c r="H49" s="30"/>
      <c r="I49" s="30"/>
      <c r="J49" s="30"/>
      <c r="K49" s="30"/>
      <c r="L49" s="29"/>
      <c r="M49" s="30"/>
      <c r="N49" s="30"/>
      <c r="O49" s="30"/>
      <c r="P49" s="30"/>
      <c r="Q49" s="30"/>
      <c r="R49" s="30"/>
      <c r="S49" s="30"/>
      <c r="T49" s="30"/>
      <c r="U49" s="30"/>
      <c r="V49" s="31"/>
    </row>
    <row r="50" spans="1:22">
      <c r="A50" s="1" t="s">
        <v>71</v>
      </c>
      <c r="B50" s="29">
        <v>0</v>
      </c>
      <c r="C50" s="30">
        <v>0</v>
      </c>
      <c r="D50" s="30">
        <v>252520.27027397667</v>
      </c>
      <c r="E50" s="30">
        <v>0</v>
      </c>
      <c r="F50" s="30">
        <v>0</v>
      </c>
      <c r="G50" s="31">
        <f>SUM(TX_FINANCIAL)</f>
        <v>252520.27027397667</v>
      </c>
      <c r="H50" s="30"/>
      <c r="I50" s="30"/>
      <c r="J50" s="30"/>
      <c r="K50" s="30"/>
      <c r="L50" s="29"/>
      <c r="M50" s="30"/>
      <c r="N50" s="30"/>
      <c r="O50" s="30"/>
      <c r="P50" s="30"/>
      <c r="Q50" s="30"/>
      <c r="R50" s="30"/>
      <c r="S50" s="30"/>
      <c r="T50" s="30"/>
      <c r="U50" s="30"/>
      <c r="V50" s="31"/>
    </row>
    <row r="51" spans="1:22">
      <c r="A51" s="1" t="s">
        <v>72</v>
      </c>
      <c r="B51" s="29">
        <v>0</v>
      </c>
      <c r="C51" s="30">
        <v>0</v>
      </c>
      <c r="D51" s="30">
        <v>0</v>
      </c>
      <c r="E51" s="30">
        <v>0</v>
      </c>
      <c r="F51" s="30">
        <v>0</v>
      </c>
      <c r="G51" s="31">
        <f>SUM(UT_FINANCIAL)</f>
        <v>0</v>
      </c>
      <c r="H51" s="30"/>
      <c r="I51" s="30"/>
      <c r="J51" s="30"/>
      <c r="K51" s="30"/>
      <c r="L51" s="29"/>
      <c r="M51" s="30"/>
      <c r="N51" s="30"/>
      <c r="O51" s="30"/>
      <c r="P51" s="30"/>
      <c r="Q51" s="30"/>
      <c r="R51" s="30"/>
      <c r="S51" s="30"/>
      <c r="T51" s="30"/>
      <c r="U51" s="30"/>
      <c r="V51" s="31"/>
    </row>
    <row r="52" spans="1:22">
      <c r="A52" s="1" t="s">
        <v>73</v>
      </c>
      <c r="B52" s="29">
        <v>0</v>
      </c>
      <c r="C52" s="30">
        <v>0</v>
      </c>
      <c r="D52" s="30">
        <v>817.8297481617634</v>
      </c>
      <c r="E52" s="30">
        <v>0</v>
      </c>
      <c r="F52" s="30">
        <v>0</v>
      </c>
      <c r="G52" s="31">
        <f>SUM(VT_FINANCIAL)</f>
        <v>817.8297481617634</v>
      </c>
      <c r="H52" s="30"/>
      <c r="I52" s="30"/>
      <c r="J52" s="30"/>
      <c r="K52" s="30"/>
      <c r="L52" s="29"/>
      <c r="M52" s="30"/>
      <c r="N52" s="30"/>
      <c r="O52" s="30"/>
      <c r="P52" s="30"/>
      <c r="Q52" s="30"/>
      <c r="R52" s="30"/>
      <c r="S52" s="30"/>
      <c r="T52" s="30"/>
      <c r="U52" s="30"/>
      <c r="V52" s="31"/>
    </row>
    <row r="53" spans="1:22">
      <c r="A53" s="1" t="s">
        <v>74</v>
      </c>
      <c r="B53" s="29">
        <v>0</v>
      </c>
      <c r="C53" s="30">
        <v>0</v>
      </c>
      <c r="D53" s="30">
        <v>0</v>
      </c>
      <c r="E53" s="30">
        <v>0</v>
      </c>
      <c r="F53" s="30">
        <v>0</v>
      </c>
      <c r="G53" s="31">
        <f>SUM(VA_FINANCIAL)</f>
        <v>0</v>
      </c>
      <c r="H53" s="30"/>
      <c r="I53" s="30"/>
      <c r="J53" s="30"/>
      <c r="K53" s="30"/>
      <c r="L53" s="29"/>
      <c r="M53" s="30"/>
      <c r="N53" s="30"/>
      <c r="O53" s="30"/>
      <c r="P53" s="30"/>
      <c r="Q53" s="30"/>
      <c r="R53" s="30"/>
      <c r="S53" s="30"/>
      <c r="T53" s="30"/>
      <c r="U53" s="30"/>
      <c r="V53" s="31"/>
    </row>
    <row r="54" spans="1:22">
      <c r="A54" s="1" t="s">
        <v>75</v>
      </c>
      <c r="B54" s="29">
        <v>0</v>
      </c>
      <c r="C54" s="30">
        <v>0</v>
      </c>
      <c r="D54" s="30">
        <v>0</v>
      </c>
      <c r="E54" s="30">
        <v>0</v>
      </c>
      <c r="F54" s="30">
        <v>0</v>
      </c>
      <c r="G54" s="31">
        <f>SUM(WA_FINANCIAL)</f>
        <v>0</v>
      </c>
      <c r="H54" s="30"/>
      <c r="I54" s="30"/>
      <c r="J54" s="30"/>
      <c r="K54" s="30"/>
      <c r="L54" s="29"/>
      <c r="M54" s="30"/>
      <c r="N54" s="30"/>
      <c r="O54" s="30"/>
      <c r="P54" s="30"/>
      <c r="Q54" s="30"/>
      <c r="R54" s="30"/>
      <c r="S54" s="30"/>
      <c r="T54" s="30"/>
      <c r="U54" s="30"/>
      <c r="V54" s="31"/>
    </row>
    <row r="55" spans="1:22">
      <c r="A55" s="1" t="s">
        <v>76</v>
      </c>
      <c r="B55" s="29">
        <v>0</v>
      </c>
      <c r="C55" s="30">
        <v>0</v>
      </c>
      <c r="D55" s="30">
        <v>0</v>
      </c>
      <c r="E55" s="30">
        <v>0</v>
      </c>
      <c r="F55" s="30">
        <v>0</v>
      </c>
      <c r="G55" s="31">
        <f>SUM(WV_FINANCIAL)</f>
        <v>0</v>
      </c>
      <c r="H55" s="30"/>
      <c r="I55" s="30"/>
      <c r="J55" s="30"/>
      <c r="K55" s="30"/>
      <c r="L55" s="29"/>
      <c r="M55" s="30"/>
      <c r="N55" s="30"/>
      <c r="O55" s="30"/>
      <c r="P55" s="30"/>
      <c r="Q55" s="30"/>
      <c r="R55" s="30"/>
      <c r="S55" s="30"/>
      <c r="T55" s="30"/>
      <c r="U55" s="30"/>
      <c r="V55" s="31"/>
    </row>
    <row r="56" spans="1:22">
      <c r="A56" s="1" t="s">
        <v>77</v>
      </c>
      <c r="B56" s="29">
        <v>0</v>
      </c>
      <c r="C56" s="30">
        <v>0</v>
      </c>
      <c r="D56" s="30">
        <v>0</v>
      </c>
      <c r="E56" s="30">
        <v>0</v>
      </c>
      <c r="F56" s="30">
        <v>0</v>
      </c>
      <c r="G56" s="31">
        <f>SUM(WI_FINANCIAL)</f>
        <v>0</v>
      </c>
      <c r="H56" s="30"/>
      <c r="I56" s="30"/>
      <c r="J56" s="30"/>
      <c r="K56" s="30"/>
      <c r="L56" s="29"/>
      <c r="M56" s="30"/>
      <c r="N56" s="30"/>
      <c r="O56" s="30"/>
      <c r="P56" s="30"/>
      <c r="Q56" s="30"/>
      <c r="R56" s="30"/>
      <c r="S56" s="30"/>
      <c r="T56" s="30"/>
      <c r="U56" s="30"/>
      <c r="V56" s="31"/>
    </row>
    <row r="57" spans="1:22">
      <c r="A57" s="1" t="s">
        <v>78</v>
      </c>
      <c r="B57" s="29">
        <v>0</v>
      </c>
      <c r="C57" s="30">
        <v>0</v>
      </c>
      <c r="D57" s="30">
        <v>0</v>
      </c>
      <c r="E57" s="30">
        <v>0</v>
      </c>
      <c r="F57" s="30">
        <v>0</v>
      </c>
      <c r="G57" s="31">
        <f>SUM(WY_FINANCIAL)</f>
        <v>0</v>
      </c>
      <c r="H57" s="30"/>
      <c r="I57" s="30"/>
      <c r="J57" s="30"/>
      <c r="K57" s="30"/>
      <c r="L57" s="29"/>
      <c r="M57" s="30"/>
      <c r="N57" s="30"/>
      <c r="O57" s="30"/>
      <c r="P57" s="30"/>
      <c r="Q57" s="30"/>
      <c r="R57" s="30"/>
      <c r="S57" s="30"/>
      <c r="T57" s="30"/>
      <c r="U57" s="30"/>
      <c r="V57" s="31"/>
    </row>
    <row r="58" spans="1:22">
      <c r="A58" s="1" t="s">
        <v>79</v>
      </c>
      <c r="B58" s="29">
        <v>0</v>
      </c>
      <c r="C58" s="30">
        <v>0</v>
      </c>
      <c r="D58" s="30">
        <v>0</v>
      </c>
      <c r="E58" s="30">
        <v>0</v>
      </c>
      <c r="F58" s="30">
        <v>0</v>
      </c>
      <c r="G58" s="31">
        <f>SUM(OT_FINANCIAL)</f>
        <v>0</v>
      </c>
      <c r="H58" s="30"/>
      <c r="I58" s="30"/>
      <c r="J58" s="30"/>
      <c r="K58" s="30"/>
      <c r="L58" s="29"/>
      <c r="M58" s="30"/>
      <c r="N58" s="30"/>
      <c r="O58" s="30"/>
      <c r="P58" s="30"/>
      <c r="Q58" s="30"/>
      <c r="R58" s="30"/>
      <c r="S58" s="30"/>
      <c r="T58" s="30"/>
      <c r="U58" s="30"/>
      <c r="V58" s="31"/>
    </row>
    <row r="59" spans="1:22">
      <c r="B59" s="29"/>
      <c r="C59" s="30"/>
      <c r="D59" s="30"/>
      <c r="E59" s="30"/>
      <c r="F59" s="30"/>
      <c r="G59" s="31"/>
      <c r="H59" s="30"/>
      <c r="I59" s="30"/>
      <c r="J59" s="30"/>
      <c r="K59" s="30"/>
      <c r="L59" s="29"/>
      <c r="M59" s="30"/>
      <c r="N59" s="30"/>
      <c r="O59" s="30"/>
      <c r="P59" s="30"/>
      <c r="Q59" s="30"/>
      <c r="R59" s="30"/>
      <c r="S59" s="30"/>
      <c r="T59" s="30"/>
      <c r="U59" s="30"/>
      <c r="V59" s="31"/>
    </row>
    <row r="60" spans="1:22">
      <c r="A60" s="1" t="s">
        <v>8</v>
      </c>
      <c r="B60" s="29">
        <f>SUM(LIFE)</f>
        <v>0</v>
      </c>
      <c r="C60" s="30">
        <f>SUM(ALLOCATED)</f>
        <v>0</v>
      </c>
      <c r="D60" s="30">
        <f>SUM(HEALTH)</f>
        <v>7852343.2159051551</v>
      </c>
      <c r="E60" s="30">
        <f>SUM(UNALLOCATED)</f>
        <v>0</v>
      </c>
      <c r="F60" s="30">
        <f>SUM(LTC)</f>
        <v>0</v>
      </c>
      <c r="G60" s="31">
        <f>SUM(ALL_BLOCKS)</f>
        <v>7852343.2159051551</v>
      </c>
      <c r="H60" s="30"/>
      <c r="I60" s="30"/>
      <c r="J60" s="30"/>
      <c r="K60" s="30"/>
      <c r="L60" s="29">
        <f>SUM(LIFE_CALLED)</f>
        <v>0</v>
      </c>
      <c r="M60" s="30">
        <f>SUM(LIFE_REFUNDED)</f>
        <v>0</v>
      </c>
      <c r="N60" s="30"/>
      <c r="O60" s="30">
        <f>SUM(ALLOC_CALLED)</f>
        <v>0</v>
      </c>
      <c r="P60" s="30">
        <f>SUM(ALLOC_REFUNDED)</f>
        <v>0</v>
      </c>
      <c r="Q60" s="30"/>
      <c r="R60" s="30">
        <f>SUM(HEALTH_CALLED)</f>
        <v>300000</v>
      </c>
      <c r="S60" s="30">
        <f>SUM(HEALTH_REFUNDED)</f>
        <v>0</v>
      </c>
      <c r="T60" s="30"/>
      <c r="U60" s="30">
        <f>SUM(UNALLOC_CALLED)</f>
        <v>0</v>
      </c>
      <c r="V60" s="31">
        <f>SUM(UNALLOC_REFUNDED)</f>
        <v>0</v>
      </c>
    </row>
    <row r="61" spans="1:22" ht="5.0999999999999996" customHeight="1">
      <c r="B61" s="8"/>
      <c r="G61" s="11"/>
      <c r="L61" s="8"/>
      <c r="V61" s="11"/>
    </row>
    <row r="62" spans="1:22">
      <c r="B62" s="8"/>
      <c r="G62" s="11"/>
      <c r="L62" s="122" t="s">
        <v>80</v>
      </c>
      <c r="M62" s="123"/>
      <c r="N62" s="123"/>
      <c r="O62" s="123"/>
      <c r="P62" s="123"/>
      <c r="Q62" s="123"/>
      <c r="R62" s="123"/>
      <c r="S62" s="123"/>
      <c r="T62" s="123"/>
      <c r="U62" s="123"/>
      <c r="V62" s="124"/>
    </row>
    <row r="63" spans="1:22">
      <c r="B63" s="8"/>
      <c r="G63" s="11"/>
      <c r="L63" s="125"/>
      <c r="M63" s="123"/>
      <c r="N63" s="123"/>
      <c r="O63" s="123"/>
      <c r="P63" s="123"/>
      <c r="Q63" s="123"/>
      <c r="R63" s="123"/>
      <c r="S63" s="123"/>
      <c r="T63" s="123"/>
      <c r="U63" s="123"/>
      <c r="V63" s="124"/>
    </row>
    <row r="64" spans="1:22">
      <c r="B64" s="10"/>
      <c r="C64" s="7"/>
      <c r="D64" s="7"/>
      <c r="E64" s="7"/>
      <c r="F64" s="7"/>
      <c r="G64" s="13"/>
      <c r="L64" s="126"/>
      <c r="M64" s="127"/>
      <c r="N64" s="127"/>
      <c r="O64" s="127"/>
      <c r="P64" s="127"/>
      <c r="Q64" s="127"/>
      <c r="R64" s="127"/>
      <c r="S64" s="127"/>
      <c r="T64" s="127"/>
      <c r="U64" s="127"/>
      <c r="V64" s="128"/>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pageSetUpPr fitToPage="1"/>
  </sheetPr>
  <dimension ref="A1:V64"/>
  <sheetViews>
    <sheetView zoomScale="75" workbookViewId="0">
      <selection sqref="A1:XFD1048576"/>
    </sheetView>
  </sheetViews>
  <sheetFormatPr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129" t="s">
        <v>150</v>
      </c>
      <c r="B1" s="123"/>
      <c r="C1" s="123"/>
      <c r="D1" s="123"/>
      <c r="E1" s="123"/>
      <c r="F1" s="123"/>
      <c r="G1" s="123"/>
    </row>
    <row r="3" spans="1:22">
      <c r="B3" s="130" t="s">
        <v>1</v>
      </c>
      <c r="C3" s="131"/>
      <c r="D3" s="131"/>
      <c r="E3" s="131"/>
      <c r="F3" s="131"/>
      <c r="G3" s="132"/>
      <c r="L3" s="133" t="s">
        <v>2</v>
      </c>
      <c r="M3" s="134"/>
      <c r="N3" s="134"/>
      <c r="O3" s="134"/>
      <c r="P3" s="134"/>
      <c r="Q3" s="134"/>
      <c r="R3" s="134"/>
      <c r="S3" s="134"/>
      <c r="T3" s="134"/>
      <c r="U3" s="134"/>
      <c r="V3" s="135"/>
    </row>
    <row r="4" spans="1:22">
      <c r="B4" s="8"/>
      <c r="G4" s="11"/>
      <c r="L4" s="136" t="s">
        <v>3</v>
      </c>
      <c r="M4" s="137"/>
      <c r="N4" s="4"/>
      <c r="O4" s="138" t="s">
        <v>4</v>
      </c>
      <c r="P4" s="137"/>
      <c r="Q4" s="4"/>
      <c r="R4" s="138" t="s">
        <v>5</v>
      </c>
      <c r="S4" s="137"/>
      <c r="T4" s="4"/>
      <c r="U4" s="138" t="s">
        <v>6</v>
      </c>
      <c r="V4" s="139"/>
    </row>
    <row r="5" spans="1:22" ht="60" customHeight="1">
      <c r="B5" s="9" t="s">
        <v>3</v>
      </c>
      <c r="C5" s="5" t="s">
        <v>4</v>
      </c>
      <c r="D5" s="5" t="s">
        <v>5</v>
      </c>
      <c r="E5" s="5" t="s">
        <v>6</v>
      </c>
      <c r="F5" s="5" t="s">
        <v>7</v>
      </c>
      <c r="G5" s="12" t="s">
        <v>8</v>
      </c>
      <c r="L5" s="15" t="s">
        <v>9</v>
      </c>
      <c r="M5" s="14" t="s">
        <v>10</v>
      </c>
      <c r="N5" s="14"/>
      <c r="O5" s="14" t="s">
        <v>9</v>
      </c>
      <c r="P5" s="14" t="s">
        <v>10</v>
      </c>
      <c r="Q5" s="14"/>
      <c r="R5" s="14" t="s">
        <v>9</v>
      </c>
      <c r="S5" s="14" t="s">
        <v>10</v>
      </c>
      <c r="T5" s="14"/>
      <c r="U5" s="14" t="s">
        <v>9</v>
      </c>
      <c r="V5" s="16" t="s">
        <v>10</v>
      </c>
    </row>
    <row r="6" spans="1:22">
      <c r="A6" s="1" t="s">
        <v>11</v>
      </c>
      <c r="B6" s="29">
        <v>1962.0010553470431</v>
      </c>
      <c r="C6" s="30">
        <v>49727.331870488357</v>
      </c>
      <c r="D6" s="30">
        <v>0</v>
      </c>
      <c r="E6" s="30">
        <v>0</v>
      </c>
      <c r="F6" s="30">
        <v>0</v>
      </c>
      <c r="G6" s="31">
        <f>SUM(AL_FINANCIAL)</f>
        <v>51689.332925835399</v>
      </c>
      <c r="H6" s="30"/>
      <c r="I6" s="30"/>
      <c r="J6" s="30"/>
      <c r="K6" s="30"/>
      <c r="L6" s="29">
        <v>3000</v>
      </c>
      <c r="M6" s="30">
        <v>0</v>
      </c>
      <c r="N6" s="30"/>
      <c r="O6" s="30">
        <v>13939</v>
      </c>
      <c r="P6" s="30">
        <v>0</v>
      </c>
      <c r="Q6" s="30"/>
      <c r="R6" s="30">
        <v>53000</v>
      </c>
      <c r="S6" s="30">
        <v>0</v>
      </c>
      <c r="T6" s="30"/>
      <c r="U6" s="30">
        <v>0</v>
      </c>
      <c r="V6" s="31">
        <v>0</v>
      </c>
    </row>
    <row r="7" spans="1:22">
      <c r="A7" s="1" t="s">
        <v>12</v>
      </c>
      <c r="B7" s="29">
        <v>0</v>
      </c>
      <c r="C7" s="30">
        <v>0</v>
      </c>
      <c r="D7" s="30">
        <v>0</v>
      </c>
      <c r="E7" s="30">
        <v>0</v>
      </c>
      <c r="F7" s="30">
        <v>0</v>
      </c>
      <c r="G7" s="31">
        <f>SUM(AK_FINANCIAL)</f>
        <v>0</v>
      </c>
      <c r="H7" s="30"/>
      <c r="I7" s="32"/>
      <c r="J7" s="33"/>
      <c r="K7" s="30"/>
      <c r="L7" s="29"/>
      <c r="M7" s="30"/>
      <c r="N7" s="30"/>
      <c r="O7" s="30"/>
      <c r="P7" s="30"/>
      <c r="Q7" s="30"/>
      <c r="R7" s="30"/>
      <c r="S7" s="30"/>
      <c r="T7" s="30"/>
      <c r="U7" s="30"/>
      <c r="V7" s="31"/>
    </row>
    <row r="8" spans="1:22">
      <c r="A8" s="1" t="s">
        <v>13</v>
      </c>
      <c r="B8" s="29">
        <v>10009.955824345025</v>
      </c>
      <c r="C8" s="30">
        <v>1063400.6303061601</v>
      </c>
      <c r="D8" s="30">
        <v>0</v>
      </c>
      <c r="E8" s="30">
        <v>0</v>
      </c>
      <c r="F8" s="30">
        <v>0</v>
      </c>
      <c r="G8" s="31">
        <f>SUM(AZ_FINANCIAL)</f>
        <v>1073410.5861305052</v>
      </c>
      <c r="H8" s="30"/>
      <c r="I8" s="34" t="s">
        <v>14</v>
      </c>
      <c r="J8" s="35"/>
      <c r="K8" s="30"/>
      <c r="L8" s="29">
        <v>3960</v>
      </c>
      <c r="M8" s="30">
        <v>0</v>
      </c>
      <c r="N8" s="30"/>
      <c r="O8" s="30">
        <v>656757</v>
      </c>
      <c r="P8" s="30">
        <v>0</v>
      </c>
      <c r="Q8" s="30"/>
      <c r="R8" s="30">
        <v>0</v>
      </c>
      <c r="S8" s="30">
        <v>0</v>
      </c>
      <c r="T8" s="30"/>
      <c r="U8" s="30">
        <v>0</v>
      </c>
      <c r="V8" s="31">
        <v>0</v>
      </c>
    </row>
    <row r="9" spans="1:22">
      <c r="A9" s="1" t="s">
        <v>15</v>
      </c>
      <c r="B9" s="29">
        <v>0</v>
      </c>
      <c r="C9" s="30">
        <v>31152.847078431558</v>
      </c>
      <c r="D9" s="30">
        <v>0</v>
      </c>
      <c r="E9" s="30">
        <v>0</v>
      </c>
      <c r="F9" s="30">
        <v>0</v>
      </c>
      <c r="G9" s="31">
        <f>SUM(AR_FINANCIAL)</f>
        <v>31152.847078431558</v>
      </c>
      <c r="H9" s="30"/>
      <c r="I9" s="34"/>
      <c r="J9" s="35"/>
      <c r="K9" s="30"/>
      <c r="L9" s="29">
        <v>53995</v>
      </c>
      <c r="M9" s="30">
        <v>0</v>
      </c>
      <c r="N9" s="30"/>
      <c r="O9" s="30">
        <v>0</v>
      </c>
      <c r="P9" s="30">
        <v>0</v>
      </c>
      <c r="Q9" s="30"/>
      <c r="R9" s="30">
        <v>0</v>
      </c>
      <c r="S9" s="30">
        <v>0</v>
      </c>
      <c r="T9" s="30"/>
      <c r="U9" s="30">
        <v>0</v>
      </c>
      <c r="V9" s="31">
        <v>0</v>
      </c>
    </row>
    <row r="10" spans="1:22">
      <c r="A10" s="1" t="s">
        <v>16</v>
      </c>
      <c r="B10" s="29">
        <v>12928.170581021808</v>
      </c>
      <c r="C10" s="30">
        <v>173859.91811626701</v>
      </c>
      <c r="D10" s="30">
        <v>0</v>
      </c>
      <c r="E10" s="30">
        <v>0</v>
      </c>
      <c r="F10" s="30">
        <v>0</v>
      </c>
      <c r="G10" s="31">
        <f>SUM(CA_FINANCIAL)</f>
        <v>186788.08869728883</v>
      </c>
      <c r="H10" s="30"/>
      <c r="I10" s="34" t="s">
        <v>17</v>
      </c>
      <c r="J10" s="35">
        <v>190939550.94</v>
      </c>
      <c r="K10" s="30"/>
      <c r="L10" s="29">
        <v>22902</v>
      </c>
      <c r="M10" s="30">
        <v>0</v>
      </c>
      <c r="N10" s="30"/>
      <c r="O10" s="30">
        <v>298758</v>
      </c>
      <c r="P10" s="30">
        <v>130000</v>
      </c>
      <c r="Q10" s="30"/>
      <c r="R10" s="30">
        <v>0</v>
      </c>
      <c r="S10" s="30">
        <v>0</v>
      </c>
      <c r="T10" s="30"/>
      <c r="U10" s="30">
        <v>0</v>
      </c>
      <c r="V10" s="31">
        <v>0</v>
      </c>
    </row>
    <row r="11" spans="1:22">
      <c r="A11" s="1" t="s">
        <v>18</v>
      </c>
      <c r="B11" s="29">
        <v>56291.65827041179</v>
      </c>
      <c r="C11" s="30">
        <v>570410.38157304167</v>
      </c>
      <c r="D11" s="30">
        <v>0</v>
      </c>
      <c r="E11" s="30">
        <v>0</v>
      </c>
      <c r="F11" s="30">
        <v>0</v>
      </c>
      <c r="G11" s="31">
        <f>SUM(CO_FINANCIAL)</f>
        <v>626702.03984345344</v>
      </c>
      <c r="H11" s="30"/>
      <c r="I11" s="34"/>
      <c r="J11" s="35"/>
      <c r="K11" s="30"/>
      <c r="L11" s="29">
        <v>0</v>
      </c>
      <c r="M11" s="30">
        <v>0</v>
      </c>
      <c r="N11" s="30"/>
      <c r="O11" s="30">
        <v>125000</v>
      </c>
      <c r="P11" s="30">
        <v>60000</v>
      </c>
      <c r="Q11" s="30"/>
      <c r="R11" s="30">
        <v>0</v>
      </c>
      <c r="S11" s="30">
        <v>0</v>
      </c>
      <c r="T11" s="30"/>
      <c r="U11" s="30">
        <v>0</v>
      </c>
      <c r="V11" s="31">
        <v>0</v>
      </c>
    </row>
    <row r="12" spans="1:22">
      <c r="A12" s="1" t="s">
        <v>19</v>
      </c>
      <c r="B12" s="29">
        <v>0</v>
      </c>
      <c r="C12" s="30">
        <v>11164.114661889449</v>
      </c>
      <c r="D12" s="30">
        <v>0</v>
      </c>
      <c r="E12" s="30">
        <v>0</v>
      </c>
      <c r="F12" s="30">
        <v>0</v>
      </c>
      <c r="G12" s="31">
        <f>SUM(CT_FINANCIAL)</f>
        <v>11164.114661889449</v>
      </c>
      <c r="H12" s="30"/>
      <c r="I12" s="34" t="s">
        <v>20</v>
      </c>
      <c r="J12" s="35"/>
      <c r="K12" s="30"/>
      <c r="L12" s="29"/>
      <c r="M12" s="30"/>
      <c r="N12" s="30"/>
      <c r="O12" s="30"/>
      <c r="P12" s="30"/>
      <c r="Q12" s="30"/>
      <c r="R12" s="30"/>
      <c r="S12" s="30"/>
      <c r="T12" s="30"/>
      <c r="U12" s="30"/>
      <c r="V12" s="31"/>
    </row>
    <row r="13" spans="1:22">
      <c r="A13" s="1" t="s">
        <v>21</v>
      </c>
      <c r="B13" s="29">
        <v>0</v>
      </c>
      <c r="C13" s="30">
        <v>4559.5330385745201</v>
      </c>
      <c r="D13" s="30">
        <v>0</v>
      </c>
      <c r="E13" s="30">
        <v>0</v>
      </c>
      <c r="F13" s="30">
        <v>0</v>
      </c>
      <c r="G13" s="31">
        <f>SUM(DE_FINANCIAL)</f>
        <v>4559.5330385745201</v>
      </c>
      <c r="H13" s="30"/>
      <c r="I13" s="34" t="s">
        <v>22</v>
      </c>
      <c r="J13" s="35">
        <v>0</v>
      </c>
      <c r="K13" s="30"/>
      <c r="L13" s="29">
        <v>0</v>
      </c>
      <c r="M13" s="30">
        <v>0</v>
      </c>
      <c r="N13" s="30"/>
      <c r="O13" s="30">
        <v>10500</v>
      </c>
      <c r="P13" s="30">
        <v>0</v>
      </c>
      <c r="Q13" s="30"/>
      <c r="R13" s="30">
        <v>0</v>
      </c>
      <c r="S13" s="30">
        <v>0</v>
      </c>
      <c r="T13" s="30"/>
      <c r="U13" s="30">
        <v>0</v>
      </c>
      <c r="V13" s="31">
        <v>0</v>
      </c>
    </row>
    <row r="14" spans="1:22">
      <c r="A14" s="1" t="s">
        <v>23</v>
      </c>
      <c r="B14" s="29">
        <v>0</v>
      </c>
      <c r="C14" s="30">
        <v>0</v>
      </c>
      <c r="D14" s="30">
        <v>0</v>
      </c>
      <c r="E14" s="30">
        <v>0</v>
      </c>
      <c r="F14" s="30">
        <v>0</v>
      </c>
      <c r="G14" s="31">
        <f>SUM(DC_FINANCIAL)</f>
        <v>0</v>
      </c>
      <c r="H14" s="30"/>
      <c r="I14" s="34" t="s">
        <v>24</v>
      </c>
      <c r="J14" s="35">
        <v>0</v>
      </c>
      <c r="K14" s="30"/>
      <c r="L14" s="29"/>
      <c r="M14" s="30"/>
      <c r="N14" s="30"/>
      <c r="O14" s="30"/>
      <c r="P14" s="30"/>
      <c r="Q14" s="30"/>
      <c r="R14" s="30"/>
      <c r="S14" s="30"/>
      <c r="T14" s="30"/>
      <c r="U14" s="30"/>
      <c r="V14" s="31"/>
    </row>
    <row r="15" spans="1:22">
      <c r="A15" s="1" t="s">
        <v>25</v>
      </c>
      <c r="B15" s="29">
        <v>37796.885037794142</v>
      </c>
      <c r="C15" s="30">
        <v>1232498.4478503249</v>
      </c>
      <c r="D15" s="30">
        <v>0</v>
      </c>
      <c r="E15" s="30">
        <v>0</v>
      </c>
      <c r="F15" s="30">
        <v>0</v>
      </c>
      <c r="G15" s="31">
        <f>SUM(FL_FINANCIAL)</f>
        <v>1270295.3328881192</v>
      </c>
      <c r="H15" s="30"/>
      <c r="I15" s="34" t="s">
        <v>26</v>
      </c>
      <c r="J15" s="35">
        <v>1707228.62</v>
      </c>
      <c r="K15" s="30"/>
      <c r="L15" s="29">
        <v>140100</v>
      </c>
      <c r="M15" s="30">
        <v>0</v>
      </c>
      <c r="N15" s="30"/>
      <c r="O15" s="30">
        <v>1600000</v>
      </c>
      <c r="P15" s="30">
        <v>0</v>
      </c>
      <c r="Q15" s="30"/>
      <c r="R15" s="30">
        <v>0</v>
      </c>
      <c r="S15" s="30">
        <v>0</v>
      </c>
      <c r="T15" s="30"/>
      <c r="U15" s="30">
        <v>0</v>
      </c>
      <c r="V15" s="31">
        <v>0</v>
      </c>
    </row>
    <row r="16" spans="1:22">
      <c r="A16" s="1" t="s">
        <v>27</v>
      </c>
      <c r="B16" s="29">
        <v>45430.692084968854</v>
      </c>
      <c r="C16" s="30">
        <v>588879.34288418107</v>
      </c>
      <c r="D16" s="30">
        <v>0</v>
      </c>
      <c r="E16" s="30">
        <v>0</v>
      </c>
      <c r="F16" s="30">
        <v>0</v>
      </c>
      <c r="G16" s="31">
        <f>SUM(GA_FINANCIAL)</f>
        <v>634310.03496914997</v>
      </c>
      <c r="H16" s="30"/>
      <c r="I16" s="34" t="s">
        <v>28</v>
      </c>
      <c r="J16" s="35">
        <v>0</v>
      </c>
      <c r="K16" s="30"/>
      <c r="L16" s="29">
        <v>64460</v>
      </c>
      <c r="M16" s="30">
        <v>0</v>
      </c>
      <c r="N16" s="30"/>
      <c r="O16" s="30">
        <v>935540</v>
      </c>
      <c r="P16" s="30">
        <v>45913.35</v>
      </c>
      <c r="Q16" s="30"/>
      <c r="R16" s="30">
        <v>0</v>
      </c>
      <c r="S16" s="30">
        <v>0</v>
      </c>
      <c r="T16" s="30"/>
      <c r="U16" s="30">
        <v>0</v>
      </c>
      <c r="V16" s="31">
        <v>0</v>
      </c>
    </row>
    <row r="17" spans="1:22">
      <c r="A17" s="1" t="s">
        <v>29</v>
      </c>
      <c r="B17" s="29">
        <v>0</v>
      </c>
      <c r="C17" s="30">
        <v>0</v>
      </c>
      <c r="D17" s="30">
        <v>0</v>
      </c>
      <c r="E17" s="30">
        <v>0</v>
      </c>
      <c r="F17" s="30">
        <v>0</v>
      </c>
      <c r="G17" s="31">
        <f>SUM(HI_FINANCIAL)</f>
        <v>0</v>
      </c>
      <c r="H17" s="30"/>
      <c r="I17" s="34"/>
      <c r="J17" s="35"/>
      <c r="K17" s="30"/>
      <c r="L17" s="29"/>
      <c r="M17" s="30"/>
      <c r="N17" s="30"/>
      <c r="O17" s="30"/>
      <c r="P17" s="30"/>
      <c r="Q17" s="30"/>
      <c r="R17" s="30"/>
      <c r="S17" s="30"/>
      <c r="T17" s="30"/>
      <c r="U17" s="30"/>
      <c r="V17" s="31"/>
    </row>
    <row r="18" spans="1:22">
      <c r="A18" s="1" t="s">
        <v>30</v>
      </c>
      <c r="B18" s="29">
        <v>12113.018123164646</v>
      </c>
      <c r="C18" s="30">
        <v>432837.9705067313</v>
      </c>
      <c r="D18" s="30">
        <v>0</v>
      </c>
      <c r="E18" s="30">
        <v>0</v>
      </c>
      <c r="F18" s="30">
        <v>0</v>
      </c>
      <c r="G18" s="31">
        <f>SUM(ID_FINANCIAL)</f>
        <v>444950.98862989596</v>
      </c>
      <c r="H18" s="30"/>
      <c r="I18" s="34" t="s">
        <v>31</v>
      </c>
      <c r="J18" s="35"/>
      <c r="K18" s="30"/>
      <c r="L18" s="29">
        <v>22330</v>
      </c>
      <c r="M18" s="30">
        <v>0</v>
      </c>
      <c r="N18" s="30"/>
      <c r="O18" s="30">
        <v>677670</v>
      </c>
      <c r="P18" s="30">
        <v>0</v>
      </c>
      <c r="Q18" s="30"/>
      <c r="R18" s="30">
        <v>0</v>
      </c>
      <c r="S18" s="30">
        <v>0</v>
      </c>
      <c r="T18" s="30"/>
      <c r="U18" s="30">
        <v>0</v>
      </c>
      <c r="V18" s="31">
        <v>0</v>
      </c>
    </row>
    <row r="19" spans="1:22">
      <c r="A19" s="1" t="s">
        <v>32</v>
      </c>
      <c r="B19" s="29">
        <v>30251.278544995592</v>
      </c>
      <c r="C19" s="30">
        <v>432977.4499570136</v>
      </c>
      <c r="D19" s="30">
        <v>0</v>
      </c>
      <c r="E19" s="30">
        <v>0</v>
      </c>
      <c r="F19" s="30">
        <v>0</v>
      </c>
      <c r="G19" s="31">
        <f>SUM(IL_FINANCIAL)</f>
        <v>463228.72850200918</v>
      </c>
      <c r="H19" s="30"/>
      <c r="I19" s="34" t="s">
        <v>33</v>
      </c>
      <c r="J19" s="35">
        <v>176081408.505</v>
      </c>
      <c r="K19" s="30"/>
      <c r="L19" s="29">
        <v>75000</v>
      </c>
      <c r="M19" s="30">
        <v>0</v>
      </c>
      <c r="N19" s="30"/>
      <c r="O19" s="30">
        <v>750000</v>
      </c>
      <c r="P19" s="30">
        <v>200000</v>
      </c>
      <c r="Q19" s="30"/>
      <c r="R19" s="30">
        <v>0</v>
      </c>
      <c r="S19" s="30">
        <v>0</v>
      </c>
      <c r="T19" s="30"/>
      <c r="U19" s="30">
        <v>0</v>
      </c>
      <c r="V19" s="31">
        <v>0</v>
      </c>
    </row>
    <row r="20" spans="1:22">
      <c r="A20" s="1" t="s">
        <v>34</v>
      </c>
      <c r="B20" s="29">
        <v>51620.402225595353</v>
      </c>
      <c r="C20" s="30">
        <v>582272.31157752243</v>
      </c>
      <c r="D20" s="30">
        <v>0</v>
      </c>
      <c r="E20" s="30">
        <v>0</v>
      </c>
      <c r="F20" s="30">
        <v>0</v>
      </c>
      <c r="G20" s="31">
        <f>SUM(IN_FINANCIAL)</f>
        <v>633892.71380311775</v>
      </c>
      <c r="H20" s="30"/>
      <c r="I20" s="34" t="s">
        <v>35</v>
      </c>
      <c r="J20" s="35">
        <v>250452.43500007124</v>
      </c>
      <c r="K20" s="30"/>
      <c r="L20" s="29"/>
      <c r="M20" s="30"/>
      <c r="N20" s="30"/>
      <c r="O20" s="30"/>
      <c r="P20" s="30"/>
      <c r="Q20" s="30"/>
      <c r="R20" s="30"/>
      <c r="S20" s="30"/>
      <c r="T20" s="30"/>
      <c r="U20" s="30"/>
      <c r="V20" s="31"/>
    </row>
    <row r="21" spans="1:22">
      <c r="A21" s="1" t="s">
        <v>36</v>
      </c>
      <c r="B21" s="29">
        <v>0</v>
      </c>
      <c r="C21" s="30">
        <v>-4.6566128730773926E-10</v>
      </c>
      <c r="D21" s="30">
        <v>0</v>
      </c>
      <c r="E21" s="30">
        <v>0</v>
      </c>
      <c r="F21" s="30">
        <v>0</v>
      </c>
      <c r="G21" s="31">
        <f>SUM(IA_FINANCIAL)</f>
        <v>-4.6566128730773926E-10</v>
      </c>
      <c r="H21" s="30"/>
      <c r="I21" s="34" t="s">
        <v>37</v>
      </c>
      <c r="J21" s="35"/>
      <c r="K21" s="30"/>
      <c r="L21" s="29"/>
      <c r="M21" s="30"/>
      <c r="N21" s="30"/>
      <c r="O21" s="30"/>
      <c r="P21" s="30"/>
      <c r="Q21" s="30"/>
      <c r="R21" s="30"/>
      <c r="S21" s="30"/>
      <c r="T21" s="30"/>
      <c r="U21" s="30"/>
      <c r="V21" s="31"/>
    </row>
    <row r="22" spans="1:22">
      <c r="A22" s="1" t="s">
        <v>38</v>
      </c>
      <c r="B22" s="29">
        <v>10961.873710433116</v>
      </c>
      <c r="C22" s="30">
        <v>216885.59256377228</v>
      </c>
      <c r="D22" s="30">
        <v>0</v>
      </c>
      <c r="E22" s="30">
        <v>0</v>
      </c>
      <c r="F22" s="30">
        <v>0</v>
      </c>
      <c r="G22" s="31">
        <f>SUM(KS_FINANCIAL)</f>
        <v>227847.46627420539</v>
      </c>
      <c r="H22" s="30"/>
      <c r="I22" s="34" t="s">
        <v>39</v>
      </c>
      <c r="J22" s="35">
        <v>0</v>
      </c>
      <c r="K22" s="30"/>
      <c r="L22" s="29">
        <v>0</v>
      </c>
      <c r="M22" s="30">
        <v>0</v>
      </c>
      <c r="N22" s="30"/>
      <c r="O22" s="30">
        <v>250000</v>
      </c>
      <c r="P22" s="30">
        <v>0</v>
      </c>
      <c r="Q22" s="30"/>
      <c r="R22" s="30">
        <v>0</v>
      </c>
      <c r="S22" s="30">
        <v>0</v>
      </c>
      <c r="T22" s="30"/>
      <c r="U22" s="30">
        <v>0</v>
      </c>
      <c r="V22" s="31">
        <v>0</v>
      </c>
    </row>
    <row r="23" spans="1:22">
      <c r="A23" s="1" t="s">
        <v>40</v>
      </c>
      <c r="B23" s="29">
        <v>1264.0964243215658</v>
      </c>
      <c r="C23" s="30">
        <v>54984.063423921347</v>
      </c>
      <c r="D23" s="30">
        <v>0</v>
      </c>
      <c r="E23" s="30">
        <v>0</v>
      </c>
      <c r="F23" s="30">
        <v>0</v>
      </c>
      <c r="G23" s="31">
        <f>SUM(KY_FINANCIAL)</f>
        <v>56248.159848242911</v>
      </c>
      <c r="H23" s="30"/>
      <c r="I23" s="34" t="s">
        <v>41</v>
      </c>
      <c r="J23" s="35"/>
      <c r="K23" s="30"/>
      <c r="L23" s="29">
        <v>0</v>
      </c>
      <c r="M23" s="30">
        <v>0</v>
      </c>
      <c r="N23" s="30"/>
      <c r="O23" s="30">
        <v>125172</v>
      </c>
      <c r="P23" s="30">
        <v>60390</v>
      </c>
      <c r="Q23" s="30"/>
      <c r="R23" s="30">
        <v>0</v>
      </c>
      <c r="S23" s="30">
        <v>0</v>
      </c>
      <c r="T23" s="30"/>
      <c r="U23" s="30">
        <v>0</v>
      </c>
      <c r="V23" s="31">
        <v>0</v>
      </c>
    </row>
    <row r="24" spans="1:22">
      <c r="A24" s="1" t="s">
        <v>42</v>
      </c>
      <c r="B24" s="29">
        <v>0</v>
      </c>
      <c r="C24" s="30">
        <v>77012.260869034304</v>
      </c>
      <c r="D24" s="30">
        <v>0</v>
      </c>
      <c r="E24" s="30">
        <v>0</v>
      </c>
      <c r="F24" s="30">
        <v>0</v>
      </c>
      <c r="G24" s="31">
        <f>SUM(LA_FINANCIAL)</f>
        <v>77012.260869034304</v>
      </c>
      <c r="H24" s="30"/>
      <c r="I24" s="34" t="s">
        <v>43</v>
      </c>
      <c r="J24" s="35">
        <v>5138282.9999999991</v>
      </c>
      <c r="K24" s="30"/>
      <c r="L24" s="29">
        <v>5650</v>
      </c>
      <c r="M24" s="30">
        <v>0</v>
      </c>
      <c r="N24" s="30"/>
      <c r="O24" s="30">
        <v>107350</v>
      </c>
      <c r="P24" s="30">
        <v>0</v>
      </c>
      <c r="Q24" s="30"/>
      <c r="R24" s="30">
        <v>0</v>
      </c>
      <c r="S24" s="30">
        <v>0</v>
      </c>
      <c r="T24" s="30"/>
      <c r="U24" s="30">
        <v>0</v>
      </c>
      <c r="V24" s="31">
        <v>0</v>
      </c>
    </row>
    <row r="25" spans="1:22">
      <c r="A25" s="1" t="s">
        <v>44</v>
      </c>
      <c r="B25" s="29">
        <v>8811.5221343022404</v>
      </c>
      <c r="C25" s="30">
        <v>180810.33867395355</v>
      </c>
      <c r="D25" s="30">
        <v>0</v>
      </c>
      <c r="E25" s="30">
        <v>0</v>
      </c>
      <c r="F25" s="30">
        <v>0</v>
      </c>
      <c r="G25" s="31">
        <f>SUM(ME_FINANCIAL)</f>
        <v>189621.86080825579</v>
      </c>
      <c r="H25" s="30"/>
      <c r="I25" s="34"/>
      <c r="J25" s="35"/>
      <c r="K25" s="30"/>
      <c r="L25" s="29">
        <v>12350</v>
      </c>
      <c r="M25" s="30">
        <v>0</v>
      </c>
      <c r="N25" s="30"/>
      <c r="O25" s="30">
        <v>292650</v>
      </c>
      <c r="P25" s="30">
        <v>0</v>
      </c>
      <c r="Q25" s="30"/>
      <c r="R25" s="30">
        <v>0</v>
      </c>
      <c r="S25" s="30">
        <v>0</v>
      </c>
      <c r="T25" s="30"/>
      <c r="U25" s="30">
        <v>0</v>
      </c>
      <c r="V25" s="31">
        <v>0</v>
      </c>
    </row>
    <row r="26" spans="1:22">
      <c r="A26" s="1" t="s">
        <v>45</v>
      </c>
      <c r="B26" s="29">
        <v>3359.7728076700696</v>
      </c>
      <c r="C26" s="30">
        <v>35741.119168891004</v>
      </c>
      <c r="D26" s="30">
        <v>0</v>
      </c>
      <c r="E26" s="30">
        <v>0</v>
      </c>
      <c r="F26" s="30">
        <v>0</v>
      </c>
      <c r="G26" s="31">
        <f>SUM(MD_FINANCIAL)</f>
        <v>39100.891976561077</v>
      </c>
      <c r="H26" s="30"/>
      <c r="I26" s="34" t="s">
        <v>46</v>
      </c>
      <c r="J26" s="35">
        <f>SUM(ADD_FINANCIAL)-SUM(LESS_FINANCIAL)</f>
        <v>11176635.619999945</v>
      </c>
      <c r="K26" s="30"/>
      <c r="L26" s="29">
        <v>4000</v>
      </c>
      <c r="M26" s="30">
        <v>0</v>
      </c>
      <c r="N26" s="30"/>
      <c r="O26" s="30">
        <v>66000</v>
      </c>
      <c r="P26" s="30">
        <v>0</v>
      </c>
      <c r="Q26" s="30"/>
      <c r="R26" s="30">
        <v>0</v>
      </c>
      <c r="S26" s="30">
        <v>0</v>
      </c>
      <c r="T26" s="30"/>
      <c r="U26" s="30">
        <v>0</v>
      </c>
      <c r="V26" s="31">
        <v>0</v>
      </c>
    </row>
    <row r="27" spans="1:22">
      <c r="A27" s="1" t="s">
        <v>47</v>
      </c>
      <c r="B27" s="29">
        <v>0</v>
      </c>
      <c r="C27" s="30">
        <v>0</v>
      </c>
      <c r="D27" s="30">
        <v>0</v>
      </c>
      <c r="E27" s="30">
        <v>0</v>
      </c>
      <c r="F27" s="30">
        <v>0</v>
      </c>
      <c r="G27" s="31">
        <f>SUM(MA_FINANCIAL)</f>
        <v>0</v>
      </c>
      <c r="H27" s="30"/>
      <c r="I27" s="34" t="s">
        <v>48</v>
      </c>
      <c r="J27" s="35">
        <f>SUM(ALL_BLOCKS)</f>
        <v>11176635.619999932</v>
      </c>
      <c r="K27" s="30"/>
      <c r="L27" s="29"/>
      <c r="M27" s="30"/>
      <c r="N27" s="30"/>
      <c r="O27" s="30"/>
      <c r="P27" s="30"/>
      <c r="Q27" s="30"/>
      <c r="R27" s="30"/>
      <c r="S27" s="30"/>
      <c r="T27" s="30"/>
      <c r="U27" s="30"/>
      <c r="V27" s="31"/>
    </row>
    <row r="28" spans="1:22">
      <c r="A28" s="1" t="s">
        <v>49</v>
      </c>
      <c r="B28" s="29">
        <v>0</v>
      </c>
      <c r="C28" s="30">
        <v>0</v>
      </c>
      <c r="D28" s="30">
        <v>0</v>
      </c>
      <c r="E28" s="30">
        <v>0</v>
      </c>
      <c r="F28" s="30">
        <v>0</v>
      </c>
      <c r="G28" s="31">
        <f>SUM(MI_FINANCIAL)</f>
        <v>0</v>
      </c>
      <c r="H28" s="30"/>
      <c r="I28" s="36"/>
      <c r="J28" s="37"/>
      <c r="K28" s="30"/>
      <c r="L28" s="29"/>
      <c r="M28" s="30"/>
      <c r="N28" s="30"/>
      <c r="O28" s="30"/>
      <c r="P28" s="30"/>
      <c r="Q28" s="30"/>
      <c r="R28" s="30"/>
      <c r="S28" s="30"/>
      <c r="T28" s="30"/>
      <c r="U28" s="30"/>
      <c r="V28" s="31"/>
    </row>
    <row r="29" spans="1:22">
      <c r="A29" s="1" t="s">
        <v>50</v>
      </c>
      <c r="B29" s="29">
        <v>0</v>
      </c>
      <c r="C29" s="30">
        <v>0</v>
      </c>
      <c r="D29" s="30">
        <v>0</v>
      </c>
      <c r="E29" s="30">
        <v>0</v>
      </c>
      <c r="F29" s="30">
        <v>0</v>
      </c>
      <c r="G29" s="31">
        <f>SUM(MN_FINANCIAL)</f>
        <v>0</v>
      </c>
      <c r="H29" s="30"/>
      <c r="I29" s="30"/>
      <c r="J29" s="30"/>
      <c r="K29" s="30"/>
      <c r="L29" s="29"/>
      <c r="M29" s="30"/>
      <c r="N29" s="30"/>
      <c r="O29" s="30"/>
      <c r="P29" s="30"/>
      <c r="Q29" s="30"/>
      <c r="R29" s="30"/>
      <c r="S29" s="30"/>
      <c r="T29" s="30"/>
      <c r="U29" s="30"/>
      <c r="V29" s="31"/>
    </row>
    <row r="30" spans="1:22">
      <c r="A30" s="1" t="s">
        <v>51</v>
      </c>
      <c r="B30" s="29">
        <v>0</v>
      </c>
      <c r="C30" s="30">
        <v>56247.356603770459</v>
      </c>
      <c r="D30" s="30">
        <v>0</v>
      </c>
      <c r="E30" s="30">
        <v>0</v>
      </c>
      <c r="F30" s="30">
        <v>0</v>
      </c>
      <c r="G30" s="31">
        <f>SUM(MS_FINANCIAL)</f>
        <v>56247.356603770459</v>
      </c>
      <c r="H30" s="30"/>
      <c r="I30" s="30"/>
      <c r="J30" s="30"/>
      <c r="K30" s="30"/>
      <c r="L30" s="29">
        <v>0</v>
      </c>
      <c r="M30" s="30">
        <v>0</v>
      </c>
      <c r="N30" s="30"/>
      <c r="O30" s="30">
        <v>54422</v>
      </c>
      <c r="P30" s="30">
        <v>0</v>
      </c>
      <c r="Q30" s="30"/>
      <c r="R30" s="30">
        <v>0</v>
      </c>
      <c r="S30" s="30">
        <v>0</v>
      </c>
      <c r="T30" s="30"/>
      <c r="U30" s="30">
        <v>0</v>
      </c>
      <c r="V30" s="31">
        <v>0</v>
      </c>
    </row>
    <row r="31" spans="1:22">
      <c r="A31" s="1" t="s">
        <v>52</v>
      </c>
      <c r="B31" s="29">
        <v>18298.32239196889</v>
      </c>
      <c r="C31" s="30">
        <v>774056.65162775887</v>
      </c>
      <c r="D31" s="30">
        <v>0</v>
      </c>
      <c r="E31" s="30">
        <v>0</v>
      </c>
      <c r="F31" s="30">
        <v>0</v>
      </c>
      <c r="G31" s="31">
        <f>SUM(MO_FINANCIAL)</f>
        <v>792354.97401972779</v>
      </c>
      <c r="H31" s="30"/>
      <c r="I31" s="30"/>
      <c r="J31" s="30"/>
      <c r="K31" s="30"/>
      <c r="L31" s="29">
        <v>0</v>
      </c>
      <c r="M31" s="30">
        <v>0</v>
      </c>
      <c r="N31" s="30"/>
      <c r="O31" s="30">
        <v>1852021</v>
      </c>
      <c r="P31" s="30">
        <v>0</v>
      </c>
      <c r="Q31" s="30"/>
      <c r="R31" s="30">
        <v>0</v>
      </c>
      <c r="S31" s="30">
        <v>0</v>
      </c>
      <c r="T31" s="30"/>
      <c r="U31" s="30">
        <v>0</v>
      </c>
      <c r="V31" s="31">
        <v>0</v>
      </c>
    </row>
    <row r="32" spans="1:22">
      <c r="A32" s="1" t="s">
        <v>53</v>
      </c>
      <c r="B32" s="29">
        <v>286.41942255182676</v>
      </c>
      <c r="C32" s="30">
        <v>107377.88777935733</v>
      </c>
      <c r="D32" s="30">
        <v>0</v>
      </c>
      <c r="E32" s="30">
        <v>0</v>
      </c>
      <c r="F32" s="30">
        <v>0</v>
      </c>
      <c r="G32" s="31">
        <f>SUM(MT_FINANCIAL)</f>
        <v>107664.30720190916</v>
      </c>
      <c r="H32" s="30"/>
      <c r="I32" s="30"/>
      <c r="J32" s="30"/>
      <c r="K32" s="30"/>
      <c r="L32" s="29">
        <v>0</v>
      </c>
      <c r="M32" s="30">
        <v>0</v>
      </c>
      <c r="N32" s="30"/>
      <c r="O32" s="30">
        <v>160000</v>
      </c>
      <c r="P32" s="30">
        <v>0</v>
      </c>
      <c r="Q32" s="30"/>
      <c r="R32" s="30">
        <v>0</v>
      </c>
      <c r="S32" s="30">
        <v>0</v>
      </c>
      <c r="T32" s="30"/>
      <c r="U32" s="30">
        <v>0</v>
      </c>
      <c r="V32" s="31">
        <v>0</v>
      </c>
    </row>
    <row r="33" spans="1:22">
      <c r="A33" s="1" t="s">
        <v>54</v>
      </c>
      <c r="B33" s="29">
        <v>14954.441321092085</v>
      </c>
      <c r="C33" s="30">
        <v>455785.42797848268</v>
      </c>
      <c r="D33" s="30">
        <v>0</v>
      </c>
      <c r="E33" s="30">
        <v>0</v>
      </c>
      <c r="F33" s="30">
        <v>0</v>
      </c>
      <c r="G33" s="31">
        <f>SUM(NE_FINANCIAL)</f>
        <v>470739.86929957476</v>
      </c>
      <c r="H33" s="30"/>
      <c r="I33" s="30"/>
      <c r="J33" s="30"/>
      <c r="K33" s="30"/>
      <c r="L33" s="29">
        <v>23000</v>
      </c>
      <c r="M33" s="30">
        <v>0</v>
      </c>
      <c r="N33" s="30"/>
      <c r="O33" s="30">
        <v>747728</v>
      </c>
      <c r="P33" s="30">
        <v>0</v>
      </c>
      <c r="Q33" s="30"/>
      <c r="R33" s="30">
        <v>0</v>
      </c>
      <c r="S33" s="30">
        <v>0</v>
      </c>
      <c r="T33" s="30"/>
      <c r="U33" s="30">
        <v>0</v>
      </c>
      <c r="V33" s="31">
        <v>0</v>
      </c>
    </row>
    <row r="34" spans="1:22">
      <c r="A34" s="1" t="s">
        <v>55</v>
      </c>
      <c r="B34" s="29">
        <v>6517.7295116900059</v>
      </c>
      <c r="C34" s="30">
        <v>79482.847731417656</v>
      </c>
      <c r="D34" s="30">
        <v>0</v>
      </c>
      <c r="E34" s="30">
        <v>0</v>
      </c>
      <c r="F34" s="30">
        <v>0</v>
      </c>
      <c r="G34" s="31">
        <f>SUM(NV_FINANCIAL)</f>
        <v>86000.577243107662</v>
      </c>
      <c r="H34" s="30"/>
      <c r="I34" s="30"/>
      <c r="J34" s="30"/>
      <c r="K34" s="30"/>
      <c r="L34" s="29">
        <v>6900</v>
      </c>
      <c r="M34" s="30">
        <v>0</v>
      </c>
      <c r="N34" s="30"/>
      <c r="O34" s="30">
        <v>91000</v>
      </c>
      <c r="P34" s="30">
        <v>0</v>
      </c>
      <c r="Q34" s="30"/>
      <c r="R34" s="30">
        <v>0</v>
      </c>
      <c r="S34" s="30">
        <v>0</v>
      </c>
      <c r="T34" s="30"/>
      <c r="U34" s="30">
        <v>0</v>
      </c>
      <c r="V34" s="31">
        <v>0</v>
      </c>
    </row>
    <row r="35" spans="1:22">
      <c r="A35" s="1" t="s">
        <v>56</v>
      </c>
      <c r="B35" s="29">
        <v>0</v>
      </c>
      <c r="C35" s="30">
        <v>72467.262056729684</v>
      </c>
      <c r="D35" s="30">
        <v>0</v>
      </c>
      <c r="E35" s="30">
        <v>0</v>
      </c>
      <c r="F35" s="30">
        <v>0</v>
      </c>
      <c r="G35" s="31">
        <f>SUM(NH_FINANCIAL)</f>
        <v>72467.262056729684</v>
      </c>
      <c r="H35" s="30"/>
      <c r="I35" s="30"/>
      <c r="J35" s="30"/>
      <c r="K35" s="30"/>
      <c r="L35" s="29">
        <v>0</v>
      </c>
      <c r="M35" s="30">
        <v>0</v>
      </c>
      <c r="N35" s="30"/>
      <c r="O35" s="30">
        <v>100000</v>
      </c>
      <c r="P35" s="30">
        <v>0</v>
      </c>
      <c r="Q35" s="30"/>
      <c r="R35" s="30">
        <v>0</v>
      </c>
      <c r="S35" s="30">
        <v>0</v>
      </c>
      <c r="T35" s="30"/>
      <c r="U35" s="30">
        <v>0</v>
      </c>
      <c r="V35" s="31">
        <v>0</v>
      </c>
    </row>
    <row r="36" spans="1:22">
      <c r="A36" s="1" t="s">
        <v>57</v>
      </c>
      <c r="B36" s="29">
        <v>0</v>
      </c>
      <c r="C36" s="30">
        <v>-9.3132257461547852E-10</v>
      </c>
      <c r="D36" s="30">
        <v>0</v>
      </c>
      <c r="E36" s="30">
        <v>0</v>
      </c>
      <c r="F36" s="30">
        <v>0</v>
      </c>
      <c r="G36" s="31">
        <f>SUM(NJ_FINANCIAL)</f>
        <v>-9.3132257461547852E-10</v>
      </c>
      <c r="H36" s="30"/>
      <c r="I36" s="30"/>
      <c r="J36" s="30"/>
      <c r="K36" s="30"/>
      <c r="L36" s="29"/>
      <c r="M36" s="30"/>
      <c r="N36" s="30"/>
      <c r="O36" s="30"/>
      <c r="P36" s="30"/>
      <c r="Q36" s="30"/>
      <c r="R36" s="30"/>
      <c r="S36" s="30"/>
      <c r="T36" s="30"/>
      <c r="U36" s="30"/>
      <c r="V36" s="31"/>
    </row>
    <row r="37" spans="1:22">
      <c r="A37" s="1" t="s">
        <v>58</v>
      </c>
      <c r="B37" s="29">
        <v>568.10571212911225</v>
      </c>
      <c r="C37" s="30">
        <v>194889.64403849823</v>
      </c>
      <c r="D37" s="30">
        <v>0</v>
      </c>
      <c r="E37" s="30">
        <v>0</v>
      </c>
      <c r="F37" s="30">
        <v>0</v>
      </c>
      <c r="G37" s="31">
        <f>SUM(NM_FINANCIAL)</f>
        <v>195457.74975062735</v>
      </c>
      <c r="H37" s="30"/>
      <c r="I37" s="30"/>
      <c r="J37" s="30"/>
      <c r="K37" s="30"/>
      <c r="L37" s="29"/>
      <c r="M37" s="30"/>
      <c r="N37" s="30"/>
      <c r="O37" s="30"/>
      <c r="P37" s="30"/>
      <c r="Q37" s="30"/>
      <c r="R37" s="30"/>
      <c r="S37" s="30"/>
      <c r="T37" s="30"/>
      <c r="U37" s="30"/>
      <c r="V37" s="31"/>
    </row>
    <row r="38" spans="1:22">
      <c r="A38" s="1" t="s">
        <v>59</v>
      </c>
      <c r="B38" s="29">
        <v>0</v>
      </c>
      <c r="C38" s="30">
        <v>0</v>
      </c>
      <c r="D38" s="30">
        <v>0</v>
      </c>
      <c r="E38" s="30">
        <v>0</v>
      </c>
      <c r="F38" s="30">
        <v>0</v>
      </c>
      <c r="G38" s="31">
        <f>SUM(NY_FINANCIAL)</f>
        <v>0</v>
      </c>
      <c r="H38" s="30"/>
      <c r="I38" s="30"/>
      <c r="J38" s="30"/>
      <c r="K38" s="30"/>
      <c r="L38" s="29"/>
      <c r="M38" s="30"/>
      <c r="N38" s="30"/>
      <c r="O38" s="30"/>
      <c r="P38" s="30"/>
      <c r="Q38" s="30"/>
      <c r="R38" s="30"/>
      <c r="S38" s="30"/>
      <c r="T38" s="30"/>
      <c r="U38" s="30"/>
      <c r="V38" s="31"/>
    </row>
    <row r="39" spans="1:22">
      <c r="A39" s="1" t="s">
        <v>60</v>
      </c>
      <c r="B39" s="29">
        <v>0</v>
      </c>
      <c r="C39" s="30">
        <v>0</v>
      </c>
      <c r="D39" s="30">
        <v>0</v>
      </c>
      <c r="E39" s="30">
        <v>0</v>
      </c>
      <c r="F39" s="30">
        <v>0</v>
      </c>
      <c r="G39" s="31">
        <f>SUM(NC_FINANCIAL)</f>
        <v>0</v>
      </c>
      <c r="H39" s="30"/>
      <c r="I39" s="30"/>
      <c r="J39" s="30"/>
      <c r="K39" s="30"/>
      <c r="L39" s="29"/>
      <c r="M39" s="30"/>
      <c r="N39" s="30"/>
      <c r="O39" s="30"/>
      <c r="P39" s="30"/>
      <c r="Q39" s="30"/>
      <c r="R39" s="30"/>
      <c r="S39" s="30"/>
      <c r="T39" s="30"/>
      <c r="U39" s="30"/>
      <c r="V39" s="31"/>
    </row>
    <row r="40" spans="1:22">
      <c r="A40" s="1" t="s">
        <v>61</v>
      </c>
      <c r="B40" s="29">
        <v>0</v>
      </c>
      <c r="C40" s="30">
        <v>0</v>
      </c>
      <c r="D40" s="30">
        <v>0</v>
      </c>
      <c r="E40" s="30">
        <v>0</v>
      </c>
      <c r="F40" s="30">
        <v>0</v>
      </c>
      <c r="G40" s="31">
        <f>SUM(ND_FINANCIAL)</f>
        <v>0</v>
      </c>
      <c r="H40" s="30"/>
      <c r="I40" s="30"/>
      <c r="J40" s="30"/>
      <c r="K40" s="30"/>
      <c r="L40" s="29"/>
      <c r="M40" s="30"/>
      <c r="N40" s="30"/>
      <c r="O40" s="30"/>
      <c r="P40" s="30"/>
      <c r="Q40" s="30"/>
      <c r="R40" s="30"/>
      <c r="S40" s="30"/>
      <c r="T40" s="30"/>
      <c r="U40" s="30"/>
      <c r="V40" s="31"/>
    </row>
    <row r="41" spans="1:22">
      <c r="A41" s="1" t="s">
        <v>62</v>
      </c>
      <c r="B41" s="29">
        <v>93769.819181190411</v>
      </c>
      <c r="C41" s="30">
        <v>789102.28498801915</v>
      </c>
      <c r="D41" s="30">
        <v>0</v>
      </c>
      <c r="E41" s="30">
        <v>0</v>
      </c>
      <c r="F41" s="30">
        <v>0</v>
      </c>
      <c r="G41" s="31">
        <f>SUM(OH_FINANCIAL)</f>
        <v>882872.1041692096</v>
      </c>
      <c r="H41" s="30"/>
      <c r="I41" s="30"/>
      <c r="J41" s="30"/>
      <c r="K41" s="30"/>
      <c r="L41" s="29">
        <v>130000</v>
      </c>
      <c r="M41" s="30">
        <v>0</v>
      </c>
      <c r="N41" s="30"/>
      <c r="O41" s="30">
        <v>1070000</v>
      </c>
      <c r="P41" s="30">
        <v>0</v>
      </c>
      <c r="Q41" s="30"/>
      <c r="R41" s="30">
        <v>0</v>
      </c>
      <c r="S41" s="30">
        <v>0</v>
      </c>
      <c r="T41" s="30"/>
      <c r="U41" s="30">
        <v>0</v>
      </c>
      <c r="V41" s="31">
        <v>0</v>
      </c>
    </row>
    <row r="42" spans="1:22">
      <c r="A42" s="1" t="s">
        <v>63</v>
      </c>
      <c r="B42" s="29">
        <v>0</v>
      </c>
      <c r="C42" s="30">
        <v>284681.77318788919</v>
      </c>
      <c r="D42" s="30">
        <v>0</v>
      </c>
      <c r="E42" s="30">
        <v>0</v>
      </c>
      <c r="F42" s="30">
        <v>0</v>
      </c>
      <c r="G42" s="31">
        <f>SUM(OK_FINANCIAL)</f>
        <v>284681.77318788919</v>
      </c>
      <c r="H42" s="30"/>
      <c r="I42" s="30"/>
      <c r="J42" s="30"/>
      <c r="K42" s="30"/>
      <c r="L42" s="29">
        <v>0</v>
      </c>
      <c r="M42" s="30">
        <v>0</v>
      </c>
      <c r="N42" s="30"/>
      <c r="O42" s="30">
        <v>600000</v>
      </c>
      <c r="P42" s="30">
        <v>200000</v>
      </c>
      <c r="Q42" s="30"/>
      <c r="R42" s="30">
        <v>0</v>
      </c>
      <c r="S42" s="30">
        <v>0</v>
      </c>
      <c r="T42" s="30"/>
      <c r="U42" s="30">
        <v>0</v>
      </c>
      <c r="V42" s="31">
        <v>0</v>
      </c>
    </row>
    <row r="43" spans="1:22">
      <c r="A43" s="1" t="s">
        <v>64</v>
      </c>
      <c r="B43" s="29">
        <v>0</v>
      </c>
      <c r="C43" s="30">
        <v>29376.097375355406</v>
      </c>
      <c r="D43" s="30">
        <v>0</v>
      </c>
      <c r="E43" s="30">
        <v>0</v>
      </c>
      <c r="F43" s="30">
        <v>0</v>
      </c>
      <c r="G43" s="31">
        <f>SUM(OR_FINANCIAL)</f>
        <v>29376.097375355406</v>
      </c>
      <c r="H43" s="30"/>
      <c r="I43" s="30"/>
      <c r="J43" s="30"/>
      <c r="K43" s="30"/>
      <c r="L43" s="29"/>
      <c r="M43" s="30"/>
      <c r="N43" s="30"/>
      <c r="O43" s="30"/>
      <c r="P43" s="30"/>
      <c r="Q43" s="30"/>
      <c r="R43" s="30"/>
      <c r="S43" s="30"/>
      <c r="T43" s="30"/>
      <c r="U43" s="30"/>
      <c r="V43" s="31"/>
    </row>
    <row r="44" spans="1:22">
      <c r="A44" s="1" t="s">
        <v>65</v>
      </c>
      <c r="B44" s="29">
        <v>0</v>
      </c>
      <c r="C44" s="30">
        <v>0</v>
      </c>
      <c r="D44" s="30">
        <v>0</v>
      </c>
      <c r="E44" s="30">
        <v>0</v>
      </c>
      <c r="F44" s="30">
        <v>0</v>
      </c>
      <c r="G44" s="31">
        <f>SUM(PA_FINANCIAL)</f>
        <v>0</v>
      </c>
      <c r="H44" s="30"/>
      <c r="I44" s="30"/>
      <c r="J44" s="30"/>
      <c r="K44" s="30"/>
      <c r="L44" s="29"/>
      <c r="M44" s="30"/>
      <c r="N44" s="30"/>
      <c r="O44" s="30"/>
      <c r="P44" s="30"/>
      <c r="Q44" s="30"/>
      <c r="R44" s="30"/>
      <c r="S44" s="30"/>
      <c r="T44" s="30"/>
      <c r="U44" s="30"/>
      <c r="V44" s="31"/>
    </row>
    <row r="45" spans="1:22">
      <c r="A45" s="1" t="s">
        <v>66</v>
      </c>
      <c r="B45" s="29">
        <v>0</v>
      </c>
      <c r="C45" s="30">
        <v>0</v>
      </c>
      <c r="D45" s="30">
        <v>0</v>
      </c>
      <c r="E45" s="30">
        <v>0</v>
      </c>
      <c r="F45" s="30">
        <v>0</v>
      </c>
      <c r="G45" s="31">
        <f>SUM(PR_FINANCIAL)</f>
        <v>0</v>
      </c>
      <c r="H45" s="30"/>
      <c r="I45" s="30"/>
      <c r="J45" s="30"/>
      <c r="K45" s="30"/>
      <c r="L45" s="29"/>
      <c r="M45" s="30"/>
      <c r="N45" s="30"/>
      <c r="O45" s="30"/>
      <c r="P45" s="30"/>
      <c r="Q45" s="30"/>
      <c r="R45" s="30"/>
      <c r="S45" s="30"/>
      <c r="T45" s="30"/>
      <c r="U45" s="30"/>
      <c r="V45" s="31"/>
    </row>
    <row r="46" spans="1:22">
      <c r="A46" s="1" t="s">
        <v>67</v>
      </c>
      <c r="B46" s="29">
        <v>0</v>
      </c>
      <c r="C46" s="30">
        <v>2319.4595470287577</v>
      </c>
      <c r="D46" s="30">
        <v>0</v>
      </c>
      <c r="E46" s="30">
        <v>0</v>
      </c>
      <c r="F46" s="30">
        <v>0</v>
      </c>
      <c r="G46" s="31">
        <f>SUM(RI_FINANCIAL)</f>
        <v>2319.4595470287577</v>
      </c>
      <c r="H46" s="30"/>
      <c r="I46" s="30"/>
      <c r="J46" s="30"/>
      <c r="K46" s="30"/>
      <c r="L46" s="29"/>
      <c r="M46" s="30"/>
      <c r="N46" s="30"/>
      <c r="O46" s="30"/>
      <c r="P46" s="30"/>
      <c r="Q46" s="30"/>
      <c r="R46" s="30"/>
      <c r="S46" s="30"/>
      <c r="T46" s="30"/>
      <c r="U46" s="30"/>
      <c r="V46" s="31"/>
    </row>
    <row r="47" spans="1:22">
      <c r="A47" s="1" t="s">
        <v>68</v>
      </c>
      <c r="B47" s="29">
        <v>0</v>
      </c>
      <c r="C47" s="30">
        <v>195662.30622008836</v>
      </c>
      <c r="D47" s="30">
        <v>0</v>
      </c>
      <c r="E47" s="30">
        <v>0</v>
      </c>
      <c r="F47" s="30">
        <v>0</v>
      </c>
      <c r="G47" s="31">
        <f>SUM(SC_FINANCIAL)</f>
        <v>195662.30622008836</v>
      </c>
      <c r="H47" s="30"/>
      <c r="I47" s="30"/>
      <c r="J47" s="30"/>
      <c r="K47" s="30"/>
      <c r="L47" s="29">
        <v>0</v>
      </c>
      <c r="M47" s="30">
        <v>0</v>
      </c>
      <c r="N47" s="30"/>
      <c r="O47" s="30">
        <v>200000</v>
      </c>
      <c r="P47" s="30">
        <v>0</v>
      </c>
      <c r="Q47" s="30"/>
      <c r="R47" s="30">
        <v>0</v>
      </c>
      <c r="S47" s="30">
        <v>0</v>
      </c>
      <c r="T47" s="30"/>
      <c r="U47" s="30">
        <v>0</v>
      </c>
      <c r="V47" s="31">
        <v>0</v>
      </c>
    </row>
    <row r="48" spans="1:22">
      <c r="A48" s="1" t="s">
        <v>69</v>
      </c>
      <c r="B48" s="29">
        <v>0</v>
      </c>
      <c r="C48" s="30">
        <v>0</v>
      </c>
      <c r="D48" s="30">
        <v>0</v>
      </c>
      <c r="E48" s="30">
        <v>0</v>
      </c>
      <c r="F48" s="30">
        <v>0</v>
      </c>
      <c r="G48" s="31">
        <f>SUM(SD_FINANCIAL)</f>
        <v>0</v>
      </c>
      <c r="H48" s="30"/>
      <c r="I48" s="30"/>
      <c r="J48" s="30"/>
      <c r="K48" s="30"/>
      <c r="L48" s="29"/>
      <c r="M48" s="30"/>
      <c r="N48" s="30"/>
      <c r="O48" s="30"/>
      <c r="P48" s="30"/>
      <c r="Q48" s="30"/>
      <c r="R48" s="30"/>
      <c r="S48" s="30"/>
      <c r="T48" s="30"/>
      <c r="U48" s="30"/>
      <c r="V48" s="31"/>
    </row>
    <row r="49" spans="1:22">
      <c r="A49" s="1" t="s">
        <v>70</v>
      </c>
      <c r="B49" s="29">
        <v>1690.1590616221431</v>
      </c>
      <c r="C49" s="30">
        <v>79428.896408618282</v>
      </c>
      <c r="D49" s="30">
        <v>0</v>
      </c>
      <c r="E49" s="30">
        <v>0</v>
      </c>
      <c r="F49" s="30">
        <v>0</v>
      </c>
      <c r="G49" s="31">
        <f>SUM(TN_FINANCIAL)</f>
        <v>81119.055470240419</v>
      </c>
      <c r="H49" s="30"/>
      <c r="I49" s="30"/>
      <c r="J49" s="30"/>
      <c r="K49" s="30"/>
      <c r="L49" s="29">
        <v>10000</v>
      </c>
      <c r="M49" s="30">
        <v>0</v>
      </c>
      <c r="N49" s="30"/>
      <c r="O49" s="30">
        <v>115000</v>
      </c>
      <c r="P49" s="30">
        <v>0</v>
      </c>
      <c r="Q49" s="30"/>
      <c r="R49" s="30">
        <v>0</v>
      </c>
      <c r="S49" s="30">
        <v>0</v>
      </c>
      <c r="T49" s="30"/>
      <c r="U49" s="30">
        <v>0</v>
      </c>
      <c r="V49" s="31">
        <v>0</v>
      </c>
    </row>
    <row r="50" spans="1:22">
      <c r="A50" s="1" t="s">
        <v>71</v>
      </c>
      <c r="B50" s="29">
        <v>56457.675564678735</v>
      </c>
      <c r="C50" s="30">
        <v>1214716.5862136623</v>
      </c>
      <c r="D50" s="30">
        <v>0</v>
      </c>
      <c r="E50" s="30">
        <v>0</v>
      </c>
      <c r="F50" s="30">
        <v>0</v>
      </c>
      <c r="G50" s="31">
        <f>SUM(TX_FINANCIAL)</f>
        <v>1271174.2617783411</v>
      </c>
      <c r="H50" s="30"/>
      <c r="I50" s="30"/>
      <c r="J50" s="30"/>
      <c r="K50" s="30"/>
      <c r="L50" s="29">
        <v>185265</v>
      </c>
      <c r="M50" s="30">
        <v>42450.53</v>
      </c>
      <c r="N50" s="30"/>
      <c r="O50" s="30">
        <v>1924605</v>
      </c>
      <c r="P50" s="30">
        <v>441025.47000000003</v>
      </c>
      <c r="Q50" s="30"/>
      <c r="R50" s="30">
        <v>13</v>
      </c>
      <c r="S50" s="30">
        <v>1</v>
      </c>
      <c r="T50" s="30"/>
      <c r="U50" s="30">
        <v>0</v>
      </c>
      <c r="V50" s="31">
        <v>0</v>
      </c>
    </row>
    <row r="51" spans="1:22">
      <c r="A51" s="1" t="s">
        <v>72</v>
      </c>
      <c r="B51" s="29">
        <v>7939.5715256585299</v>
      </c>
      <c r="C51" s="30">
        <v>51953.849844040844</v>
      </c>
      <c r="D51" s="30">
        <v>0</v>
      </c>
      <c r="E51" s="30">
        <v>0</v>
      </c>
      <c r="F51" s="30">
        <v>0</v>
      </c>
      <c r="G51" s="31">
        <f>SUM(UT_FINANCIAL)</f>
        <v>59893.421369699376</v>
      </c>
      <c r="H51" s="30"/>
      <c r="I51" s="30"/>
      <c r="J51" s="30"/>
      <c r="K51" s="30"/>
      <c r="L51" s="29">
        <v>29068</v>
      </c>
      <c r="M51" s="30">
        <v>0</v>
      </c>
      <c r="N51" s="30"/>
      <c r="O51" s="30">
        <v>50931</v>
      </c>
      <c r="P51" s="30">
        <v>0</v>
      </c>
      <c r="Q51" s="30"/>
      <c r="R51" s="30">
        <v>0</v>
      </c>
      <c r="S51" s="30">
        <v>0</v>
      </c>
      <c r="T51" s="30"/>
      <c r="U51" s="30">
        <v>0</v>
      </c>
      <c r="V51" s="31">
        <v>0</v>
      </c>
    </row>
    <row r="52" spans="1:22">
      <c r="A52" s="1" t="s">
        <v>73</v>
      </c>
      <c r="B52" s="29">
        <v>0</v>
      </c>
      <c r="C52" s="30">
        <v>0</v>
      </c>
      <c r="D52" s="30">
        <v>0</v>
      </c>
      <c r="E52" s="30">
        <v>0</v>
      </c>
      <c r="F52" s="30">
        <v>0</v>
      </c>
      <c r="G52" s="31">
        <f>SUM(VT_FINANCIAL)</f>
        <v>0</v>
      </c>
      <c r="H52" s="30"/>
      <c r="I52" s="30"/>
      <c r="J52" s="30"/>
      <c r="K52" s="30"/>
      <c r="L52" s="29"/>
      <c r="M52" s="30"/>
      <c r="N52" s="30"/>
      <c r="O52" s="30"/>
      <c r="P52" s="30"/>
      <c r="Q52" s="30"/>
      <c r="R52" s="30"/>
      <c r="S52" s="30"/>
      <c r="T52" s="30"/>
      <c r="U52" s="30"/>
      <c r="V52" s="31"/>
    </row>
    <row r="53" spans="1:22">
      <c r="A53" s="1" t="s">
        <v>74</v>
      </c>
      <c r="B53" s="29">
        <v>42711.789156096471</v>
      </c>
      <c r="C53" s="30">
        <v>390570.50765115384</v>
      </c>
      <c r="D53" s="30">
        <v>0</v>
      </c>
      <c r="E53" s="30">
        <v>0</v>
      </c>
      <c r="F53" s="30">
        <v>0</v>
      </c>
      <c r="G53" s="31">
        <f>SUM(VA_FINANCIAL)</f>
        <v>433282.2968072503</v>
      </c>
      <c r="H53" s="30"/>
      <c r="I53" s="30"/>
      <c r="J53" s="30"/>
      <c r="K53" s="30"/>
      <c r="L53" s="29">
        <v>67230</v>
      </c>
      <c r="M53" s="30">
        <v>0</v>
      </c>
      <c r="N53" s="30"/>
      <c r="O53" s="30">
        <v>465271</v>
      </c>
      <c r="P53" s="30">
        <v>172914</v>
      </c>
      <c r="Q53" s="30"/>
      <c r="R53" s="30">
        <v>0</v>
      </c>
      <c r="S53" s="30">
        <v>0</v>
      </c>
      <c r="T53" s="30"/>
      <c r="U53" s="30">
        <v>0</v>
      </c>
      <c r="V53" s="31">
        <v>0</v>
      </c>
    </row>
    <row r="54" spans="1:22">
      <c r="A54" s="1" t="s">
        <v>75</v>
      </c>
      <c r="B54" s="29">
        <v>0</v>
      </c>
      <c r="C54" s="30">
        <v>-4.6566128730773926E-10</v>
      </c>
      <c r="D54" s="30">
        <v>0</v>
      </c>
      <c r="E54" s="30">
        <v>0</v>
      </c>
      <c r="F54" s="30">
        <v>0</v>
      </c>
      <c r="G54" s="31">
        <f>SUM(WA_FINANCIAL)</f>
        <v>-4.6566128730773926E-10</v>
      </c>
      <c r="H54" s="30"/>
      <c r="I54" s="30"/>
      <c r="J54" s="30"/>
      <c r="K54" s="30"/>
      <c r="L54" s="29"/>
      <c r="M54" s="30"/>
      <c r="N54" s="30"/>
      <c r="O54" s="30"/>
      <c r="P54" s="30"/>
      <c r="Q54" s="30"/>
      <c r="R54" s="30"/>
      <c r="S54" s="30"/>
      <c r="T54" s="30"/>
      <c r="U54" s="30"/>
      <c r="V54" s="31"/>
    </row>
    <row r="55" spans="1:22">
      <c r="A55" s="1" t="s">
        <v>76</v>
      </c>
      <c r="B55" s="29">
        <v>0</v>
      </c>
      <c r="C55" s="30">
        <v>133347.76695481065</v>
      </c>
      <c r="D55" s="30">
        <v>0</v>
      </c>
      <c r="E55" s="30">
        <v>0</v>
      </c>
      <c r="F55" s="30">
        <v>0</v>
      </c>
      <c r="G55" s="31">
        <f>SUM(WV_FINANCIAL)</f>
        <v>133347.76695481065</v>
      </c>
      <c r="H55" s="30"/>
      <c r="I55" s="30"/>
      <c r="J55" s="30"/>
      <c r="K55" s="30"/>
      <c r="L55" s="29">
        <v>0</v>
      </c>
      <c r="M55" s="30">
        <v>0</v>
      </c>
      <c r="N55" s="30"/>
      <c r="O55" s="30">
        <v>220000</v>
      </c>
      <c r="P55" s="30">
        <v>49006</v>
      </c>
      <c r="Q55" s="30"/>
      <c r="R55" s="30">
        <v>0</v>
      </c>
      <c r="S55" s="30">
        <v>0</v>
      </c>
      <c r="T55" s="30"/>
      <c r="U55" s="30">
        <v>0</v>
      </c>
      <c r="V55" s="31">
        <v>0</v>
      </c>
    </row>
    <row r="56" spans="1:22">
      <c r="A56" s="1" t="s">
        <v>77</v>
      </c>
      <c r="B56" s="29">
        <v>0</v>
      </c>
      <c r="C56" s="30">
        <v>0</v>
      </c>
      <c r="D56" s="30">
        <v>0</v>
      </c>
      <c r="E56" s="30">
        <v>0</v>
      </c>
      <c r="F56" s="30">
        <v>0</v>
      </c>
      <c r="G56" s="31">
        <f>SUM(WI_FINANCIAL)</f>
        <v>0</v>
      </c>
      <c r="H56" s="30"/>
      <c r="I56" s="30"/>
      <c r="J56" s="30"/>
      <c r="K56" s="30"/>
      <c r="L56" s="29"/>
      <c r="M56" s="30"/>
      <c r="N56" s="30"/>
      <c r="O56" s="30"/>
      <c r="P56" s="30"/>
      <c r="Q56" s="30"/>
      <c r="R56" s="30"/>
      <c r="S56" s="30"/>
      <c r="T56" s="30"/>
      <c r="U56" s="30"/>
      <c r="V56" s="31"/>
    </row>
    <row r="57" spans="1:22">
      <c r="A57" s="1" t="s">
        <v>78</v>
      </c>
      <c r="B57" s="29">
        <v>0</v>
      </c>
      <c r="C57" s="30">
        <v>0</v>
      </c>
      <c r="D57" s="30">
        <v>0</v>
      </c>
      <c r="E57" s="30">
        <v>0</v>
      </c>
      <c r="F57" s="30">
        <v>0</v>
      </c>
      <c r="G57" s="31">
        <f>SUM(WY_FINANCIAL)</f>
        <v>0</v>
      </c>
      <c r="H57" s="30"/>
      <c r="I57" s="30"/>
      <c r="J57" s="30"/>
      <c r="K57" s="30"/>
      <c r="L57" s="29"/>
      <c r="M57" s="30"/>
      <c r="N57" s="30"/>
      <c r="O57" s="30"/>
      <c r="P57" s="30"/>
      <c r="Q57" s="30"/>
      <c r="R57" s="30"/>
      <c r="S57" s="30"/>
      <c r="T57" s="30"/>
      <c r="U57" s="30"/>
      <c r="V57" s="31"/>
    </row>
    <row r="58" spans="1:22">
      <c r="A58" s="1" t="s">
        <v>79</v>
      </c>
      <c r="B58" s="29">
        <v>0</v>
      </c>
      <c r="C58" s="30">
        <v>0</v>
      </c>
      <c r="D58" s="30">
        <v>0</v>
      </c>
      <c r="E58" s="30">
        <v>0</v>
      </c>
      <c r="F58" s="30">
        <v>0</v>
      </c>
      <c r="G58" s="31">
        <f>SUM(OT_FINANCIAL)</f>
        <v>0</v>
      </c>
      <c r="H58" s="30"/>
      <c r="I58" s="30"/>
      <c r="J58" s="30"/>
      <c r="K58" s="30"/>
      <c r="L58" s="29"/>
      <c r="M58" s="30"/>
      <c r="N58" s="30"/>
      <c r="O58" s="30"/>
      <c r="P58" s="30"/>
      <c r="Q58" s="30"/>
      <c r="R58" s="30"/>
      <c r="S58" s="30"/>
      <c r="T58" s="30"/>
      <c r="U58" s="30"/>
      <c r="V58" s="31"/>
    </row>
    <row r="59" spans="1:22">
      <c r="B59" s="29"/>
      <c r="C59" s="30"/>
      <c r="D59" s="30"/>
      <c r="E59" s="30"/>
      <c r="F59" s="30"/>
      <c r="G59" s="31"/>
      <c r="H59" s="30"/>
      <c r="I59" s="30"/>
      <c r="J59" s="30"/>
      <c r="K59" s="30"/>
      <c r="L59" s="29"/>
      <c r="M59" s="30"/>
      <c r="N59" s="30"/>
      <c r="O59" s="30"/>
      <c r="P59" s="30"/>
      <c r="Q59" s="30"/>
      <c r="R59" s="30"/>
      <c r="S59" s="30"/>
      <c r="T59" s="30"/>
      <c r="U59" s="30"/>
      <c r="V59" s="31"/>
    </row>
    <row r="60" spans="1:22">
      <c r="A60" s="1" t="s">
        <v>8</v>
      </c>
      <c r="B60" s="29">
        <f>SUM(LIFE)</f>
        <v>525995.35967304953</v>
      </c>
      <c r="C60" s="30">
        <f>SUM(ALLOCATED)</f>
        <v>10650640.260326877</v>
      </c>
      <c r="D60" s="30">
        <f>SUM(HEALTH)</f>
        <v>0</v>
      </c>
      <c r="E60" s="30">
        <f>SUM(UNALLOCATED)</f>
        <v>0</v>
      </c>
      <c r="F60" s="30">
        <f>SUM(LTC)</f>
        <v>0</v>
      </c>
      <c r="G60" s="31">
        <f>SUM(ALL_BLOCKS)</f>
        <v>11176635.619999932</v>
      </c>
      <c r="H60" s="30"/>
      <c r="I60" s="30"/>
      <c r="J60" s="30"/>
      <c r="K60" s="30"/>
      <c r="L60" s="29">
        <f>SUM(LIFE_CALLED)</f>
        <v>859210</v>
      </c>
      <c r="M60" s="30">
        <f>SUM(LIFE_REFUNDED)</f>
        <v>42450.53</v>
      </c>
      <c r="N60" s="30"/>
      <c r="O60" s="30">
        <f>SUM(ALLOC_CALLED)</f>
        <v>13560314</v>
      </c>
      <c r="P60" s="30">
        <f>SUM(ALLOC_REFUNDED)</f>
        <v>1359248.82</v>
      </c>
      <c r="Q60" s="30"/>
      <c r="R60" s="30">
        <f>SUM(HEALTH_CALLED)</f>
        <v>53013</v>
      </c>
      <c r="S60" s="30">
        <f>SUM(HEALTH_REFUNDED)</f>
        <v>1</v>
      </c>
      <c r="T60" s="30"/>
      <c r="U60" s="30">
        <f>SUM(UNALLOC_CALLED)</f>
        <v>0</v>
      </c>
      <c r="V60" s="31">
        <f>SUM(UNALLOC_REFUNDED)</f>
        <v>0</v>
      </c>
    </row>
    <row r="61" spans="1:22" ht="5.0999999999999996" customHeight="1">
      <c r="B61" s="8"/>
      <c r="G61" s="11"/>
      <c r="L61" s="8"/>
      <c r="V61" s="11"/>
    </row>
    <row r="62" spans="1:22">
      <c r="B62" s="8"/>
      <c r="G62" s="11"/>
      <c r="L62" s="122" t="s">
        <v>80</v>
      </c>
      <c r="M62" s="123"/>
      <c r="N62" s="123"/>
      <c r="O62" s="123"/>
      <c r="P62" s="123"/>
      <c r="Q62" s="123"/>
      <c r="R62" s="123"/>
      <c r="S62" s="123"/>
      <c r="T62" s="123"/>
      <c r="U62" s="123"/>
      <c r="V62" s="124"/>
    </row>
    <row r="63" spans="1:22">
      <c r="B63" s="8"/>
      <c r="G63" s="11"/>
      <c r="L63" s="125"/>
      <c r="M63" s="123"/>
      <c r="N63" s="123"/>
      <c r="O63" s="123"/>
      <c r="P63" s="123"/>
      <c r="Q63" s="123"/>
      <c r="R63" s="123"/>
      <c r="S63" s="123"/>
      <c r="T63" s="123"/>
      <c r="U63" s="123"/>
      <c r="V63" s="124"/>
    </row>
    <row r="64" spans="1:22">
      <c r="B64" s="10"/>
      <c r="C64" s="7"/>
      <c r="D64" s="7"/>
      <c r="E64" s="7"/>
      <c r="F64" s="7"/>
      <c r="G64" s="13"/>
      <c r="L64" s="126"/>
      <c r="M64" s="127"/>
      <c r="N64" s="127"/>
      <c r="O64" s="127"/>
      <c r="P64" s="127"/>
      <c r="Q64" s="127"/>
      <c r="R64" s="127"/>
      <c r="S64" s="127"/>
      <c r="T64" s="127"/>
      <c r="U64" s="127"/>
      <c r="V64" s="128"/>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pageSetUpPr fitToPage="1"/>
  </sheetPr>
  <dimension ref="A1:V64"/>
  <sheetViews>
    <sheetView zoomScale="75" workbookViewId="0">
      <selection sqref="A1:XFD1048576"/>
    </sheetView>
  </sheetViews>
  <sheetFormatPr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129" t="s">
        <v>151</v>
      </c>
      <c r="B1" s="123"/>
      <c r="C1" s="123"/>
      <c r="D1" s="123"/>
      <c r="E1" s="123"/>
      <c r="F1" s="123"/>
      <c r="G1" s="123"/>
    </row>
    <row r="3" spans="1:22">
      <c r="B3" s="130" t="s">
        <v>1</v>
      </c>
      <c r="C3" s="131"/>
      <c r="D3" s="131"/>
      <c r="E3" s="131"/>
      <c r="F3" s="131"/>
      <c r="G3" s="132"/>
      <c r="L3" s="133" t="s">
        <v>2</v>
      </c>
      <c r="M3" s="134"/>
      <c r="N3" s="134"/>
      <c r="O3" s="134"/>
      <c r="P3" s="134"/>
      <c r="Q3" s="134"/>
      <c r="R3" s="134"/>
      <c r="S3" s="134"/>
      <c r="T3" s="134"/>
      <c r="U3" s="134"/>
      <c r="V3" s="135"/>
    </row>
    <row r="4" spans="1:22">
      <c r="B4" s="8"/>
      <c r="G4" s="11"/>
      <c r="L4" s="136" t="s">
        <v>3</v>
      </c>
      <c r="M4" s="137"/>
      <c r="N4" s="4"/>
      <c r="O4" s="138" t="s">
        <v>4</v>
      </c>
      <c r="P4" s="137"/>
      <c r="Q4" s="4"/>
      <c r="R4" s="138" t="s">
        <v>5</v>
      </c>
      <c r="S4" s="137"/>
      <c r="T4" s="4"/>
      <c r="U4" s="138" t="s">
        <v>6</v>
      </c>
      <c r="V4" s="139"/>
    </row>
    <row r="5" spans="1:22" ht="60" customHeight="1">
      <c r="B5" s="9" t="s">
        <v>3</v>
      </c>
      <c r="C5" s="5" t="s">
        <v>4</v>
      </c>
      <c r="D5" s="5" t="s">
        <v>5</v>
      </c>
      <c r="E5" s="5" t="s">
        <v>6</v>
      </c>
      <c r="F5" s="5" t="s">
        <v>7</v>
      </c>
      <c r="G5" s="12" t="s">
        <v>8</v>
      </c>
      <c r="L5" s="15" t="s">
        <v>9</v>
      </c>
      <c r="M5" s="14" t="s">
        <v>10</v>
      </c>
      <c r="N5" s="14"/>
      <c r="O5" s="14" t="s">
        <v>9</v>
      </c>
      <c r="P5" s="14" t="s">
        <v>10</v>
      </c>
      <c r="Q5" s="14"/>
      <c r="R5" s="14" t="s">
        <v>9</v>
      </c>
      <c r="S5" s="14" t="s">
        <v>10</v>
      </c>
      <c r="T5" s="14"/>
      <c r="U5" s="14" t="s">
        <v>9</v>
      </c>
      <c r="V5" s="16" t="s">
        <v>10</v>
      </c>
    </row>
    <row r="6" spans="1:22">
      <c r="A6" s="1" t="s">
        <v>11</v>
      </c>
      <c r="B6" s="29">
        <v>0</v>
      </c>
      <c r="C6" s="30">
        <v>0</v>
      </c>
      <c r="D6" s="30">
        <v>0</v>
      </c>
      <c r="E6" s="30">
        <v>0</v>
      </c>
      <c r="F6" s="30">
        <v>0</v>
      </c>
      <c r="G6" s="31">
        <f>SUM(AL_FINANCIAL)</f>
        <v>0</v>
      </c>
      <c r="H6" s="30"/>
      <c r="I6" s="30"/>
      <c r="J6" s="30"/>
      <c r="K6" s="30"/>
      <c r="L6" s="29"/>
      <c r="M6" s="30"/>
      <c r="N6" s="30"/>
      <c r="O6" s="30"/>
      <c r="P6" s="30"/>
      <c r="Q6" s="30"/>
      <c r="R6" s="30"/>
      <c r="S6" s="30"/>
      <c r="T6" s="30"/>
      <c r="U6" s="30"/>
      <c r="V6" s="31"/>
    </row>
    <row r="7" spans="1:22">
      <c r="A7" s="1" t="s">
        <v>12</v>
      </c>
      <c r="B7" s="29">
        <v>0</v>
      </c>
      <c r="C7" s="30">
        <v>0</v>
      </c>
      <c r="D7" s="30">
        <v>0</v>
      </c>
      <c r="E7" s="30">
        <v>0</v>
      </c>
      <c r="F7" s="30">
        <v>0</v>
      </c>
      <c r="G7" s="31">
        <f>SUM(AK_FINANCIAL)</f>
        <v>0</v>
      </c>
      <c r="H7" s="30"/>
      <c r="I7" s="32"/>
      <c r="J7" s="33"/>
      <c r="K7" s="30"/>
      <c r="L7" s="29"/>
      <c r="M7" s="30"/>
      <c r="N7" s="30"/>
      <c r="O7" s="30"/>
      <c r="P7" s="30"/>
      <c r="Q7" s="30"/>
      <c r="R7" s="30"/>
      <c r="S7" s="30"/>
      <c r="T7" s="30"/>
      <c r="U7" s="30"/>
      <c r="V7" s="31"/>
    </row>
    <row r="8" spans="1:22">
      <c r="A8" s="1" t="s">
        <v>13</v>
      </c>
      <c r="B8" s="29">
        <v>0</v>
      </c>
      <c r="C8" s="30">
        <v>0</v>
      </c>
      <c r="D8" s="30">
        <v>0</v>
      </c>
      <c r="E8" s="30">
        <v>0</v>
      </c>
      <c r="F8" s="30">
        <v>0</v>
      </c>
      <c r="G8" s="31">
        <f>SUM(AZ_FINANCIAL)</f>
        <v>0</v>
      </c>
      <c r="H8" s="30"/>
      <c r="I8" s="34" t="s">
        <v>14</v>
      </c>
      <c r="J8" s="35"/>
      <c r="K8" s="30"/>
      <c r="L8" s="29"/>
      <c r="M8" s="30"/>
      <c r="N8" s="30"/>
      <c r="O8" s="30"/>
      <c r="P8" s="30"/>
      <c r="Q8" s="30"/>
      <c r="R8" s="30"/>
      <c r="S8" s="30"/>
      <c r="T8" s="30"/>
      <c r="U8" s="30"/>
      <c r="V8" s="31"/>
    </row>
    <row r="9" spans="1:22">
      <c r="A9" s="1" t="s">
        <v>15</v>
      </c>
      <c r="B9" s="29">
        <v>0</v>
      </c>
      <c r="C9" s="30">
        <v>0</v>
      </c>
      <c r="D9" s="30">
        <v>0</v>
      </c>
      <c r="E9" s="30">
        <v>0</v>
      </c>
      <c r="F9" s="30">
        <v>0</v>
      </c>
      <c r="G9" s="31">
        <f>SUM(AR_FINANCIAL)</f>
        <v>0</v>
      </c>
      <c r="H9" s="30"/>
      <c r="I9" s="34"/>
      <c r="J9" s="35"/>
      <c r="K9" s="30"/>
      <c r="L9" s="29"/>
      <c r="M9" s="30"/>
      <c r="N9" s="30"/>
      <c r="O9" s="30"/>
      <c r="P9" s="30"/>
      <c r="Q9" s="30"/>
      <c r="R9" s="30"/>
      <c r="S9" s="30"/>
      <c r="T9" s="30"/>
      <c r="U9" s="30"/>
      <c r="V9" s="31"/>
    </row>
    <row r="10" spans="1:22">
      <c r="A10" s="1" t="s">
        <v>16</v>
      </c>
      <c r="B10" s="29">
        <v>0</v>
      </c>
      <c r="C10" s="30">
        <v>0</v>
      </c>
      <c r="D10" s="30">
        <v>0</v>
      </c>
      <c r="E10" s="30">
        <v>0</v>
      </c>
      <c r="F10" s="30">
        <v>0</v>
      </c>
      <c r="G10" s="31">
        <f>SUM(CA_FINANCIAL)</f>
        <v>0</v>
      </c>
      <c r="H10" s="30"/>
      <c r="I10" s="34" t="s">
        <v>17</v>
      </c>
      <c r="J10" s="35">
        <v>21390848.639099997</v>
      </c>
      <c r="K10" s="30"/>
      <c r="L10" s="29"/>
      <c r="M10" s="30"/>
      <c r="N10" s="30"/>
      <c r="O10" s="30"/>
      <c r="P10" s="30"/>
      <c r="Q10" s="30"/>
      <c r="R10" s="30"/>
      <c r="S10" s="30"/>
      <c r="T10" s="30"/>
      <c r="U10" s="30"/>
      <c r="V10" s="31"/>
    </row>
    <row r="11" spans="1:22">
      <c r="A11" s="1" t="s">
        <v>18</v>
      </c>
      <c r="B11" s="29">
        <v>105380.13046458495</v>
      </c>
      <c r="C11" s="30">
        <v>77716.360417622913</v>
      </c>
      <c r="D11" s="30">
        <v>4061.7123345762084</v>
      </c>
      <c r="E11" s="30">
        <v>0</v>
      </c>
      <c r="F11" s="30">
        <v>0</v>
      </c>
      <c r="G11" s="31">
        <f>SUM(CO_FINANCIAL)</f>
        <v>187158.20321678408</v>
      </c>
      <c r="H11" s="30"/>
      <c r="I11" s="34"/>
      <c r="J11" s="35"/>
      <c r="K11" s="30"/>
      <c r="L11" s="29">
        <v>265000</v>
      </c>
      <c r="M11" s="30">
        <v>0</v>
      </c>
      <c r="N11" s="30"/>
      <c r="O11" s="30">
        <v>230000</v>
      </c>
      <c r="P11" s="30">
        <v>0</v>
      </c>
      <c r="Q11" s="30"/>
      <c r="R11" s="30">
        <v>5000</v>
      </c>
      <c r="S11" s="30">
        <v>0</v>
      </c>
      <c r="T11" s="30"/>
      <c r="U11" s="30">
        <v>0</v>
      </c>
      <c r="V11" s="31">
        <v>0</v>
      </c>
    </row>
    <row r="12" spans="1:22">
      <c r="A12" s="1" t="s">
        <v>19</v>
      </c>
      <c r="B12" s="29">
        <v>0</v>
      </c>
      <c r="C12" s="30">
        <v>0</v>
      </c>
      <c r="D12" s="30">
        <v>0</v>
      </c>
      <c r="E12" s="30">
        <v>0</v>
      </c>
      <c r="F12" s="30">
        <v>0</v>
      </c>
      <c r="G12" s="31">
        <f>SUM(CT_FINANCIAL)</f>
        <v>0</v>
      </c>
      <c r="H12" s="30"/>
      <c r="I12" s="34" t="s">
        <v>20</v>
      </c>
      <c r="J12" s="35"/>
      <c r="K12" s="30"/>
      <c r="L12" s="29"/>
      <c r="M12" s="30"/>
      <c r="N12" s="30"/>
      <c r="O12" s="30"/>
      <c r="P12" s="30"/>
      <c r="Q12" s="30"/>
      <c r="R12" s="30"/>
      <c r="S12" s="30"/>
      <c r="T12" s="30"/>
      <c r="U12" s="30"/>
      <c r="V12" s="31"/>
    </row>
    <row r="13" spans="1:22">
      <c r="A13" s="1" t="s">
        <v>21</v>
      </c>
      <c r="B13" s="29">
        <v>0</v>
      </c>
      <c r="C13" s="30">
        <v>0</v>
      </c>
      <c r="D13" s="30">
        <v>0</v>
      </c>
      <c r="E13" s="30">
        <v>0</v>
      </c>
      <c r="F13" s="30">
        <v>0</v>
      </c>
      <c r="G13" s="31">
        <f>SUM(DE_FINANCIAL)</f>
        <v>0</v>
      </c>
      <c r="H13" s="30"/>
      <c r="I13" s="34" t="s">
        <v>22</v>
      </c>
      <c r="J13" s="35">
        <v>0</v>
      </c>
      <c r="K13" s="30"/>
      <c r="L13" s="29"/>
      <c r="M13" s="30"/>
      <c r="N13" s="30"/>
      <c r="O13" s="30"/>
      <c r="P13" s="30"/>
      <c r="Q13" s="30"/>
      <c r="R13" s="30"/>
      <c r="S13" s="30"/>
      <c r="T13" s="30"/>
      <c r="U13" s="30"/>
      <c r="V13" s="31"/>
    </row>
    <row r="14" spans="1:22">
      <c r="A14" s="1" t="s">
        <v>23</v>
      </c>
      <c r="B14" s="29">
        <v>0</v>
      </c>
      <c r="C14" s="30">
        <v>0</v>
      </c>
      <c r="D14" s="30">
        <v>0</v>
      </c>
      <c r="E14" s="30">
        <v>0</v>
      </c>
      <c r="F14" s="30">
        <v>0</v>
      </c>
      <c r="G14" s="31">
        <f>SUM(DC_FINANCIAL)</f>
        <v>0</v>
      </c>
      <c r="H14" s="30"/>
      <c r="I14" s="34" t="s">
        <v>24</v>
      </c>
      <c r="J14" s="35">
        <v>0</v>
      </c>
      <c r="K14" s="30"/>
      <c r="L14" s="29"/>
      <c r="M14" s="30"/>
      <c r="N14" s="30"/>
      <c r="O14" s="30"/>
      <c r="P14" s="30"/>
      <c r="Q14" s="30"/>
      <c r="R14" s="30"/>
      <c r="S14" s="30"/>
      <c r="T14" s="30"/>
      <c r="U14" s="30"/>
      <c r="V14" s="31"/>
    </row>
    <row r="15" spans="1:22">
      <c r="A15" s="1" t="s">
        <v>25</v>
      </c>
      <c r="B15" s="29">
        <v>0</v>
      </c>
      <c r="C15" s="30">
        <v>0</v>
      </c>
      <c r="D15" s="30">
        <v>0</v>
      </c>
      <c r="E15" s="30">
        <v>0</v>
      </c>
      <c r="F15" s="30">
        <v>0</v>
      </c>
      <c r="G15" s="31">
        <f>SUM(FL_FINANCIAL)</f>
        <v>0</v>
      </c>
      <c r="H15" s="30"/>
      <c r="I15" s="34" t="s">
        <v>26</v>
      </c>
      <c r="J15" s="35">
        <v>291176.92999999988</v>
      </c>
      <c r="K15" s="30"/>
      <c r="L15" s="29"/>
      <c r="M15" s="30"/>
      <c r="N15" s="30"/>
      <c r="O15" s="30"/>
      <c r="P15" s="30"/>
      <c r="Q15" s="30"/>
      <c r="R15" s="30"/>
      <c r="S15" s="30"/>
      <c r="T15" s="30"/>
      <c r="U15" s="30"/>
      <c r="V15" s="31"/>
    </row>
    <row r="16" spans="1:22">
      <c r="A16" s="1" t="s">
        <v>27</v>
      </c>
      <c r="B16" s="29">
        <v>0</v>
      </c>
      <c r="C16" s="30">
        <v>0</v>
      </c>
      <c r="D16" s="30">
        <v>0</v>
      </c>
      <c r="E16" s="30">
        <v>0</v>
      </c>
      <c r="F16" s="30">
        <v>0</v>
      </c>
      <c r="G16" s="31">
        <f>SUM(GA_FINANCIAL)</f>
        <v>0</v>
      </c>
      <c r="H16" s="30"/>
      <c r="I16" s="34" t="s">
        <v>28</v>
      </c>
      <c r="J16" s="35">
        <v>0</v>
      </c>
      <c r="K16" s="30"/>
      <c r="L16" s="29"/>
      <c r="M16" s="30"/>
      <c r="N16" s="30"/>
      <c r="O16" s="30"/>
      <c r="P16" s="30"/>
      <c r="Q16" s="30"/>
      <c r="R16" s="30"/>
      <c r="S16" s="30"/>
      <c r="T16" s="30"/>
      <c r="U16" s="30"/>
      <c r="V16" s="31"/>
    </row>
    <row r="17" spans="1:22">
      <c r="A17" s="1" t="s">
        <v>29</v>
      </c>
      <c r="B17" s="29">
        <v>0</v>
      </c>
      <c r="C17" s="30">
        <v>0</v>
      </c>
      <c r="D17" s="30">
        <v>0</v>
      </c>
      <c r="E17" s="30">
        <v>0</v>
      </c>
      <c r="F17" s="30">
        <v>0</v>
      </c>
      <c r="G17" s="31">
        <f>SUM(HI_FINANCIAL)</f>
        <v>0</v>
      </c>
      <c r="H17" s="30"/>
      <c r="I17" s="34"/>
      <c r="J17" s="35"/>
      <c r="K17" s="30"/>
      <c r="L17" s="29"/>
      <c r="M17" s="30"/>
      <c r="N17" s="30"/>
      <c r="O17" s="30"/>
      <c r="P17" s="30"/>
      <c r="Q17" s="30"/>
      <c r="R17" s="30"/>
      <c r="S17" s="30"/>
      <c r="T17" s="30"/>
      <c r="U17" s="30"/>
      <c r="V17" s="31"/>
    </row>
    <row r="18" spans="1:22">
      <c r="A18" s="1" t="s">
        <v>30</v>
      </c>
      <c r="B18" s="29">
        <v>6079.7391907090541</v>
      </c>
      <c r="C18" s="30">
        <v>15766.278408437818</v>
      </c>
      <c r="D18" s="30">
        <v>974.09046637177812</v>
      </c>
      <c r="E18" s="30">
        <v>0</v>
      </c>
      <c r="F18" s="30">
        <v>0</v>
      </c>
      <c r="G18" s="31">
        <f>SUM(ID_FINANCIAL)</f>
        <v>22820.108065518649</v>
      </c>
      <c r="H18" s="30"/>
      <c r="I18" s="34" t="s">
        <v>31</v>
      </c>
      <c r="J18" s="35"/>
      <c r="K18" s="30"/>
      <c r="L18" s="29">
        <v>18218</v>
      </c>
      <c r="M18" s="30">
        <v>0</v>
      </c>
      <c r="N18" s="30"/>
      <c r="O18" s="30">
        <v>36782</v>
      </c>
      <c r="P18" s="30">
        <v>0</v>
      </c>
      <c r="Q18" s="30"/>
      <c r="R18" s="30">
        <v>0</v>
      </c>
      <c r="S18" s="30">
        <v>0</v>
      </c>
      <c r="T18" s="30"/>
      <c r="U18" s="30">
        <v>0</v>
      </c>
      <c r="V18" s="31">
        <v>0</v>
      </c>
    </row>
    <row r="19" spans="1:22">
      <c r="A19" s="1" t="s">
        <v>32</v>
      </c>
      <c r="B19" s="29">
        <v>0</v>
      </c>
      <c r="C19" s="30">
        <v>0</v>
      </c>
      <c r="D19" s="30">
        <v>0</v>
      </c>
      <c r="E19" s="30">
        <v>0</v>
      </c>
      <c r="F19" s="30">
        <v>0</v>
      </c>
      <c r="G19" s="31">
        <f>SUM(IL_FINANCIAL)</f>
        <v>0</v>
      </c>
      <c r="H19" s="30"/>
      <c r="I19" s="34" t="s">
        <v>33</v>
      </c>
      <c r="J19" s="35">
        <v>14856392</v>
      </c>
      <c r="K19" s="30"/>
      <c r="L19" s="29"/>
      <c r="M19" s="30"/>
      <c r="N19" s="30"/>
      <c r="O19" s="30"/>
      <c r="P19" s="30"/>
      <c r="Q19" s="30"/>
      <c r="R19" s="30"/>
      <c r="S19" s="30"/>
      <c r="T19" s="30"/>
      <c r="U19" s="30"/>
      <c r="V19" s="31"/>
    </row>
    <row r="20" spans="1:22">
      <c r="A20" s="1" t="s">
        <v>34</v>
      </c>
      <c r="B20" s="29">
        <v>0</v>
      </c>
      <c r="C20" s="30">
        <v>0</v>
      </c>
      <c r="D20" s="30">
        <v>0</v>
      </c>
      <c r="E20" s="30">
        <v>0</v>
      </c>
      <c r="F20" s="30">
        <v>0</v>
      </c>
      <c r="G20" s="31">
        <f>SUM(IN_FINANCIAL)</f>
        <v>0</v>
      </c>
      <c r="H20" s="30"/>
      <c r="I20" s="34" t="s">
        <v>35</v>
      </c>
      <c r="J20" s="35">
        <v>0</v>
      </c>
      <c r="K20" s="30"/>
      <c r="L20" s="29"/>
      <c r="M20" s="30"/>
      <c r="N20" s="30"/>
      <c r="O20" s="30"/>
      <c r="P20" s="30"/>
      <c r="Q20" s="30"/>
      <c r="R20" s="30"/>
      <c r="S20" s="30"/>
      <c r="T20" s="30"/>
      <c r="U20" s="30"/>
      <c r="V20" s="31"/>
    </row>
    <row r="21" spans="1:22">
      <c r="A21" s="1" t="s">
        <v>36</v>
      </c>
      <c r="B21" s="29">
        <v>0</v>
      </c>
      <c r="C21" s="30">
        <v>0</v>
      </c>
      <c r="D21" s="30">
        <v>0</v>
      </c>
      <c r="E21" s="30">
        <v>0</v>
      </c>
      <c r="F21" s="30">
        <v>0</v>
      </c>
      <c r="G21" s="31">
        <f>SUM(IA_FINANCIAL)</f>
        <v>0</v>
      </c>
      <c r="H21" s="30"/>
      <c r="I21" s="34" t="s">
        <v>37</v>
      </c>
      <c r="J21" s="35"/>
      <c r="K21" s="30"/>
      <c r="L21" s="29"/>
      <c r="M21" s="30"/>
      <c r="N21" s="30"/>
      <c r="O21" s="30"/>
      <c r="P21" s="30"/>
      <c r="Q21" s="30"/>
      <c r="R21" s="30"/>
      <c r="S21" s="30"/>
      <c r="T21" s="30"/>
      <c r="U21" s="30"/>
      <c r="V21" s="31"/>
    </row>
    <row r="22" spans="1:22">
      <c r="A22" s="1" t="s">
        <v>38</v>
      </c>
      <c r="B22" s="29">
        <v>0</v>
      </c>
      <c r="C22" s="30">
        <v>0</v>
      </c>
      <c r="D22" s="30">
        <v>0</v>
      </c>
      <c r="E22" s="30">
        <v>0</v>
      </c>
      <c r="F22" s="30">
        <v>0</v>
      </c>
      <c r="G22" s="31">
        <f>SUM(KS_FINANCIAL)</f>
        <v>0</v>
      </c>
      <c r="H22" s="30"/>
      <c r="I22" s="34" t="s">
        <v>39</v>
      </c>
      <c r="J22" s="35">
        <v>2754999</v>
      </c>
      <c r="K22" s="30"/>
      <c r="L22" s="29"/>
      <c r="M22" s="30"/>
      <c r="N22" s="30"/>
      <c r="O22" s="30"/>
      <c r="P22" s="30"/>
      <c r="Q22" s="30"/>
      <c r="R22" s="30"/>
      <c r="S22" s="30"/>
      <c r="T22" s="30"/>
      <c r="U22" s="30"/>
      <c r="V22" s="31"/>
    </row>
    <row r="23" spans="1:22">
      <c r="A23" s="1" t="s">
        <v>40</v>
      </c>
      <c r="B23" s="29">
        <v>0</v>
      </c>
      <c r="C23" s="30">
        <v>0</v>
      </c>
      <c r="D23" s="30">
        <v>0</v>
      </c>
      <c r="E23" s="30">
        <v>0</v>
      </c>
      <c r="F23" s="30">
        <v>0</v>
      </c>
      <c r="G23" s="31">
        <f>SUM(KY_FINANCIAL)</f>
        <v>0</v>
      </c>
      <c r="H23" s="30"/>
      <c r="I23" s="34" t="s">
        <v>41</v>
      </c>
      <c r="J23" s="35"/>
      <c r="K23" s="30"/>
      <c r="L23" s="29"/>
      <c r="M23" s="30"/>
      <c r="N23" s="30"/>
      <c r="O23" s="30"/>
      <c r="P23" s="30"/>
      <c r="Q23" s="30"/>
      <c r="R23" s="30"/>
      <c r="S23" s="30"/>
      <c r="T23" s="30"/>
      <c r="U23" s="30"/>
      <c r="V23" s="31"/>
    </row>
    <row r="24" spans="1:22">
      <c r="A24" s="1" t="s">
        <v>42</v>
      </c>
      <c r="B24" s="29">
        <v>0</v>
      </c>
      <c r="C24" s="30">
        <v>0</v>
      </c>
      <c r="D24" s="30">
        <v>0</v>
      </c>
      <c r="E24" s="30">
        <v>0</v>
      </c>
      <c r="F24" s="30">
        <v>0</v>
      </c>
      <c r="G24" s="31">
        <f>SUM(LA_FINANCIAL)</f>
        <v>0</v>
      </c>
      <c r="H24" s="30"/>
      <c r="I24" s="34" t="s">
        <v>43</v>
      </c>
      <c r="J24" s="35">
        <v>2596550.9999999995</v>
      </c>
      <c r="K24" s="30"/>
      <c r="L24" s="29"/>
      <c r="M24" s="30"/>
      <c r="N24" s="30"/>
      <c r="O24" s="30"/>
      <c r="P24" s="30"/>
      <c r="Q24" s="30"/>
      <c r="R24" s="30"/>
      <c r="S24" s="30"/>
      <c r="T24" s="30"/>
      <c r="U24" s="30"/>
      <c r="V24" s="31"/>
    </row>
    <row r="25" spans="1:22">
      <c r="A25" s="1" t="s">
        <v>44</v>
      </c>
      <c r="B25" s="29">
        <v>0</v>
      </c>
      <c r="C25" s="30">
        <v>0</v>
      </c>
      <c r="D25" s="30">
        <v>0</v>
      </c>
      <c r="E25" s="30">
        <v>0</v>
      </c>
      <c r="F25" s="30">
        <v>0</v>
      </c>
      <c r="G25" s="31">
        <f>SUM(ME_FINANCIAL)</f>
        <v>0</v>
      </c>
      <c r="H25" s="30"/>
      <c r="I25" s="34"/>
      <c r="J25" s="35"/>
      <c r="K25" s="30"/>
      <c r="L25" s="29"/>
      <c r="M25" s="30"/>
      <c r="N25" s="30"/>
      <c r="O25" s="30"/>
      <c r="P25" s="30"/>
      <c r="Q25" s="30"/>
      <c r="R25" s="30"/>
      <c r="S25" s="30"/>
      <c r="T25" s="30"/>
      <c r="U25" s="30"/>
      <c r="V25" s="31"/>
    </row>
    <row r="26" spans="1:22">
      <c r="A26" s="1" t="s">
        <v>45</v>
      </c>
      <c r="B26" s="29">
        <v>0</v>
      </c>
      <c r="C26" s="30">
        <v>0</v>
      </c>
      <c r="D26" s="30">
        <v>0</v>
      </c>
      <c r="E26" s="30">
        <v>0</v>
      </c>
      <c r="F26" s="30">
        <v>0</v>
      </c>
      <c r="G26" s="31">
        <f>SUM(MD_FINANCIAL)</f>
        <v>0</v>
      </c>
      <c r="H26" s="30"/>
      <c r="I26" s="34" t="s">
        <v>46</v>
      </c>
      <c r="J26" s="35">
        <f>SUM(ADD_FINANCIAL)-SUM(LESS_FINANCIAL)</f>
        <v>1474083.5690999962</v>
      </c>
      <c r="K26" s="30"/>
      <c r="L26" s="29"/>
      <c r="M26" s="30"/>
      <c r="N26" s="30"/>
      <c r="O26" s="30"/>
      <c r="P26" s="30"/>
      <c r="Q26" s="30"/>
      <c r="R26" s="30"/>
      <c r="S26" s="30"/>
      <c r="T26" s="30"/>
      <c r="U26" s="30"/>
      <c r="V26" s="31"/>
    </row>
    <row r="27" spans="1:22">
      <c r="A27" s="1" t="s">
        <v>47</v>
      </c>
      <c r="B27" s="29">
        <v>0</v>
      </c>
      <c r="C27" s="30">
        <v>0</v>
      </c>
      <c r="D27" s="30">
        <v>0</v>
      </c>
      <c r="E27" s="30">
        <v>0</v>
      </c>
      <c r="F27" s="30">
        <v>0</v>
      </c>
      <c r="G27" s="31">
        <f>SUM(MA_FINANCIAL)</f>
        <v>0</v>
      </c>
      <c r="H27" s="30"/>
      <c r="I27" s="34" t="s">
        <v>48</v>
      </c>
      <c r="J27" s="35">
        <f>SUM(ALL_BLOCKS)</f>
        <v>1474083.5691</v>
      </c>
      <c r="K27" s="30"/>
      <c r="L27" s="29"/>
      <c r="M27" s="30"/>
      <c r="N27" s="30"/>
      <c r="O27" s="30"/>
      <c r="P27" s="30"/>
      <c r="Q27" s="30"/>
      <c r="R27" s="30"/>
      <c r="S27" s="30"/>
      <c r="T27" s="30"/>
      <c r="U27" s="30"/>
      <c r="V27" s="31"/>
    </row>
    <row r="28" spans="1:22">
      <c r="A28" s="1" t="s">
        <v>49</v>
      </c>
      <c r="B28" s="29">
        <v>0</v>
      </c>
      <c r="C28" s="30">
        <v>0</v>
      </c>
      <c r="D28" s="30">
        <v>0</v>
      </c>
      <c r="E28" s="30">
        <v>0</v>
      </c>
      <c r="F28" s="30">
        <v>0</v>
      </c>
      <c r="G28" s="31">
        <f>SUM(MI_FINANCIAL)</f>
        <v>0</v>
      </c>
      <c r="H28" s="30"/>
      <c r="I28" s="36"/>
      <c r="J28" s="37"/>
      <c r="K28" s="30"/>
      <c r="L28" s="29"/>
      <c r="M28" s="30"/>
      <c r="N28" s="30"/>
      <c r="O28" s="30"/>
      <c r="P28" s="30"/>
      <c r="Q28" s="30"/>
      <c r="R28" s="30"/>
      <c r="S28" s="30"/>
      <c r="T28" s="30"/>
      <c r="U28" s="30"/>
      <c r="V28" s="31"/>
    </row>
    <row r="29" spans="1:22">
      <c r="A29" s="1" t="s">
        <v>50</v>
      </c>
      <c r="B29" s="29">
        <v>0</v>
      </c>
      <c r="C29" s="30">
        <v>0</v>
      </c>
      <c r="D29" s="30">
        <v>0</v>
      </c>
      <c r="E29" s="30">
        <v>0</v>
      </c>
      <c r="F29" s="30">
        <v>0</v>
      </c>
      <c r="G29" s="31">
        <f>SUM(MN_FINANCIAL)</f>
        <v>0</v>
      </c>
      <c r="H29" s="30"/>
      <c r="I29" s="30"/>
      <c r="J29" s="30"/>
      <c r="K29" s="30"/>
      <c r="L29" s="29"/>
      <c r="M29" s="30"/>
      <c r="N29" s="30"/>
      <c r="O29" s="30"/>
      <c r="P29" s="30"/>
      <c r="Q29" s="30"/>
      <c r="R29" s="30"/>
      <c r="S29" s="30"/>
      <c r="T29" s="30"/>
      <c r="U29" s="30"/>
      <c r="V29" s="31"/>
    </row>
    <row r="30" spans="1:22">
      <c r="A30" s="1" t="s">
        <v>51</v>
      </c>
      <c r="B30" s="29">
        <v>0</v>
      </c>
      <c r="C30" s="30">
        <v>0</v>
      </c>
      <c r="D30" s="30">
        <v>0</v>
      </c>
      <c r="E30" s="30">
        <v>0</v>
      </c>
      <c r="F30" s="30">
        <v>0</v>
      </c>
      <c r="G30" s="31">
        <f>SUM(MS_FINANCIAL)</f>
        <v>0</v>
      </c>
      <c r="H30" s="30"/>
      <c r="I30" s="30"/>
      <c r="J30" s="30"/>
      <c r="K30" s="30"/>
      <c r="L30" s="29"/>
      <c r="M30" s="30"/>
      <c r="N30" s="30"/>
      <c r="O30" s="30"/>
      <c r="P30" s="30"/>
      <c r="Q30" s="30"/>
      <c r="R30" s="30"/>
      <c r="S30" s="30"/>
      <c r="T30" s="30"/>
      <c r="U30" s="30"/>
      <c r="V30" s="31"/>
    </row>
    <row r="31" spans="1:22">
      <c r="A31" s="1" t="s">
        <v>52</v>
      </c>
      <c r="B31" s="29">
        <v>0</v>
      </c>
      <c r="C31" s="30">
        <v>0</v>
      </c>
      <c r="D31" s="30">
        <v>0</v>
      </c>
      <c r="E31" s="30">
        <v>0</v>
      </c>
      <c r="F31" s="30">
        <v>0</v>
      </c>
      <c r="G31" s="31">
        <f>SUM(MO_FINANCIAL)</f>
        <v>0</v>
      </c>
      <c r="H31" s="30"/>
      <c r="I31" s="30"/>
      <c r="J31" s="30"/>
      <c r="K31" s="30"/>
      <c r="L31" s="29"/>
      <c r="M31" s="30"/>
      <c r="N31" s="30"/>
      <c r="O31" s="30"/>
      <c r="P31" s="30"/>
      <c r="Q31" s="30"/>
      <c r="R31" s="30"/>
      <c r="S31" s="30"/>
      <c r="T31" s="30"/>
      <c r="U31" s="30"/>
      <c r="V31" s="31"/>
    </row>
    <row r="32" spans="1:22">
      <c r="A32" s="1" t="s">
        <v>53</v>
      </c>
      <c r="B32" s="29">
        <v>12880.392288419818</v>
      </c>
      <c r="C32" s="30">
        <v>966.71801063343423</v>
      </c>
      <c r="D32" s="30">
        <v>465.8244653606049</v>
      </c>
      <c r="E32" s="30">
        <v>0</v>
      </c>
      <c r="F32" s="30">
        <v>0</v>
      </c>
      <c r="G32" s="31">
        <f>SUM(MT_FINANCIAL)</f>
        <v>14312.934764413858</v>
      </c>
      <c r="H32" s="30"/>
      <c r="I32" s="30"/>
      <c r="J32" s="30"/>
      <c r="K32" s="30"/>
      <c r="L32" s="29">
        <v>30000</v>
      </c>
      <c r="M32" s="30">
        <v>0</v>
      </c>
      <c r="N32" s="30"/>
      <c r="O32" s="30">
        <v>0</v>
      </c>
      <c r="P32" s="30">
        <v>0</v>
      </c>
      <c r="Q32" s="30"/>
      <c r="R32" s="30">
        <v>0</v>
      </c>
      <c r="S32" s="30">
        <v>0</v>
      </c>
      <c r="T32" s="30"/>
      <c r="U32" s="30">
        <v>0</v>
      </c>
      <c r="V32" s="31">
        <v>0</v>
      </c>
    </row>
    <row r="33" spans="1:22">
      <c r="A33" s="1" t="s">
        <v>54</v>
      </c>
      <c r="B33" s="29">
        <v>689.11759118365444</v>
      </c>
      <c r="C33" s="30">
        <v>3267.5807195329762</v>
      </c>
      <c r="D33" s="30">
        <v>22.165199321494697</v>
      </c>
      <c r="E33" s="30">
        <v>0</v>
      </c>
      <c r="F33" s="30">
        <v>0</v>
      </c>
      <c r="G33" s="31">
        <f>SUM(NE_FINANCIAL)</f>
        <v>3978.8635100381252</v>
      </c>
      <c r="H33" s="30"/>
      <c r="I33" s="30"/>
      <c r="J33" s="30"/>
      <c r="K33" s="30"/>
      <c r="L33" s="29">
        <v>28935</v>
      </c>
      <c r="M33" s="30">
        <v>0</v>
      </c>
      <c r="N33" s="30"/>
      <c r="O33" s="30">
        <v>77694</v>
      </c>
      <c r="P33" s="30">
        <v>0</v>
      </c>
      <c r="Q33" s="30"/>
      <c r="R33" s="30">
        <v>0</v>
      </c>
      <c r="S33" s="30">
        <v>0</v>
      </c>
      <c r="T33" s="30"/>
      <c r="U33" s="30">
        <v>0</v>
      </c>
      <c r="V33" s="31">
        <v>0</v>
      </c>
    </row>
    <row r="34" spans="1:22">
      <c r="A34" s="1" t="s">
        <v>55</v>
      </c>
      <c r="B34" s="29">
        <v>0</v>
      </c>
      <c r="C34" s="30">
        <v>0</v>
      </c>
      <c r="D34" s="30">
        <v>0</v>
      </c>
      <c r="E34" s="30">
        <v>0</v>
      </c>
      <c r="F34" s="30">
        <v>0</v>
      </c>
      <c r="G34" s="31">
        <f>SUM(NV_FINANCIAL)</f>
        <v>0</v>
      </c>
      <c r="H34" s="30"/>
      <c r="I34" s="30"/>
      <c r="J34" s="30"/>
      <c r="K34" s="30"/>
      <c r="L34" s="29"/>
      <c r="M34" s="30"/>
      <c r="N34" s="30"/>
      <c r="O34" s="30"/>
      <c r="P34" s="30"/>
      <c r="Q34" s="30"/>
      <c r="R34" s="30"/>
      <c r="S34" s="30"/>
      <c r="T34" s="30"/>
      <c r="U34" s="30"/>
      <c r="V34" s="31"/>
    </row>
    <row r="35" spans="1:22">
      <c r="A35" s="1" t="s">
        <v>56</v>
      </c>
      <c r="B35" s="29">
        <v>0</v>
      </c>
      <c r="C35" s="30">
        <v>0</v>
      </c>
      <c r="D35" s="30">
        <v>0</v>
      </c>
      <c r="E35" s="30">
        <v>0</v>
      </c>
      <c r="F35" s="30">
        <v>0</v>
      </c>
      <c r="G35" s="31">
        <f>SUM(NH_FINANCIAL)</f>
        <v>0</v>
      </c>
      <c r="H35" s="30"/>
      <c r="I35" s="30"/>
      <c r="J35" s="30"/>
      <c r="K35" s="30"/>
      <c r="L35" s="29"/>
      <c r="M35" s="30"/>
      <c r="N35" s="30"/>
      <c r="O35" s="30"/>
      <c r="P35" s="30"/>
      <c r="Q35" s="30"/>
      <c r="R35" s="30"/>
      <c r="S35" s="30"/>
      <c r="T35" s="30"/>
      <c r="U35" s="30"/>
      <c r="V35" s="31"/>
    </row>
    <row r="36" spans="1:22">
      <c r="A36" s="1" t="s">
        <v>57</v>
      </c>
      <c r="B36" s="29">
        <v>0</v>
      </c>
      <c r="C36" s="30">
        <v>0</v>
      </c>
      <c r="D36" s="30">
        <v>0</v>
      </c>
      <c r="E36" s="30">
        <v>0</v>
      </c>
      <c r="F36" s="30">
        <v>0</v>
      </c>
      <c r="G36" s="31">
        <f>SUM(NJ_FINANCIAL)</f>
        <v>0</v>
      </c>
      <c r="H36" s="30"/>
      <c r="I36" s="30"/>
      <c r="J36" s="30"/>
      <c r="K36" s="30"/>
      <c r="L36" s="29"/>
      <c r="M36" s="30"/>
      <c r="N36" s="30"/>
      <c r="O36" s="30"/>
      <c r="P36" s="30"/>
      <c r="Q36" s="30"/>
      <c r="R36" s="30"/>
      <c r="S36" s="30"/>
      <c r="T36" s="30"/>
      <c r="U36" s="30"/>
      <c r="V36" s="31"/>
    </row>
    <row r="37" spans="1:22">
      <c r="A37" s="1" t="s">
        <v>58</v>
      </c>
      <c r="B37" s="29">
        <v>47930.183782199696</v>
      </c>
      <c r="C37" s="30">
        <v>24758.064901972317</v>
      </c>
      <c r="D37" s="30">
        <v>3292.1362128114156</v>
      </c>
      <c r="E37" s="30">
        <v>0</v>
      </c>
      <c r="F37" s="30">
        <v>0</v>
      </c>
      <c r="G37" s="31">
        <f>SUM(NM_FINANCIAL)</f>
        <v>75980.384896983422</v>
      </c>
      <c r="H37" s="30"/>
      <c r="I37" s="30"/>
      <c r="J37" s="30"/>
      <c r="K37" s="30"/>
      <c r="L37" s="29"/>
      <c r="M37" s="30"/>
      <c r="N37" s="30"/>
      <c r="O37" s="30"/>
      <c r="P37" s="30"/>
      <c r="Q37" s="30"/>
      <c r="R37" s="30"/>
      <c r="S37" s="30"/>
      <c r="T37" s="30"/>
      <c r="U37" s="30"/>
      <c r="V37" s="31"/>
    </row>
    <row r="38" spans="1:22">
      <c r="A38" s="1" t="s">
        <v>59</v>
      </c>
      <c r="B38" s="29">
        <v>0</v>
      </c>
      <c r="C38" s="30">
        <v>0</v>
      </c>
      <c r="D38" s="30">
        <v>0</v>
      </c>
      <c r="E38" s="30">
        <v>0</v>
      </c>
      <c r="F38" s="30">
        <v>0</v>
      </c>
      <c r="G38" s="31">
        <f>SUM(NY_FINANCIAL)</f>
        <v>0</v>
      </c>
      <c r="H38" s="30"/>
      <c r="I38" s="30"/>
      <c r="J38" s="30"/>
      <c r="K38" s="30"/>
      <c r="L38" s="29"/>
      <c r="M38" s="30"/>
      <c r="N38" s="30"/>
      <c r="O38" s="30"/>
      <c r="P38" s="30"/>
      <c r="Q38" s="30"/>
      <c r="R38" s="30"/>
      <c r="S38" s="30"/>
      <c r="T38" s="30"/>
      <c r="U38" s="30"/>
      <c r="V38" s="31"/>
    </row>
    <row r="39" spans="1:22">
      <c r="A39" s="1" t="s">
        <v>60</v>
      </c>
      <c r="B39" s="29">
        <v>0</v>
      </c>
      <c r="C39" s="30">
        <v>0</v>
      </c>
      <c r="D39" s="30">
        <v>0</v>
      </c>
      <c r="E39" s="30">
        <v>0</v>
      </c>
      <c r="F39" s="30">
        <v>0</v>
      </c>
      <c r="G39" s="31">
        <f>SUM(NC_FINANCIAL)</f>
        <v>0</v>
      </c>
      <c r="H39" s="30"/>
      <c r="I39" s="30"/>
      <c r="J39" s="30"/>
      <c r="K39" s="30"/>
      <c r="L39" s="29"/>
      <c r="M39" s="30"/>
      <c r="N39" s="30"/>
      <c r="O39" s="30"/>
      <c r="P39" s="30"/>
      <c r="Q39" s="30"/>
      <c r="R39" s="30"/>
      <c r="S39" s="30"/>
      <c r="T39" s="30"/>
      <c r="U39" s="30"/>
      <c r="V39" s="31"/>
    </row>
    <row r="40" spans="1:22">
      <c r="A40" s="1" t="s">
        <v>61</v>
      </c>
      <c r="B40" s="29">
        <v>295.46804106394598</v>
      </c>
      <c r="C40" s="30">
        <v>574.23202422952534</v>
      </c>
      <c r="D40" s="30">
        <v>9.3908050118765516</v>
      </c>
      <c r="E40" s="30">
        <v>0</v>
      </c>
      <c r="F40" s="30">
        <v>0</v>
      </c>
      <c r="G40" s="31">
        <f>SUM(ND_FINANCIAL)</f>
        <v>879.09087030534783</v>
      </c>
      <c r="H40" s="30"/>
      <c r="I40" s="30"/>
      <c r="J40" s="30"/>
      <c r="K40" s="30"/>
      <c r="L40" s="29">
        <v>1000</v>
      </c>
      <c r="M40" s="30">
        <v>0</v>
      </c>
      <c r="N40" s="30"/>
      <c r="O40" s="30">
        <v>1000</v>
      </c>
      <c r="P40" s="30">
        <v>0</v>
      </c>
      <c r="Q40" s="30"/>
      <c r="R40" s="30">
        <v>0</v>
      </c>
      <c r="S40" s="30">
        <v>0</v>
      </c>
      <c r="T40" s="30"/>
      <c r="U40" s="30">
        <v>0</v>
      </c>
      <c r="V40" s="31">
        <v>0</v>
      </c>
    </row>
    <row r="41" spans="1:22">
      <c r="A41" s="1" t="s">
        <v>62</v>
      </c>
      <c r="B41" s="29">
        <v>0</v>
      </c>
      <c r="C41" s="30">
        <v>0</v>
      </c>
      <c r="D41" s="30">
        <v>0</v>
      </c>
      <c r="E41" s="30">
        <v>0</v>
      </c>
      <c r="F41" s="30">
        <v>0</v>
      </c>
      <c r="G41" s="31">
        <f>SUM(OH_FINANCIAL)</f>
        <v>0</v>
      </c>
      <c r="H41" s="30"/>
      <c r="I41" s="30"/>
      <c r="J41" s="30"/>
      <c r="K41" s="30"/>
      <c r="L41" s="29"/>
      <c r="M41" s="30"/>
      <c r="N41" s="30"/>
      <c r="O41" s="30"/>
      <c r="P41" s="30"/>
      <c r="Q41" s="30"/>
      <c r="R41" s="30"/>
      <c r="S41" s="30"/>
      <c r="T41" s="30"/>
      <c r="U41" s="30"/>
      <c r="V41" s="31"/>
    </row>
    <row r="42" spans="1:22">
      <c r="A42" s="1" t="s">
        <v>63</v>
      </c>
      <c r="B42" s="29">
        <v>0</v>
      </c>
      <c r="C42" s="30">
        <v>0</v>
      </c>
      <c r="D42" s="30">
        <v>0</v>
      </c>
      <c r="E42" s="30">
        <v>0</v>
      </c>
      <c r="F42" s="30">
        <v>0</v>
      </c>
      <c r="G42" s="31">
        <f>SUM(OK_FINANCIAL)</f>
        <v>0</v>
      </c>
      <c r="H42" s="30"/>
      <c r="I42" s="30"/>
      <c r="J42" s="30"/>
      <c r="K42" s="30"/>
      <c r="L42" s="29"/>
      <c r="M42" s="30"/>
      <c r="N42" s="30"/>
      <c r="O42" s="30"/>
      <c r="P42" s="30"/>
      <c r="Q42" s="30"/>
      <c r="R42" s="30"/>
      <c r="S42" s="30"/>
      <c r="T42" s="30"/>
      <c r="U42" s="30"/>
      <c r="V42" s="31"/>
    </row>
    <row r="43" spans="1:22">
      <c r="A43" s="1" t="s">
        <v>64</v>
      </c>
      <c r="B43" s="29">
        <v>0</v>
      </c>
      <c r="C43" s="30">
        <v>0</v>
      </c>
      <c r="D43" s="30">
        <v>0</v>
      </c>
      <c r="E43" s="30">
        <v>0</v>
      </c>
      <c r="F43" s="30">
        <v>0</v>
      </c>
      <c r="G43" s="31">
        <f>SUM(OR_FINANCIAL)</f>
        <v>0</v>
      </c>
      <c r="H43" s="30"/>
      <c r="I43" s="30"/>
      <c r="J43" s="30"/>
      <c r="K43" s="30"/>
      <c r="L43" s="29"/>
      <c r="M43" s="30"/>
      <c r="N43" s="30"/>
      <c r="O43" s="30"/>
      <c r="P43" s="30"/>
      <c r="Q43" s="30"/>
      <c r="R43" s="30"/>
      <c r="S43" s="30"/>
      <c r="T43" s="30"/>
      <c r="U43" s="30"/>
      <c r="V43" s="31"/>
    </row>
    <row r="44" spans="1:22">
      <c r="A44" s="1" t="s">
        <v>65</v>
      </c>
      <c r="B44" s="29">
        <v>0</v>
      </c>
      <c r="C44" s="30">
        <v>0</v>
      </c>
      <c r="D44" s="30">
        <v>0</v>
      </c>
      <c r="E44" s="30">
        <v>0</v>
      </c>
      <c r="F44" s="30">
        <v>0</v>
      </c>
      <c r="G44" s="31">
        <f>SUM(PA_FINANCIAL)</f>
        <v>0</v>
      </c>
      <c r="H44" s="30"/>
      <c r="I44" s="30"/>
      <c r="J44" s="30"/>
      <c r="K44" s="30"/>
      <c r="L44" s="29"/>
      <c r="M44" s="30"/>
      <c r="N44" s="30"/>
      <c r="O44" s="30"/>
      <c r="P44" s="30"/>
      <c r="Q44" s="30"/>
      <c r="R44" s="30"/>
      <c r="S44" s="30"/>
      <c r="T44" s="30"/>
      <c r="U44" s="30"/>
      <c r="V44" s="31"/>
    </row>
    <row r="45" spans="1:22">
      <c r="A45" s="1" t="s">
        <v>66</v>
      </c>
      <c r="B45" s="29">
        <v>0</v>
      </c>
      <c r="C45" s="30">
        <v>0</v>
      </c>
      <c r="D45" s="30">
        <v>0</v>
      </c>
      <c r="E45" s="30">
        <v>0</v>
      </c>
      <c r="F45" s="30">
        <v>0</v>
      </c>
      <c r="G45" s="31">
        <f>SUM(PR_FINANCIAL)</f>
        <v>0</v>
      </c>
      <c r="H45" s="30"/>
      <c r="I45" s="30"/>
      <c r="J45" s="30"/>
      <c r="K45" s="30"/>
      <c r="L45" s="29"/>
      <c r="M45" s="30"/>
      <c r="N45" s="30"/>
      <c r="O45" s="30"/>
      <c r="P45" s="30"/>
      <c r="Q45" s="30"/>
      <c r="R45" s="30"/>
      <c r="S45" s="30"/>
      <c r="T45" s="30"/>
      <c r="U45" s="30"/>
      <c r="V45" s="31"/>
    </row>
    <row r="46" spans="1:22">
      <c r="A46" s="1" t="s">
        <v>67</v>
      </c>
      <c r="B46" s="29">
        <v>0</v>
      </c>
      <c r="C46" s="30">
        <v>0</v>
      </c>
      <c r="D46" s="30">
        <v>0</v>
      </c>
      <c r="E46" s="30">
        <v>0</v>
      </c>
      <c r="F46" s="30">
        <v>0</v>
      </c>
      <c r="G46" s="31">
        <f>SUM(RI_FINANCIAL)</f>
        <v>0</v>
      </c>
      <c r="H46" s="30"/>
      <c r="I46" s="30"/>
      <c r="J46" s="30"/>
      <c r="K46" s="30"/>
      <c r="L46" s="29"/>
      <c r="M46" s="30"/>
      <c r="N46" s="30"/>
      <c r="O46" s="30"/>
      <c r="P46" s="30"/>
      <c r="Q46" s="30"/>
      <c r="R46" s="30"/>
      <c r="S46" s="30"/>
      <c r="T46" s="30"/>
      <c r="U46" s="30"/>
      <c r="V46" s="31"/>
    </row>
    <row r="47" spans="1:22">
      <c r="A47" s="1" t="s">
        <v>68</v>
      </c>
      <c r="B47" s="29">
        <v>0</v>
      </c>
      <c r="C47" s="30">
        <v>0</v>
      </c>
      <c r="D47" s="30">
        <v>0</v>
      </c>
      <c r="E47" s="30">
        <v>0</v>
      </c>
      <c r="F47" s="30">
        <v>0</v>
      </c>
      <c r="G47" s="31">
        <f>SUM(SC_FINANCIAL)</f>
        <v>0</v>
      </c>
      <c r="H47" s="30"/>
      <c r="I47" s="30"/>
      <c r="J47" s="30"/>
      <c r="K47" s="30"/>
      <c r="L47" s="29"/>
      <c r="M47" s="30"/>
      <c r="N47" s="30"/>
      <c r="O47" s="30"/>
      <c r="P47" s="30"/>
      <c r="Q47" s="30"/>
      <c r="R47" s="30"/>
      <c r="S47" s="30"/>
      <c r="T47" s="30"/>
      <c r="U47" s="30"/>
      <c r="V47" s="31"/>
    </row>
    <row r="48" spans="1:22">
      <c r="A48" s="1" t="s">
        <v>69</v>
      </c>
      <c r="B48" s="29">
        <v>6460.5250101997153</v>
      </c>
      <c r="C48" s="30">
        <v>5017.9099929657959</v>
      </c>
      <c r="D48" s="30">
        <v>1358.0113559783847</v>
      </c>
      <c r="E48" s="30">
        <v>0</v>
      </c>
      <c r="F48" s="30">
        <v>0</v>
      </c>
      <c r="G48" s="31">
        <f>SUM(SD_FINANCIAL)</f>
        <v>12836.446359143896</v>
      </c>
      <c r="H48" s="30"/>
      <c r="I48" s="30"/>
      <c r="J48" s="30"/>
      <c r="K48" s="30"/>
      <c r="L48" s="29">
        <v>24000</v>
      </c>
      <c r="M48" s="30">
        <v>0</v>
      </c>
      <c r="N48" s="30"/>
      <c r="O48" s="30">
        <v>7228</v>
      </c>
      <c r="P48" s="30">
        <v>0</v>
      </c>
      <c r="Q48" s="30"/>
      <c r="R48" s="30">
        <v>0</v>
      </c>
      <c r="S48" s="30">
        <v>0</v>
      </c>
      <c r="T48" s="30"/>
      <c r="U48" s="30">
        <v>0</v>
      </c>
      <c r="V48" s="31">
        <v>0</v>
      </c>
    </row>
    <row r="49" spans="1:22">
      <c r="A49" s="1" t="s">
        <v>70</v>
      </c>
      <c r="B49" s="29">
        <v>0</v>
      </c>
      <c r="C49" s="30">
        <v>0</v>
      </c>
      <c r="D49" s="30">
        <v>0</v>
      </c>
      <c r="E49" s="30">
        <v>0</v>
      </c>
      <c r="F49" s="30">
        <v>0</v>
      </c>
      <c r="G49" s="31">
        <f>SUM(TN_FINANCIAL)</f>
        <v>0</v>
      </c>
      <c r="H49" s="30"/>
      <c r="I49" s="30"/>
      <c r="J49" s="30"/>
      <c r="K49" s="30"/>
      <c r="L49" s="29"/>
      <c r="M49" s="30"/>
      <c r="N49" s="30"/>
      <c r="O49" s="30"/>
      <c r="P49" s="30"/>
      <c r="Q49" s="30"/>
      <c r="R49" s="30"/>
      <c r="S49" s="30"/>
      <c r="T49" s="30"/>
      <c r="U49" s="30"/>
      <c r="V49" s="31"/>
    </row>
    <row r="50" spans="1:22">
      <c r="A50" s="1" t="s">
        <v>71</v>
      </c>
      <c r="B50" s="29">
        <v>0</v>
      </c>
      <c r="C50" s="30">
        <v>0</v>
      </c>
      <c r="D50" s="30">
        <v>0</v>
      </c>
      <c r="E50" s="30">
        <v>0</v>
      </c>
      <c r="F50" s="30">
        <v>0</v>
      </c>
      <c r="G50" s="31">
        <f>SUM(TX_FINANCIAL)</f>
        <v>0</v>
      </c>
      <c r="H50" s="30"/>
      <c r="I50" s="30"/>
      <c r="J50" s="30"/>
      <c r="K50" s="30"/>
      <c r="L50" s="29"/>
      <c r="M50" s="30"/>
      <c r="N50" s="30"/>
      <c r="O50" s="30"/>
      <c r="P50" s="30"/>
      <c r="Q50" s="30"/>
      <c r="R50" s="30"/>
      <c r="S50" s="30"/>
      <c r="T50" s="30"/>
      <c r="U50" s="30"/>
      <c r="V50" s="31"/>
    </row>
    <row r="51" spans="1:22">
      <c r="A51" s="1" t="s">
        <v>72</v>
      </c>
      <c r="B51" s="29">
        <v>5726.8829651670922</v>
      </c>
      <c r="C51" s="30">
        <v>0</v>
      </c>
      <c r="D51" s="30">
        <v>239.05049554694821</v>
      </c>
      <c r="E51" s="30">
        <v>0</v>
      </c>
      <c r="F51" s="30">
        <v>0</v>
      </c>
      <c r="G51" s="31">
        <f>SUM(UT_FINANCIAL)</f>
        <v>5965.9334607140399</v>
      </c>
      <c r="H51" s="30"/>
      <c r="I51" s="30"/>
      <c r="J51" s="30"/>
      <c r="K51" s="30"/>
      <c r="L51" s="29">
        <v>18000</v>
      </c>
      <c r="M51" s="30">
        <v>0</v>
      </c>
      <c r="N51" s="30"/>
      <c r="O51" s="30">
        <v>0</v>
      </c>
      <c r="P51" s="30">
        <v>0</v>
      </c>
      <c r="Q51" s="30"/>
      <c r="R51" s="30">
        <v>0</v>
      </c>
      <c r="S51" s="30">
        <v>0</v>
      </c>
      <c r="T51" s="30"/>
      <c r="U51" s="30">
        <v>0</v>
      </c>
      <c r="V51" s="31">
        <v>0</v>
      </c>
    </row>
    <row r="52" spans="1:22">
      <c r="A52" s="1" t="s">
        <v>73</v>
      </c>
      <c r="B52" s="29">
        <v>0</v>
      </c>
      <c r="C52" s="30">
        <v>0</v>
      </c>
      <c r="D52" s="30">
        <v>0</v>
      </c>
      <c r="E52" s="30">
        <v>0</v>
      </c>
      <c r="F52" s="30">
        <v>0</v>
      </c>
      <c r="G52" s="31">
        <f>SUM(VT_FINANCIAL)</f>
        <v>0</v>
      </c>
      <c r="H52" s="30"/>
      <c r="I52" s="30"/>
      <c r="J52" s="30"/>
      <c r="K52" s="30"/>
      <c r="L52" s="29"/>
      <c r="M52" s="30"/>
      <c r="N52" s="30"/>
      <c r="O52" s="30"/>
      <c r="P52" s="30"/>
      <c r="Q52" s="30"/>
      <c r="R52" s="30"/>
      <c r="S52" s="30"/>
      <c r="T52" s="30"/>
      <c r="U52" s="30"/>
      <c r="V52" s="31"/>
    </row>
    <row r="53" spans="1:22">
      <c r="A53" s="1" t="s">
        <v>74</v>
      </c>
      <c r="B53" s="29">
        <v>0</v>
      </c>
      <c r="C53" s="30">
        <v>0</v>
      </c>
      <c r="D53" s="30">
        <v>0</v>
      </c>
      <c r="E53" s="30">
        <v>0</v>
      </c>
      <c r="F53" s="30">
        <v>0</v>
      </c>
      <c r="G53" s="31">
        <f>SUM(VA_FINANCIAL)</f>
        <v>0</v>
      </c>
      <c r="H53" s="30"/>
      <c r="I53" s="30"/>
      <c r="J53" s="30"/>
      <c r="K53" s="30"/>
      <c r="L53" s="29"/>
      <c r="M53" s="30"/>
      <c r="N53" s="30"/>
      <c r="O53" s="30"/>
      <c r="P53" s="30"/>
      <c r="Q53" s="30"/>
      <c r="R53" s="30"/>
      <c r="S53" s="30"/>
      <c r="T53" s="30"/>
      <c r="U53" s="30"/>
      <c r="V53" s="31"/>
    </row>
    <row r="54" spans="1:22">
      <c r="A54" s="1" t="s">
        <v>75</v>
      </c>
      <c r="B54" s="29">
        <v>10115.274184277332</v>
      </c>
      <c r="C54" s="30">
        <v>0</v>
      </c>
      <c r="D54" s="30">
        <v>1224.8459285210597</v>
      </c>
      <c r="E54" s="30">
        <v>0</v>
      </c>
      <c r="F54" s="30">
        <v>0</v>
      </c>
      <c r="G54" s="31">
        <f>SUM(WA_FINANCIAL)</f>
        <v>11340.120112798391</v>
      </c>
      <c r="H54" s="30"/>
      <c r="I54" s="30"/>
      <c r="J54" s="30"/>
      <c r="K54" s="30"/>
      <c r="L54" s="29"/>
      <c r="M54" s="30"/>
      <c r="N54" s="30"/>
      <c r="O54" s="30"/>
      <c r="P54" s="30"/>
      <c r="Q54" s="30"/>
      <c r="R54" s="30"/>
      <c r="S54" s="30"/>
      <c r="T54" s="30"/>
      <c r="U54" s="30"/>
      <c r="V54" s="31"/>
    </row>
    <row r="55" spans="1:22">
      <c r="A55" s="1" t="s">
        <v>76</v>
      </c>
      <c r="B55" s="29">
        <v>0</v>
      </c>
      <c r="C55" s="30">
        <v>0</v>
      </c>
      <c r="D55" s="30">
        <v>0</v>
      </c>
      <c r="E55" s="30">
        <v>0</v>
      </c>
      <c r="F55" s="30">
        <v>0</v>
      </c>
      <c r="G55" s="31">
        <f>SUM(WV_FINANCIAL)</f>
        <v>0</v>
      </c>
      <c r="H55" s="30"/>
      <c r="I55" s="30"/>
      <c r="J55" s="30"/>
      <c r="K55" s="30"/>
      <c r="L55" s="29"/>
      <c r="M55" s="30"/>
      <c r="N55" s="30"/>
      <c r="O55" s="30"/>
      <c r="P55" s="30"/>
      <c r="Q55" s="30"/>
      <c r="R55" s="30"/>
      <c r="S55" s="30"/>
      <c r="T55" s="30"/>
      <c r="U55" s="30"/>
      <c r="V55" s="31"/>
    </row>
    <row r="56" spans="1:22">
      <c r="A56" s="1" t="s">
        <v>77</v>
      </c>
      <c r="B56" s="29">
        <v>0</v>
      </c>
      <c r="C56" s="30">
        <v>0</v>
      </c>
      <c r="D56" s="30">
        <v>0</v>
      </c>
      <c r="E56" s="30">
        <v>0</v>
      </c>
      <c r="F56" s="30">
        <v>0</v>
      </c>
      <c r="G56" s="31">
        <f>SUM(WI_FINANCIAL)</f>
        <v>0</v>
      </c>
      <c r="H56" s="30"/>
      <c r="I56" s="30"/>
      <c r="J56" s="30"/>
      <c r="K56" s="30"/>
      <c r="L56" s="29"/>
      <c r="M56" s="30"/>
      <c r="N56" s="30"/>
      <c r="O56" s="30"/>
      <c r="P56" s="30"/>
      <c r="Q56" s="30"/>
      <c r="R56" s="30"/>
      <c r="S56" s="30"/>
      <c r="T56" s="30"/>
      <c r="U56" s="30"/>
      <c r="V56" s="31"/>
    </row>
    <row r="57" spans="1:22">
      <c r="A57" s="1" t="s">
        <v>78</v>
      </c>
      <c r="B57" s="29">
        <v>454042.12233999406</v>
      </c>
      <c r="C57" s="30">
        <v>632259.56460591336</v>
      </c>
      <c r="D57" s="30">
        <v>52509.79689739272</v>
      </c>
      <c r="E57" s="30">
        <v>0</v>
      </c>
      <c r="F57" s="30">
        <v>0</v>
      </c>
      <c r="G57" s="31">
        <f>SUM(WY_FINANCIAL)</f>
        <v>1138811.4838433</v>
      </c>
      <c r="H57" s="30"/>
      <c r="I57" s="30"/>
      <c r="J57" s="30"/>
      <c r="K57" s="30"/>
      <c r="L57" s="29">
        <v>1600148</v>
      </c>
      <c r="M57" s="30">
        <v>0</v>
      </c>
      <c r="N57" s="30"/>
      <c r="O57" s="30">
        <v>2718848</v>
      </c>
      <c r="P57" s="30">
        <v>0</v>
      </c>
      <c r="Q57" s="30"/>
      <c r="R57" s="30">
        <v>30000</v>
      </c>
      <c r="S57" s="30">
        <v>0</v>
      </c>
      <c r="T57" s="30"/>
      <c r="U57" s="30">
        <v>0</v>
      </c>
      <c r="V57" s="31">
        <v>0</v>
      </c>
    </row>
    <row r="58" spans="1:22">
      <c r="A58" s="1" t="s">
        <v>79</v>
      </c>
      <c r="B58" s="29">
        <v>0</v>
      </c>
      <c r="C58" s="30">
        <v>0</v>
      </c>
      <c r="D58" s="30">
        <v>0</v>
      </c>
      <c r="E58" s="30">
        <v>0</v>
      </c>
      <c r="F58" s="30">
        <v>0</v>
      </c>
      <c r="G58" s="31">
        <f>SUM(OT_FINANCIAL)</f>
        <v>0</v>
      </c>
      <c r="H58" s="30"/>
      <c r="I58" s="30"/>
      <c r="J58" s="30"/>
      <c r="K58" s="30"/>
      <c r="L58" s="29"/>
      <c r="M58" s="30"/>
      <c r="N58" s="30"/>
      <c r="O58" s="30"/>
      <c r="P58" s="30"/>
      <c r="Q58" s="30"/>
      <c r="R58" s="30"/>
      <c r="S58" s="30"/>
      <c r="T58" s="30"/>
      <c r="U58" s="30"/>
      <c r="V58" s="31"/>
    </row>
    <row r="59" spans="1:22">
      <c r="B59" s="29"/>
      <c r="C59" s="30"/>
      <c r="D59" s="30"/>
      <c r="E59" s="30"/>
      <c r="F59" s="30"/>
      <c r="G59" s="31"/>
      <c r="H59" s="30"/>
      <c r="I59" s="30"/>
      <c r="J59" s="30"/>
      <c r="K59" s="30"/>
      <c r="L59" s="29"/>
      <c r="M59" s="30"/>
      <c r="N59" s="30"/>
      <c r="O59" s="30"/>
      <c r="P59" s="30"/>
      <c r="Q59" s="30"/>
      <c r="R59" s="30"/>
      <c r="S59" s="30"/>
      <c r="T59" s="30"/>
      <c r="U59" s="30"/>
      <c r="V59" s="31"/>
    </row>
    <row r="60" spans="1:22">
      <c r="A60" s="1" t="s">
        <v>8</v>
      </c>
      <c r="B60" s="29">
        <f>SUM(LIFE)</f>
        <v>649599.83585779928</v>
      </c>
      <c r="C60" s="30">
        <f>SUM(ALLOCATED)</f>
        <v>760326.7090813081</v>
      </c>
      <c r="D60" s="30">
        <f>SUM(HEALTH)</f>
        <v>64157.024160892492</v>
      </c>
      <c r="E60" s="30">
        <f>SUM(UNALLOCATED)</f>
        <v>0</v>
      </c>
      <c r="F60" s="30">
        <f>SUM(LTC)</f>
        <v>0</v>
      </c>
      <c r="G60" s="31">
        <f>SUM(ALL_BLOCKS)</f>
        <v>1474083.5691</v>
      </c>
      <c r="H60" s="30"/>
      <c r="I60" s="30"/>
      <c r="J60" s="30"/>
      <c r="K60" s="30"/>
      <c r="L60" s="29">
        <f>SUM(LIFE_CALLED)</f>
        <v>1985301</v>
      </c>
      <c r="M60" s="30">
        <f>SUM(LIFE_REFUNDED)</f>
        <v>0</v>
      </c>
      <c r="N60" s="30"/>
      <c r="O60" s="30">
        <f>SUM(ALLOC_CALLED)</f>
        <v>3071552</v>
      </c>
      <c r="P60" s="30">
        <f>SUM(ALLOC_REFUNDED)</f>
        <v>0</v>
      </c>
      <c r="Q60" s="30"/>
      <c r="R60" s="30">
        <f>SUM(HEALTH_CALLED)</f>
        <v>35000</v>
      </c>
      <c r="S60" s="30">
        <f>SUM(HEALTH_REFUNDED)</f>
        <v>0</v>
      </c>
      <c r="T60" s="30"/>
      <c r="U60" s="30">
        <f>SUM(UNALLOC_CALLED)</f>
        <v>0</v>
      </c>
      <c r="V60" s="31">
        <f>SUM(UNALLOC_REFUNDED)</f>
        <v>0</v>
      </c>
    </row>
    <row r="61" spans="1:22" ht="5.0999999999999996" customHeight="1">
      <c r="B61" s="8"/>
      <c r="G61" s="11"/>
      <c r="L61" s="8"/>
      <c r="V61" s="11"/>
    </row>
    <row r="62" spans="1:22">
      <c r="B62" s="8"/>
      <c r="G62" s="11"/>
      <c r="L62" s="122" t="s">
        <v>80</v>
      </c>
      <c r="M62" s="123"/>
      <c r="N62" s="123"/>
      <c r="O62" s="123"/>
      <c r="P62" s="123"/>
      <c r="Q62" s="123"/>
      <c r="R62" s="123"/>
      <c r="S62" s="123"/>
      <c r="T62" s="123"/>
      <c r="U62" s="123"/>
      <c r="V62" s="124"/>
    </row>
    <row r="63" spans="1:22">
      <c r="B63" s="8"/>
      <c r="G63" s="11"/>
      <c r="L63" s="125"/>
      <c r="M63" s="123"/>
      <c r="N63" s="123"/>
      <c r="O63" s="123"/>
      <c r="P63" s="123"/>
      <c r="Q63" s="123"/>
      <c r="R63" s="123"/>
      <c r="S63" s="123"/>
      <c r="T63" s="123"/>
      <c r="U63" s="123"/>
      <c r="V63" s="124"/>
    </row>
    <row r="64" spans="1:22">
      <c r="B64" s="10"/>
      <c r="C64" s="7"/>
      <c r="D64" s="7"/>
      <c r="E64" s="7"/>
      <c r="F64" s="7"/>
      <c r="G64" s="13"/>
      <c r="L64" s="126"/>
      <c r="M64" s="127"/>
      <c r="N64" s="127"/>
      <c r="O64" s="127"/>
      <c r="P64" s="127"/>
      <c r="Q64" s="127"/>
      <c r="R64" s="127"/>
      <c r="S64" s="127"/>
      <c r="T64" s="127"/>
      <c r="U64" s="127"/>
      <c r="V64" s="128"/>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pageSetUpPr fitToPage="1"/>
  </sheetPr>
  <dimension ref="A1:V64"/>
  <sheetViews>
    <sheetView zoomScale="75" workbookViewId="0">
      <selection sqref="A1:XFD1048576"/>
    </sheetView>
  </sheetViews>
  <sheetFormatPr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129" t="s">
        <v>152</v>
      </c>
      <c r="B1" s="123"/>
      <c r="C1" s="123"/>
      <c r="D1" s="123"/>
      <c r="E1" s="123"/>
      <c r="F1" s="123"/>
      <c r="G1" s="123"/>
    </row>
    <row r="3" spans="1:22">
      <c r="B3" s="130" t="s">
        <v>1</v>
      </c>
      <c r="C3" s="131"/>
      <c r="D3" s="131"/>
      <c r="E3" s="131"/>
      <c r="F3" s="131"/>
      <c r="G3" s="132"/>
      <c r="L3" s="133" t="s">
        <v>2</v>
      </c>
      <c r="M3" s="134"/>
      <c r="N3" s="134"/>
      <c r="O3" s="134"/>
      <c r="P3" s="134"/>
      <c r="Q3" s="134"/>
      <c r="R3" s="134"/>
      <c r="S3" s="134"/>
      <c r="T3" s="134"/>
      <c r="U3" s="134"/>
      <c r="V3" s="135"/>
    </row>
    <row r="4" spans="1:22">
      <c r="B4" s="8"/>
      <c r="G4" s="11"/>
      <c r="L4" s="136" t="s">
        <v>3</v>
      </c>
      <c r="M4" s="137"/>
      <c r="N4" s="4"/>
      <c r="O4" s="138" t="s">
        <v>4</v>
      </c>
      <c r="P4" s="137"/>
      <c r="Q4" s="4"/>
      <c r="R4" s="138" t="s">
        <v>5</v>
      </c>
      <c r="S4" s="137"/>
      <c r="T4" s="4"/>
      <c r="U4" s="138" t="s">
        <v>6</v>
      </c>
      <c r="V4" s="139"/>
    </row>
    <row r="5" spans="1:22" ht="60" customHeight="1">
      <c r="B5" s="9" t="s">
        <v>3</v>
      </c>
      <c r="C5" s="5" t="s">
        <v>4</v>
      </c>
      <c r="D5" s="5" t="s">
        <v>5</v>
      </c>
      <c r="E5" s="5" t="s">
        <v>6</v>
      </c>
      <c r="F5" s="5" t="s">
        <v>7</v>
      </c>
      <c r="G5" s="12" t="s">
        <v>8</v>
      </c>
      <c r="L5" s="15" t="s">
        <v>9</v>
      </c>
      <c r="M5" s="14" t="s">
        <v>10</v>
      </c>
      <c r="N5" s="14"/>
      <c r="O5" s="14" t="s">
        <v>9</v>
      </c>
      <c r="P5" s="14" t="s">
        <v>10</v>
      </c>
      <c r="Q5" s="14"/>
      <c r="R5" s="14" t="s">
        <v>9</v>
      </c>
      <c r="S5" s="14" t="s">
        <v>10</v>
      </c>
      <c r="T5" s="14"/>
      <c r="U5" s="14" t="s">
        <v>9</v>
      </c>
      <c r="V5" s="16" t="s">
        <v>10</v>
      </c>
    </row>
    <row r="6" spans="1:22">
      <c r="A6" s="1" t="s">
        <v>11</v>
      </c>
      <c r="B6" s="29">
        <v>41016.598918888827</v>
      </c>
      <c r="C6" s="30">
        <v>18216.684281940252</v>
      </c>
      <c r="D6" s="30">
        <v>0</v>
      </c>
      <c r="E6" s="30">
        <v>0</v>
      </c>
      <c r="F6" s="30">
        <v>0</v>
      </c>
      <c r="G6" s="31">
        <f>SUM(AL_FINANCIAL)</f>
        <v>59233.283200829079</v>
      </c>
      <c r="H6" s="30"/>
      <c r="I6" s="30"/>
      <c r="J6" s="30"/>
      <c r="K6" s="30"/>
      <c r="L6" s="29">
        <v>52000</v>
      </c>
      <c r="M6" s="30">
        <v>0</v>
      </c>
      <c r="N6" s="30"/>
      <c r="O6" s="30">
        <v>6439</v>
      </c>
      <c r="P6" s="30">
        <v>0</v>
      </c>
      <c r="Q6" s="30"/>
      <c r="R6" s="30">
        <v>0</v>
      </c>
      <c r="S6" s="30">
        <v>0</v>
      </c>
      <c r="T6" s="30"/>
      <c r="U6" s="30">
        <v>0</v>
      </c>
      <c r="V6" s="31">
        <v>0</v>
      </c>
    </row>
    <row r="7" spans="1:22">
      <c r="A7" s="1" t="s">
        <v>12</v>
      </c>
      <c r="B7" s="29">
        <v>0</v>
      </c>
      <c r="C7" s="30">
        <v>0</v>
      </c>
      <c r="D7" s="30">
        <v>0</v>
      </c>
      <c r="E7" s="30">
        <v>0</v>
      </c>
      <c r="F7" s="30">
        <v>0</v>
      </c>
      <c r="G7" s="31">
        <f>SUM(AK_FINANCIAL)</f>
        <v>0</v>
      </c>
      <c r="H7" s="30"/>
      <c r="I7" s="32"/>
      <c r="J7" s="33"/>
      <c r="K7" s="30"/>
      <c r="L7" s="29">
        <v>110</v>
      </c>
      <c r="M7" s="30">
        <v>0</v>
      </c>
      <c r="N7" s="30"/>
      <c r="O7" s="30">
        <v>0</v>
      </c>
      <c r="P7" s="30">
        <v>0</v>
      </c>
      <c r="Q7" s="30"/>
      <c r="R7" s="30">
        <v>0</v>
      </c>
      <c r="S7" s="30">
        <v>0</v>
      </c>
      <c r="T7" s="30"/>
      <c r="U7" s="30">
        <v>0</v>
      </c>
      <c r="V7" s="31">
        <v>0</v>
      </c>
    </row>
    <row r="8" spans="1:22">
      <c r="A8" s="1" t="s">
        <v>13</v>
      </c>
      <c r="B8" s="29">
        <v>562873.04993936257</v>
      </c>
      <c r="C8" s="30">
        <v>953959.97063714778</v>
      </c>
      <c r="D8" s="30">
        <v>0</v>
      </c>
      <c r="E8" s="30">
        <v>0</v>
      </c>
      <c r="F8" s="30">
        <v>0</v>
      </c>
      <c r="G8" s="31">
        <f>SUM(AZ_FINANCIAL)</f>
        <v>1516833.0205765103</v>
      </c>
      <c r="H8" s="30"/>
      <c r="I8" s="34" t="s">
        <v>14</v>
      </c>
      <c r="J8" s="35"/>
      <c r="K8" s="30"/>
      <c r="L8" s="29">
        <v>689003</v>
      </c>
      <c r="M8" s="30">
        <v>0</v>
      </c>
      <c r="N8" s="30"/>
      <c r="O8" s="30">
        <v>391573</v>
      </c>
      <c r="P8" s="30">
        <v>0</v>
      </c>
      <c r="Q8" s="30"/>
      <c r="R8" s="30">
        <v>0</v>
      </c>
      <c r="S8" s="30">
        <v>0</v>
      </c>
      <c r="T8" s="30"/>
      <c r="U8" s="30">
        <v>0</v>
      </c>
      <c r="V8" s="31">
        <v>0</v>
      </c>
    </row>
    <row r="9" spans="1:22">
      <c r="A9" s="1" t="s">
        <v>15</v>
      </c>
      <c r="B9" s="29">
        <v>53504.016112616839</v>
      </c>
      <c r="C9" s="30">
        <v>99283.018669156489</v>
      </c>
      <c r="D9" s="30">
        <v>0</v>
      </c>
      <c r="E9" s="30">
        <v>0</v>
      </c>
      <c r="F9" s="30">
        <v>0</v>
      </c>
      <c r="G9" s="31">
        <f>SUM(AR_FINANCIAL)</f>
        <v>152787.03478177334</v>
      </c>
      <c r="H9" s="30"/>
      <c r="I9" s="34"/>
      <c r="J9" s="35"/>
      <c r="K9" s="30"/>
      <c r="L9" s="29">
        <v>190247</v>
      </c>
      <c r="M9" s="30">
        <v>0</v>
      </c>
      <c r="N9" s="30"/>
      <c r="O9" s="30">
        <v>0</v>
      </c>
      <c r="P9" s="30">
        <v>0</v>
      </c>
      <c r="Q9" s="30"/>
      <c r="R9" s="30">
        <v>0</v>
      </c>
      <c r="S9" s="30">
        <v>0</v>
      </c>
      <c r="T9" s="30"/>
      <c r="U9" s="30">
        <v>0</v>
      </c>
      <c r="V9" s="31">
        <v>0</v>
      </c>
    </row>
    <row r="10" spans="1:22">
      <c r="A10" s="1" t="s">
        <v>16</v>
      </c>
      <c r="B10" s="29">
        <v>0</v>
      </c>
      <c r="C10" s="30">
        <v>0</v>
      </c>
      <c r="D10" s="30">
        <v>0</v>
      </c>
      <c r="E10" s="30">
        <v>0</v>
      </c>
      <c r="F10" s="30">
        <v>0</v>
      </c>
      <c r="G10" s="31">
        <f>SUM(CA_FINANCIAL)</f>
        <v>0</v>
      </c>
      <c r="H10" s="30"/>
      <c r="I10" s="34" t="s">
        <v>17</v>
      </c>
      <c r="J10" s="35">
        <v>286944298</v>
      </c>
      <c r="K10" s="30"/>
      <c r="L10" s="29"/>
      <c r="M10" s="30"/>
      <c r="N10" s="30"/>
      <c r="O10" s="30"/>
      <c r="P10" s="30"/>
      <c r="Q10" s="30"/>
      <c r="R10" s="30"/>
      <c r="S10" s="30"/>
      <c r="T10" s="30"/>
      <c r="U10" s="30"/>
      <c r="V10" s="31"/>
    </row>
    <row r="11" spans="1:22">
      <c r="A11" s="1" t="s">
        <v>18</v>
      </c>
      <c r="B11" s="29">
        <v>0</v>
      </c>
      <c r="C11" s="30">
        <v>0</v>
      </c>
      <c r="D11" s="30">
        <v>0</v>
      </c>
      <c r="E11" s="30">
        <v>0</v>
      </c>
      <c r="F11" s="30">
        <v>0</v>
      </c>
      <c r="G11" s="31">
        <f>SUM(CO_FINANCIAL)</f>
        <v>0</v>
      </c>
      <c r="H11" s="30"/>
      <c r="I11" s="34"/>
      <c r="J11" s="35"/>
      <c r="K11" s="30"/>
      <c r="L11" s="29"/>
      <c r="M11" s="30"/>
      <c r="N11" s="30"/>
      <c r="O11" s="30"/>
      <c r="P11" s="30"/>
      <c r="Q11" s="30"/>
      <c r="R11" s="30"/>
      <c r="S11" s="30"/>
      <c r="T11" s="30"/>
      <c r="U11" s="30"/>
      <c r="V11" s="31"/>
    </row>
    <row r="12" spans="1:22">
      <c r="A12" s="1" t="s">
        <v>19</v>
      </c>
      <c r="B12" s="29">
        <v>0</v>
      </c>
      <c r="C12" s="30">
        <v>0</v>
      </c>
      <c r="D12" s="30">
        <v>0</v>
      </c>
      <c r="E12" s="30">
        <v>0</v>
      </c>
      <c r="F12" s="30">
        <v>0</v>
      </c>
      <c r="G12" s="31">
        <f>SUM(CT_FINANCIAL)</f>
        <v>0</v>
      </c>
      <c r="H12" s="30"/>
      <c r="I12" s="34" t="s">
        <v>20</v>
      </c>
      <c r="J12" s="35"/>
      <c r="K12" s="30"/>
      <c r="L12" s="29"/>
      <c r="M12" s="30"/>
      <c r="N12" s="30"/>
      <c r="O12" s="30"/>
      <c r="P12" s="30"/>
      <c r="Q12" s="30"/>
      <c r="R12" s="30"/>
      <c r="S12" s="30"/>
      <c r="T12" s="30"/>
      <c r="U12" s="30"/>
      <c r="V12" s="31"/>
    </row>
    <row r="13" spans="1:22">
      <c r="A13" s="1" t="s">
        <v>21</v>
      </c>
      <c r="B13" s="29">
        <v>13437.614711387589</v>
      </c>
      <c r="C13" s="30">
        <v>4719.14881419829</v>
      </c>
      <c r="D13" s="30">
        <v>0</v>
      </c>
      <c r="E13" s="30">
        <v>0</v>
      </c>
      <c r="F13" s="30">
        <v>0</v>
      </c>
      <c r="G13" s="31">
        <f>SUM(DE_FINANCIAL)</f>
        <v>18156.763525585877</v>
      </c>
      <c r="H13" s="30"/>
      <c r="I13" s="34" t="s">
        <v>22</v>
      </c>
      <c r="J13" s="35">
        <v>37921.869999999995</v>
      </c>
      <c r="K13" s="30"/>
      <c r="L13" s="29">
        <v>18000</v>
      </c>
      <c r="M13" s="30">
        <v>0</v>
      </c>
      <c r="N13" s="30"/>
      <c r="O13" s="30">
        <v>27000</v>
      </c>
      <c r="P13" s="30">
        <v>0</v>
      </c>
      <c r="Q13" s="30"/>
      <c r="R13" s="30">
        <v>0</v>
      </c>
      <c r="S13" s="30">
        <v>0</v>
      </c>
      <c r="T13" s="30"/>
      <c r="U13" s="30">
        <v>0</v>
      </c>
      <c r="V13" s="31">
        <v>0</v>
      </c>
    </row>
    <row r="14" spans="1:22">
      <c r="A14" s="1" t="s">
        <v>23</v>
      </c>
      <c r="B14" s="29">
        <v>0</v>
      </c>
      <c r="C14" s="30">
        <v>0</v>
      </c>
      <c r="D14" s="30">
        <v>0</v>
      </c>
      <c r="E14" s="30">
        <v>0</v>
      </c>
      <c r="F14" s="30">
        <v>0</v>
      </c>
      <c r="G14" s="31">
        <f>SUM(DC_FINANCIAL)</f>
        <v>0</v>
      </c>
      <c r="H14" s="30"/>
      <c r="I14" s="34" t="s">
        <v>24</v>
      </c>
      <c r="J14" s="35">
        <v>0</v>
      </c>
      <c r="K14" s="30"/>
      <c r="L14" s="29"/>
      <c r="M14" s="30"/>
      <c r="N14" s="30"/>
      <c r="O14" s="30"/>
      <c r="P14" s="30"/>
      <c r="Q14" s="30"/>
      <c r="R14" s="30"/>
      <c r="S14" s="30"/>
      <c r="T14" s="30"/>
      <c r="U14" s="30"/>
      <c r="V14" s="31"/>
    </row>
    <row r="15" spans="1:22">
      <c r="A15" s="1" t="s">
        <v>25</v>
      </c>
      <c r="B15" s="29">
        <v>833739.94934081787</v>
      </c>
      <c r="C15" s="30">
        <v>651194.01144719159</v>
      </c>
      <c r="D15" s="30">
        <v>0</v>
      </c>
      <c r="E15" s="30">
        <v>0</v>
      </c>
      <c r="F15" s="30">
        <v>0</v>
      </c>
      <c r="G15" s="31">
        <f>SUM(FL_FINANCIAL)</f>
        <v>1484933.9607880095</v>
      </c>
      <c r="H15" s="30"/>
      <c r="I15" s="34" t="s">
        <v>26</v>
      </c>
      <c r="J15" s="35">
        <v>4234013.8900000006</v>
      </c>
      <c r="K15" s="30"/>
      <c r="L15" s="29">
        <v>1050000</v>
      </c>
      <c r="M15" s="30">
        <v>0</v>
      </c>
      <c r="N15" s="30"/>
      <c r="O15" s="30">
        <v>610000</v>
      </c>
      <c r="P15" s="30">
        <v>0</v>
      </c>
      <c r="Q15" s="30"/>
      <c r="R15" s="30">
        <v>0</v>
      </c>
      <c r="S15" s="30">
        <v>0</v>
      </c>
      <c r="T15" s="30"/>
      <c r="U15" s="30">
        <v>0</v>
      </c>
      <c r="V15" s="31">
        <v>0</v>
      </c>
    </row>
    <row r="16" spans="1:22">
      <c r="A16" s="1" t="s">
        <v>27</v>
      </c>
      <c r="B16" s="29">
        <v>88528.730966546849</v>
      </c>
      <c r="C16" s="30">
        <v>66960.511673847635</v>
      </c>
      <c r="D16" s="30">
        <v>0</v>
      </c>
      <c r="E16" s="30">
        <v>0</v>
      </c>
      <c r="F16" s="30">
        <v>0</v>
      </c>
      <c r="G16" s="31">
        <f>SUM(GA_FINANCIAL)</f>
        <v>155489.24264039448</v>
      </c>
      <c r="H16" s="30"/>
      <c r="I16" s="34" t="s">
        <v>28</v>
      </c>
      <c r="J16" s="35">
        <v>0</v>
      </c>
      <c r="K16" s="30"/>
      <c r="L16" s="29">
        <v>700000</v>
      </c>
      <c r="M16" s="30">
        <v>0</v>
      </c>
      <c r="N16" s="30"/>
      <c r="O16" s="30">
        <v>300000</v>
      </c>
      <c r="P16" s="30">
        <v>7626.91</v>
      </c>
      <c r="Q16" s="30"/>
      <c r="R16" s="30">
        <v>0</v>
      </c>
      <c r="S16" s="30">
        <v>0</v>
      </c>
      <c r="T16" s="30"/>
      <c r="U16" s="30">
        <v>0</v>
      </c>
      <c r="V16" s="31">
        <v>0</v>
      </c>
    </row>
    <row r="17" spans="1:22">
      <c r="A17" s="1" t="s">
        <v>29</v>
      </c>
      <c r="B17" s="29">
        <v>1116713.0212970136</v>
      </c>
      <c r="C17" s="30">
        <v>271035.88320471195</v>
      </c>
      <c r="D17" s="30">
        <v>0</v>
      </c>
      <c r="E17" s="30">
        <v>0</v>
      </c>
      <c r="F17" s="30">
        <v>0</v>
      </c>
      <c r="G17" s="31">
        <f>SUM(HI_FINANCIAL)</f>
        <v>1387748.9045017255</v>
      </c>
      <c r="H17" s="30"/>
      <c r="I17" s="34"/>
      <c r="J17" s="35"/>
      <c r="K17" s="30"/>
      <c r="L17" s="29">
        <v>1498749</v>
      </c>
      <c r="M17" s="30">
        <v>0</v>
      </c>
      <c r="N17" s="30"/>
      <c r="O17" s="30">
        <v>326850</v>
      </c>
      <c r="P17" s="30">
        <v>0</v>
      </c>
      <c r="Q17" s="30"/>
      <c r="R17" s="30">
        <v>1129</v>
      </c>
      <c r="S17" s="30">
        <v>0</v>
      </c>
      <c r="T17" s="30"/>
      <c r="U17" s="30">
        <v>0</v>
      </c>
      <c r="V17" s="31">
        <v>0</v>
      </c>
    </row>
    <row r="18" spans="1:22">
      <c r="A18" s="1" t="s">
        <v>30</v>
      </c>
      <c r="B18" s="29">
        <v>337624.52893879544</v>
      </c>
      <c r="C18" s="30">
        <v>658539.71998381882</v>
      </c>
      <c r="D18" s="30">
        <v>0</v>
      </c>
      <c r="E18" s="30">
        <v>0</v>
      </c>
      <c r="F18" s="30">
        <v>0</v>
      </c>
      <c r="G18" s="31">
        <f>SUM(ID_FINANCIAL)</f>
        <v>996164.24892261426</v>
      </c>
      <c r="H18" s="30"/>
      <c r="I18" s="34" t="s">
        <v>31</v>
      </c>
      <c r="J18" s="35"/>
      <c r="K18" s="30"/>
      <c r="L18" s="29">
        <v>801000</v>
      </c>
      <c r="M18" s="30">
        <v>765495</v>
      </c>
      <c r="N18" s="30"/>
      <c r="O18" s="30">
        <v>987000</v>
      </c>
      <c r="P18" s="30">
        <v>0</v>
      </c>
      <c r="Q18" s="30"/>
      <c r="R18" s="30">
        <v>12000</v>
      </c>
      <c r="S18" s="30">
        <v>0</v>
      </c>
      <c r="T18" s="30"/>
      <c r="U18" s="30">
        <v>0</v>
      </c>
      <c r="V18" s="31">
        <v>0</v>
      </c>
    </row>
    <row r="19" spans="1:22">
      <c r="A19" s="1" t="s">
        <v>32</v>
      </c>
      <c r="B19" s="29">
        <v>575072.04567004193</v>
      </c>
      <c r="C19" s="30">
        <v>731599.17904769559</v>
      </c>
      <c r="D19" s="30">
        <v>0</v>
      </c>
      <c r="E19" s="30">
        <v>0</v>
      </c>
      <c r="F19" s="30">
        <v>0</v>
      </c>
      <c r="G19" s="31">
        <f>SUM(IL_FINANCIAL)</f>
        <v>1306671.2247177376</v>
      </c>
      <c r="H19" s="30"/>
      <c r="I19" s="34" t="s">
        <v>33</v>
      </c>
      <c r="J19" s="35">
        <v>202443924.18881601</v>
      </c>
      <c r="K19" s="30"/>
      <c r="L19" s="29">
        <v>940000</v>
      </c>
      <c r="M19" s="30">
        <v>302000</v>
      </c>
      <c r="N19" s="30"/>
      <c r="O19" s="30">
        <v>810000</v>
      </c>
      <c r="P19" s="30">
        <v>194000</v>
      </c>
      <c r="Q19" s="30"/>
      <c r="R19" s="30">
        <v>0</v>
      </c>
      <c r="S19" s="30">
        <v>0</v>
      </c>
      <c r="T19" s="30"/>
      <c r="U19" s="30">
        <v>0</v>
      </c>
      <c r="V19" s="31">
        <v>0</v>
      </c>
    </row>
    <row r="20" spans="1:22">
      <c r="A20" s="1" t="s">
        <v>34</v>
      </c>
      <c r="B20" s="29">
        <v>119633.93625063084</v>
      </c>
      <c r="C20" s="30">
        <v>193575.14855894167</v>
      </c>
      <c r="D20" s="30">
        <v>0</v>
      </c>
      <c r="E20" s="30">
        <v>0</v>
      </c>
      <c r="F20" s="30">
        <v>0</v>
      </c>
      <c r="G20" s="31">
        <f>SUM(IN_FINANCIAL)</f>
        <v>313209.08480957249</v>
      </c>
      <c r="H20" s="30"/>
      <c r="I20" s="34" t="s">
        <v>35</v>
      </c>
      <c r="J20" s="35">
        <v>32137465.317571491</v>
      </c>
      <c r="K20" s="30"/>
      <c r="L20" s="29"/>
      <c r="M20" s="30"/>
      <c r="N20" s="30"/>
      <c r="O20" s="30"/>
      <c r="P20" s="30"/>
      <c r="Q20" s="30"/>
      <c r="R20" s="30"/>
      <c r="S20" s="30"/>
      <c r="T20" s="30"/>
      <c r="U20" s="30"/>
      <c r="V20" s="31"/>
    </row>
    <row r="21" spans="1:22">
      <c r="A21" s="1" t="s">
        <v>36</v>
      </c>
      <c r="B21" s="29">
        <v>76345.387741026731</v>
      </c>
      <c r="C21" s="30">
        <v>157453.13393958157</v>
      </c>
      <c r="D21" s="30">
        <v>0</v>
      </c>
      <c r="E21" s="30">
        <v>0</v>
      </c>
      <c r="F21" s="30">
        <v>0</v>
      </c>
      <c r="G21" s="31">
        <f>SUM(IA_FINANCIAL)</f>
        <v>233798.5216806083</v>
      </c>
      <c r="H21" s="30"/>
      <c r="I21" s="34" t="s">
        <v>37</v>
      </c>
      <c r="J21" s="35"/>
      <c r="K21" s="30"/>
      <c r="L21" s="29">
        <v>200000</v>
      </c>
      <c r="M21" s="30">
        <v>0</v>
      </c>
      <c r="N21" s="30"/>
      <c r="O21" s="30">
        <v>0</v>
      </c>
      <c r="P21" s="30">
        <v>0</v>
      </c>
      <c r="Q21" s="30"/>
      <c r="R21" s="30">
        <v>0</v>
      </c>
      <c r="S21" s="30">
        <v>0</v>
      </c>
      <c r="T21" s="30"/>
      <c r="U21" s="30">
        <v>0</v>
      </c>
      <c r="V21" s="31">
        <v>0</v>
      </c>
    </row>
    <row r="22" spans="1:22">
      <c r="A22" s="1" t="s">
        <v>38</v>
      </c>
      <c r="B22" s="29">
        <v>0</v>
      </c>
      <c r="C22" s="30">
        <v>0</v>
      </c>
      <c r="D22" s="30">
        <v>0</v>
      </c>
      <c r="E22" s="30">
        <v>0</v>
      </c>
      <c r="F22" s="30">
        <v>0</v>
      </c>
      <c r="G22" s="31">
        <f>SUM(KS_FINANCIAL)</f>
        <v>0</v>
      </c>
      <c r="H22" s="30"/>
      <c r="I22" s="34" t="s">
        <v>39</v>
      </c>
      <c r="J22" s="35">
        <v>27830305.493612494</v>
      </c>
      <c r="K22" s="30"/>
      <c r="L22" s="29"/>
      <c r="M22" s="30"/>
      <c r="N22" s="30"/>
      <c r="O22" s="30"/>
      <c r="P22" s="30"/>
      <c r="Q22" s="30"/>
      <c r="R22" s="30"/>
      <c r="S22" s="30"/>
      <c r="T22" s="30"/>
      <c r="U22" s="30"/>
      <c r="V22" s="31"/>
    </row>
    <row r="23" spans="1:22">
      <c r="A23" s="1" t="s">
        <v>40</v>
      </c>
      <c r="B23" s="29">
        <v>110755.68997327801</v>
      </c>
      <c r="C23" s="30">
        <v>63241.22334880237</v>
      </c>
      <c r="D23" s="30">
        <v>0</v>
      </c>
      <c r="E23" s="30">
        <v>0</v>
      </c>
      <c r="F23" s="30">
        <v>0</v>
      </c>
      <c r="G23" s="31">
        <f>SUM(KY_FINANCIAL)</f>
        <v>173996.91332208039</v>
      </c>
      <c r="H23" s="30"/>
      <c r="I23" s="34" t="s">
        <v>41</v>
      </c>
      <c r="J23" s="35"/>
      <c r="K23" s="30"/>
      <c r="L23" s="29">
        <v>119576</v>
      </c>
      <c r="M23" s="30">
        <v>0</v>
      </c>
      <c r="N23" s="30"/>
      <c r="O23" s="30">
        <v>56024</v>
      </c>
      <c r="P23" s="30">
        <v>0</v>
      </c>
      <c r="Q23" s="30"/>
      <c r="R23" s="30">
        <v>0</v>
      </c>
      <c r="S23" s="30">
        <v>0</v>
      </c>
      <c r="T23" s="30"/>
      <c r="U23" s="30">
        <v>0</v>
      </c>
      <c r="V23" s="31">
        <v>0</v>
      </c>
    </row>
    <row r="24" spans="1:22">
      <c r="A24" s="1" t="s">
        <v>42</v>
      </c>
      <c r="B24" s="29">
        <v>0</v>
      </c>
      <c r="C24" s="30">
        <v>0</v>
      </c>
      <c r="D24" s="30">
        <v>0</v>
      </c>
      <c r="E24" s="30">
        <v>0</v>
      </c>
      <c r="F24" s="30">
        <v>0</v>
      </c>
      <c r="G24" s="31">
        <f>SUM(LA_FINANCIAL)</f>
        <v>0</v>
      </c>
      <c r="H24" s="30"/>
      <c r="I24" s="34" t="s">
        <v>43</v>
      </c>
      <c r="J24" s="35">
        <v>381030.99999999994</v>
      </c>
      <c r="K24" s="30"/>
      <c r="L24" s="29"/>
      <c r="M24" s="30"/>
      <c r="N24" s="30"/>
      <c r="O24" s="30"/>
      <c r="P24" s="30"/>
      <c r="Q24" s="30"/>
      <c r="R24" s="30"/>
      <c r="S24" s="30"/>
      <c r="T24" s="30"/>
      <c r="U24" s="30"/>
      <c r="V24" s="31"/>
    </row>
    <row r="25" spans="1:22">
      <c r="A25" s="1" t="s">
        <v>44</v>
      </c>
      <c r="B25" s="29">
        <v>140150.53701118837</v>
      </c>
      <c r="C25" s="30">
        <v>236492.11827458662</v>
      </c>
      <c r="D25" s="30">
        <v>0</v>
      </c>
      <c r="E25" s="30">
        <v>0</v>
      </c>
      <c r="F25" s="30">
        <v>0</v>
      </c>
      <c r="G25" s="31">
        <f>SUM(ME_FINANCIAL)</f>
        <v>376642.65528577496</v>
      </c>
      <c r="H25" s="30"/>
      <c r="I25" s="34"/>
      <c r="J25" s="35"/>
      <c r="K25" s="30"/>
      <c r="L25" s="29">
        <v>134289</v>
      </c>
      <c r="M25" s="30">
        <v>0</v>
      </c>
      <c r="N25" s="30"/>
      <c r="O25" s="30">
        <v>290711</v>
      </c>
      <c r="P25" s="30">
        <v>0</v>
      </c>
      <c r="Q25" s="30"/>
      <c r="R25" s="30">
        <v>0</v>
      </c>
      <c r="S25" s="30">
        <v>0</v>
      </c>
      <c r="T25" s="30"/>
      <c r="U25" s="30">
        <v>0</v>
      </c>
      <c r="V25" s="31">
        <v>0</v>
      </c>
    </row>
    <row r="26" spans="1:22">
      <c r="A26" s="1" t="s">
        <v>45</v>
      </c>
      <c r="B26" s="29">
        <v>0</v>
      </c>
      <c r="C26" s="30">
        <v>0</v>
      </c>
      <c r="D26" s="30">
        <v>0</v>
      </c>
      <c r="E26" s="30">
        <v>0</v>
      </c>
      <c r="F26" s="30">
        <v>0</v>
      </c>
      <c r="G26" s="31">
        <f>SUM(MD_FINANCIAL)</f>
        <v>0</v>
      </c>
      <c r="H26" s="30"/>
      <c r="I26" s="34" t="s">
        <v>46</v>
      </c>
      <c r="J26" s="35">
        <f>SUM(ADD_FINANCIAL)-SUM(LESS_FINANCIAL)</f>
        <v>28423507.75999999</v>
      </c>
      <c r="K26" s="30"/>
      <c r="L26" s="29"/>
      <c r="M26" s="30"/>
      <c r="N26" s="30"/>
      <c r="O26" s="30"/>
      <c r="P26" s="30"/>
      <c r="Q26" s="30"/>
      <c r="R26" s="30"/>
      <c r="S26" s="30"/>
      <c r="T26" s="30"/>
      <c r="U26" s="30"/>
      <c r="V26" s="31"/>
    </row>
    <row r="27" spans="1:22">
      <c r="A27" s="1" t="s">
        <v>47</v>
      </c>
      <c r="B27" s="29">
        <v>141776.91650821277</v>
      </c>
      <c r="C27" s="30">
        <v>150552.39187148516</v>
      </c>
      <c r="D27" s="30">
        <v>0</v>
      </c>
      <c r="E27" s="30">
        <v>0</v>
      </c>
      <c r="F27" s="30">
        <v>0</v>
      </c>
      <c r="G27" s="31">
        <f>SUM(MA_FINANCIAL)</f>
        <v>292329.30837969796</v>
      </c>
      <c r="H27" s="30"/>
      <c r="I27" s="34" t="s">
        <v>48</v>
      </c>
      <c r="J27" s="35">
        <f>SUM(ALL_BLOCKS)</f>
        <v>28423507.760000005</v>
      </c>
      <c r="K27" s="30"/>
      <c r="L27" s="29">
        <v>104000</v>
      </c>
      <c r="M27" s="30">
        <v>0</v>
      </c>
      <c r="N27" s="30"/>
      <c r="O27" s="30">
        <v>121000</v>
      </c>
      <c r="P27" s="30">
        <v>0</v>
      </c>
      <c r="Q27" s="30"/>
      <c r="R27" s="30">
        <v>0</v>
      </c>
      <c r="S27" s="30">
        <v>0</v>
      </c>
      <c r="T27" s="30"/>
      <c r="U27" s="30">
        <v>0</v>
      </c>
      <c r="V27" s="31">
        <v>0</v>
      </c>
    </row>
    <row r="28" spans="1:22">
      <c r="A28" s="1" t="s">
        <v>49</v>
      </c>
      <c r="B28" s="29">
        <v>0</v>
      </c>
      <c r="C28" s="30">
        <v>0</v>
      </c>
      <c r="D28" s="30">
        <v>0</v>
      </c>
      <c r="E28" s="30">
        <v>0</v>
      </c>
      <c r="F28" s="30">
        <v>0</v>
      </c>
      <c r="G28" s="31">
        <f>SUM(MI_FINANCIAL)</f>
        <v>0</v>
      </c>
      <c r="H28" s="30"/>
      <c r="I28" s="36"/>
      <c r="J28" s="37"/>
      <c r="K28" s="30"/>
      <c r="L28" s="29"/>
      <c r="M28" s="30"/>
      <c r="N28" s="30"/>
      <c r="O28" s="30"/>
      <c r="P28" s="30"/>
      <c r="Q28" s="30"/>
      <c r="R28" s="30"/>
      <c r="S28" s="30"/>
      <c r="T28" s="30"/>
      <c r="U28" s="30"/>
      <c r="V28" s="31"/>
    </row>
    <row r="29" spans="1:22">
      <c r="A29" s="1" t="s">
        <v>50</v>
      </c>
      <c r="B29" s="29">
        <v>1159108.0449305968</v>
      </c>
      <c r="C29" s="30">
        <v>3190010.5023428905</v>
      </c>
      <c r="D29" s="30">
        <v>0</v>
      </c>
      <c r="E29" s="30">
        <v>0</v>
      </c>
      <c r="F29" s="30">
        <v>0</v>
      </c>
      <c r="G29" s="31">
        <f>SUM(MN_FINANCIAL)</f>
        <v>4349118.5472734869</v>
      </c>
      <c r="H29" s="30"/>
      <c r="I29" s="30"/>
      <c r="J29" s="30"/>
      <c r="K29" s="30"/>
      <c r="L29" s="29">
        <v>1650000</v>
      </c>
      <c r="M29" s="30">
        <v>0</v>
      </c>
      <c r="N29" s="30"/>
      <c r="O29" s="30">
        <v>2950000</v>
      </c>
      <c r="P29" s="30">
        <v>0</v>
      </c>
      <c r="Q29" s="30"/>
      <c r="R29" s="30">
        <v>0</v>
      </c>
      <c r="S29" s="30">
        <v>0</v>
      </c>
      <c r="T29" s="30"/>
      <c r="U29" s="30">
        <v>0</v>
      </c>
      <c r="V29" s="31">
        <v>0</v>
      </c>
    </row>
    <row r="30" spans="1:22">
      <c r="A30" s="1" t="s">
        <v>51</v>
      </c>
      <c r="B30" s="29">
        <v>9169.2300442626911</v>
      </c>
      <c r="C30" s="30">
        <v>9556.4323305378384</v>
      </c>
      <c r="D30" s="30">
        <v>0</v>
      </c>
      <c r="E30" s="30">
        <v>0</v>
      </c>
      <c r="F30" s="30">
        <v>0</v>
      </c>
      <c r="G30" s="31">
        <f>SUM(MS_FINANCIAL)</f>
        <v>18725.66237480053</v>
      </c>
      <c r="H30" s="30"/>
      <c r="I30" s="30"/>
      <c r="J30" s="30"/>
      <c r="K30" s="30"/>
      <c r="L30" s="29"/>
      <c r="M30" s="30"/>
      <c r="N30" s="30"/>
      <c r="O30" s="30"/>
      <c r="P30" s="30"/>
      <c r="Q30" s="30"/>
      <c r="R30" s="30"/>
      <c r="S30" s="30"/>
      <c r="T30" s="30"/>
      <c r="U30" s="30"/>
      <c r="V30" s="31"/>
    </row>
    <row r="31" spans="1:22">
      <c r="A31" s="1" t="s">
        <v>52</v>
      </c>
      <c r="B31" s="29">
        <v>41864.468917701794</v>
      </c>
      <c r="C31" s="30">
        <v>45151.772748700445</v>
      </c>
      <c r="D31" s="30">
        <v>0</v>
      </c>
      <c r="E31" s="30">
        <v>0</v>
      </c>
      <c r="F31" s="30">
        <v>0</v>
      </c>
      <c r="G31" s="31">
        <f>SUM(MO_FINANCIAL)</f>
        <v>87016.241666402231</v>
      </c>
      <c r="H31" s="30"/>
      <c r="I31" s="30"/>
      <c r="J31" s="30"/>
      <c r="K31" s="30"/>
      <c r="L31" s="29"/>
      <c r="M31" s="30"/>
      <c r="N31" s="30"/>
      <c r="O31" s="30"/>
      <c r="P31" s="30"/>
      <c r="Q31" s="30"/>
      <c r="R31" s="30"/>
      <c r="S31" s="30"/>
      <c r="T31" s="30"/>
      <c r="U31" s="30"/>
      <c r="V31" s="31"/>
    </row>
    <row r="32" spans="1:22">
      <c r="A32" s="1" t="s">
        <v>53</v>
      </c>
      <c r="B32" s="29">
        <v>126200.41721112057</v>
      </c>
      <c r="C32" s="30">
        <v>167714.56873202312</v>
      </c>
      <c r="D32" s="30">
        <v>0</v>
      </c>
      <c r="E32" s="30">
        <v>0</v>
      </c>
      <c r="F32" s="30">
        <v>0</v>
      </c>
      <c r="G32" s="31">
        <f>SUM(MT_FINANCIAL)</f>
        <v>293914.98594314372</v>
      </c>
      <c r="H32" s="30"/>
      <c r="I32" s="30"/>
      <c r="J32" s="30"/>
      <c r="K32" s="30"/>
      <c r="L32" s="29">
        <v>181500</v>
      </c>
      <c r="M32" s="30">
        <v>0</v>
      </c>
      <c r="N32" s="30"/>
      <c r="O32" s="30">
        <v>223500</v>
      </c>
      <c r="P32" s="30">
        <v>0</v>
      </c>
      <c r="Q32" s="30"/>
      <c r="R32" s="30">
        <v>0</v>
      </c>
      <c r="S32" s="30">
        <v>0</v>
      </c>
      <c r="T32" s="30"/>
      <c r="U32" s="30">
        <v>0</v>
      </c>
      <c r="V32" s="31">
        <v>0</v>
      </c>
    </row>
    <row r="33" spans="1:22">
      <c r="A33" s="1" t="s">
        <v>54</v>
      </c>
      <c r="B33" s="29">
        <v>178599.32052406488</v>
      </c>
      <c r="C33" s="30">
        <v>286483.87922460376</v>
      </c>
      <c r="D33" s="30">
        <v>0</v>
      </c>
      <c r="E33" s="30">
        <v>0</v>
      </c>
      <c r="F33" s="30">
        <v>0</v>
      </c>
      <c r="G33" s="31">
        <f>SUM(NE_FINANCIAL)</f>
        <v>465083.19974866865</v>
      </c>
      <c r="H33" s="30"/>
      <c r="I33" s="30"/>
      <c r="J33" s="30"/>
      <c r="K33" s="30"/>
      <c r="L33" s="29">
        <v>160000</v>
      </c>
      <c r="M33" s="30">
        <v>0</v>
      </c>
      <c r="N33" s="30"/>
      <c r="O33" s="30">
        <v>334162</v>
      </c>
      <c r="P33" s="30">
        <v>0</v>
      </c>
      <c r="Q33" s="30"/>
      <c r="R33" s="30">
        <v>0</v>
      </c>
      <c r="S33" s="30">
        <v>0</v>
      </c>
      <c r="T33" s="30"/>
      <c r="U33" s="30">
        <v>0</v>
      </c>
      <c r="V33" s="31">
        <v>0</v>
      </c>
    </row>
    <row r="34" spans="1:22">
      <c r="A34" s="1" t="s">
        <v>55</v>
      </c>
      <c r="B34" s="29">
        <v>168746.61792786431</v>
      </c>
      <c r="C34" s="30">
        <v>255794.45334771089</v>
      </c>
      <c r="D34" s="30">
        <v>0</v>
      </c>
      <c r="E34" s="30">
        <v>0</v>
      </c>
      <c r="F34" s="30">
        <v>0</v>
      </c>
      <c r="G34" s="31">
        <f>SUM(NV_FINANCIAL)</f>
        <v>424541.0712755752</v>
      </c>
      <c r="H34" s="30"/>
      <c r="I34" s="30"/>
      <c r="J34" s="30"/>
      <c r="K34" s="30"/>
      <c r="L34" s="29">
        <v>544500</v>
      </c>
      <c r="M34" s="30">
        <v>0</v>
      </c>
      <c r="N34" s="30"/>
      <c r="O34" s="30">
        <v>242200</v>
      </c>
      <c r="P34" s="30">
        <v>0</v>
      </c>
      <c r="Q34" s="30"/>
      <c r="R34" s="30">
        <v>0</v>
      </c>
      <c r="S34" s="30">
        <v>0</v>
      </c>
      <c r="T34" s="30"/>
      <c r="U34" s="30">
        <v>0</v>
      </c>
      <c r="V34" s="31">
        <v>0</v>
      </c>
    </row>
    <row r="35" spans="1:22">
      <c r="A35" s="1" t="s">
        <v>56</v>
      </c>
      <c r="B35" s="29">
        <v>0</v>
      </c>
      <c r="C35" s="30">
        <v>0</v>
      </c>
      <c r="D35" s="30">
        <v>0</v>
      </c>
      <c r="E35" s="30">
        <v>0</v>
      </c>
      <c r="F35" s="30">
        <v>0</v>
      </c>
      <c r="G35" s="31">
        <f>SUM(NH_FINANCIAL)</f>
        <v>0</v>
      </c>
      <c r="H35" s="30"/>
      <c r="I35" s="30"/>
      <c r="J35" s="30"/>
      <c r="K35" s="30"/>
      <c r="L35" s="29"/>
      <c r="M35" s="30"/>
      <c r="N35" s="30"/>
      <c r="O35" s="30"/>
      <c r="P35" s="30"/>
      <c r="Q35" s="30"/>
      <c r="R35" s="30"/>
      <c r="S35" s="30"/>
      <c r="T35" s="30"/>
      <c r="U35" s="30"/>
      <c r="V35" s="31"/>
    </row>
    <row r="36" spans="1:22">
      <c r="A36" s="1" t="s">
        <v>57</v>
      </c>
      <c r="B36" s="29">
        <v>0</v>
      </c>
      <c r="C36" s="30">
        <v>0</v>
      </c>
      <c r="D36" s="30">
        <v>0</v>
      </c>
      <c r="E36" s="30">
        <v>0</v>
      </c>
      <c r="F36" s="30">
        <v>0</v>
      </c>
      <c r="G36" s="31">
        <f>SUM(NJ_FINANCIAL)</f>
        <v>0</v>
      </c>
      <c r="H36" s="30"/>
      <c r="I36" s="30"/>
      <c r="J36" s="30"/>
      <c r="K36" s="30"/>
      <c r="L36" s="29"/>
      <c r="M36" s="30"/>
      <c r="N36" s="30"/>
      <c r="O36" s="30"/>
      <c r="P36" s="30"/>
      <c r="Q36" s="30"/>
      <c r="R36" s="30"/>
      <c r="S36" s="30"/>
      <c r="T36" s="30"/>
      <c r="U36" s="30"/>
      <c r="V36" s="31"/>
    </row>
    <row r="37" spans="1:22">
      <c r="A37" s="1" t="s">
        <v>58</v>
      </c>
      <c r="B37" s="29">
        <v>163249.10227097981</v>
      </c>
      <c r="C37" s="30">
        <v>245552.02483974615</v>
      </c>
      <c r="D37" s="30">
        <v>0</v>
      </c>
      <c r="E37" s="30">
        <v>0</v>
      </c>
      <c r="F37" s="30">
        <v>0</v>
      </c>
      <c r="G37" s="31">
        <f>SUM(NM_FINANCIAL)</f>
        <v>408801.12711072597</v>
      </c>
      <c r="H37" s="30"/>
      <c r="I37" s="30"/>
      <c r="J37" s="30"/>
      <c r="K37" s="30"/>
      <c r="L37" s="29">
        <v>475000</v>
      </c>
      <c r="M37" s="30">
        <v>0</v>
      </c>
      <c r="N37" s="30"/>
      <c r="O37" s="30">
        <v>300000</v>
      </c>
      <c r="P37" s="30">
        <v>0</v>
      </c>
      <c r="Q37" s="30"/>
      <c r="R37" s="30">
        <v>0</v>
      </c>
      <c r="S37" s="30">
        <v>0</v>
      </c>
      <c r="T37" s="30"/>
      <c r="U37" s="30">
        <v>0</v>
      </c>
      <c r="V37" s="31">
        <v>0</v>
      </c>
    </row>
    <row r="38" spans="1:22">
      <c r="A38" s="1" t="s">
        <v>59</v>
      </c>
      <c r="B38" s="29">
        <v>0</v>
      </c>
      <c r="C38" s="30">
        <v>0</v>
      </c>
      <c r="D38" s="30">
        <v>0</v>
      </c>
      <c r="E38" s="30">
        <v>0</v>
      </c>
      <c r="F38" s="30">
        <v>0</v>
      </c>
      <c r="G38" s="31">
        <f>SUM(NY_FINANCIAL)</f>
        <v>0</v>
      </c>
      <c r="H38" s="30"/>
      <c r="I38" s="30"/>
      <c r="J38" s="30"/>
      <c r="K38" s="30"/>
      <c r="L38" s="29"/>
      <c r="M38" s="30"/>
      <c r="N38" s="30"/>
      <c r="O38" s="30"/>
      <c r="P38" s="30"/>
      <c r="Q38" s="30"/>
      <c r="R38" s="30"/>
      <c r="S38" s="30"/>
      <c r="T38" s="30"/>
      <c r="U38" s="30"/>
      <c r="V38" s="31"/>
    </row>
    <row r="39" spans="1:22">
      <c r="A39" s="1" t="s">
        <v>60</v>
      </c>
      <c r="B39" s="29">
        <v>352721.40908600512</v>
      </c>
      <c r="C39" s="30">
        <v>247141.90972070448</v>
      </c>
      <c r="D39" s="30">
        <v>0</v>
      </c>
      <c r="E39" s="30">
        <v>0</v>
      </c>
      <c r="F39" s="30">
        <v>0</v>
      </c>
      <c r="G39" s="31">
        <f>SUM(NC_FINANCIAL)</f>
        <v>599863.31880670961</v>
      </c>
      <c r="H39" s="30"/>
      <c r="I39" s="30"/>
      <c r="J39" s="30"/>
      <c r="K39" s="30"/>
      <c r="L39" s="29">
        <v>360000</v>
      </c>
      <c r="M39" s="30">
        <v>0</v>
      </c>
      <c r="N39" s="30"/>
      <c r="O39" s="30">
        <v>240000</v>
      </c>
      <c r="P39" s="30">
        <v>0</v>
      </c>
      <c r="Q39" s="30"/>
      <c r="R39" s="30">
        <v>0</v>
      </c>
      <c r="S39" s="30">
        <v>0</v>
      </c>
      <c r="T39" s="30"/>
      <c r="U39" s="30">
        <v>0</v>
      </c>
      <c r="V39" s="31">
        <v>0</v>
      </c>
    </row>
    <row r="40" spans="1:22">
      <c r="A40" s="1" t="s">
        <v>61</v>
      </c>
      <c r="B40" s="29">
        <v>134532.69635246971</v>
      </c>
      <c r="C40" s="30">
        <v>84886.748181397677</v>
      </c>
      <c r="D40" s="30">
        <v>0</v>
      </c>
      <c r="E40" s="30">
        <v>0</v>
      </c>
      <c r="F40" s="30">
        <v>0</v>
      </c>
      <c r="G40" s="31">
        <f>SUM(ND_FINANCIAL)</f>
        <v>219419.44453386738</v>
      </c>
      <c r="H40" s="30"/>
      <c r="I40" s="30"/>
      <c r="J40" s="30"/>
      <c r="K40" s="30"/>
      <c r="L40" s="29">
        <v>259900</v>
      </c>
      <c r="M40" s="30">
        <v>0</v>
      </c>
      <c r="N40" s="30"/>
      <c r="O40" s="30">
        <v>21700</v>
      </c>
      <c r="P40" s="30">
        <v>0</v>
      </c>
      <c r="Q40" s="30"/>
      <c r="R40" s="30">
        <v>0</v>
      </c>
      <c r="S40" s="30">
        <v>0</v>
      </c>
      <c r="T40" s="30"/>
      <c r="U40" s="30">
        <v>0</v>
      </c>
      <c r="V40" s="31">
        <v>0</v>
      </c>
    </row>
    <row r="41" spans="1:22">
      <c r="A41" s="1" t="s">
        <v>62</v>
      </c>
      <c r="B41" s="29">
        <v>1139683.0003453719</v>
      </c>
      <c r="C41" s="30">
        <v>604188.09435696446</v>
      </c>
      <c r="D41" s="30">
        <v>0</v>
      </c>
      <c r="E41" s="30">
        <v>0</v>
      </c>
      <c r="F41" s="30">
        <v>0</v>
      </c>
      <c r="G41" s="31">
        <f>SUM(OH_FINANCIAL)</f>
        <v>1743871.0947023365</v>
      </c>
      <c r="H41" s="30"/>
      <c r="I41" s="30"/>
      <c r="J41" s="30"/>
      <c r="K41" s="30"/>
      <c r="L41" s="29">
        <v>2600000</v>
      </c>
      <c r="M41" s="30">
        <v>0</v>
      </c>
      <c r="N41" s="30"/>
      <c r="O41" s="30">
        <v>600000</v>
      </c>
      <c r="P41" s="30">
        <v>0</v>
      </c>
      <c r="Q41" s="30"/>
      <c r="R41" s="30">
        <v>0</v>
      </c>
      <c r="S41" s="30">
        <v>0</v>
      </c>
      <c r="T41" s="30"/>
      <c r="U41" s="30">
        <v>0</v>
      </c>
      <c r="V41" s="31">
        <v>0</v>
      </c>
    </row>
    <row r="42" spans="1:22">
      <c r="A42" s="1" t="s">
        <v>63</v>
      </c>
      <c r="B42" s="29">
        <v>797768.4393092962</v>
      </c>
      <c r="C42" s="30">
        <v>809975.52325455612</v>
      </c>
      <c r="D42" s="30">
        <v>0</v>
      </c>
      <c r="E42" s="30">
        <v>0</v>
      </c>
      <c r="F42" s="30">
        <v>0</v>
      </c>
      <c r="G42" s="31">
        <f>SUM(OK_FINANCIAL)</f>
        <v>1607743.9625638523</v>
      </c>
      <c r="H42" s="30"/>
      <c r="I42" s="30"/>
      <c r="J42" s="30"/>
      <c r="K42" s="30"/>
      <c r="L42" s="29">
        <v>959500</v>
      </c>
      <c r="M42" s="30">
        <v>35700</v>
      </c>
      <c r="N42" s="30"/>
      <c r="O42" s="30">
        <v>0</v>
      </c>
      <c r="P42" s="30">
        <v>34300</v>
      </c>
      <c r="Q42" s="30"/>
      <c r="R42" s="30">
        <v>0</v>
      </c>
      <c r="S42" s="30">
        <v>0</v>
      </c>
      <c r="T42" s="30"/>
      <c r="U42" s="30">
        <v>0</v>
      </c>
      <c r="V42" s="31">
        <v>0</v>
      </c>
    </row>
    <row r="43" spans="1:22">
      <c r="A43" s="1" t="s">
        <v>64</v>
      </c>
      <c r="B43" s="29">
        <v>902918.44633946544</v>
      </c>
      <c r="C43" s="30">
        <v>958049.66294901969</v>
      </c>
      <c r="D43" s="30">
        <v>0</v>
      </c>
      <c r="E43" s="30">
        <v>0</v>
      </c>
      <c r="F43" s="30">
        <v>0</v>
      </c>
      <c r="G43" s="31">
        <f>SUM(OR_FINANCIAL)</f>
        <v>1860968.1092884853</v>
      </c>
      <c r="H43" s="30"/>
      <c r="I43" s="30"/>
      <c r="J43" s="30"/>
      <c r="K43" s="30"/>
      <c r="L43" s="29">
        <v>1117921</v>
      </c>
      <c r="M43" s="30">
        <v>0</v>
      </c>
      <c r="N43" s="30"/>
      <c r="O43" s="30">
        <v>1237317</v>
      </c>
      <c r="P43" s="30">
        <v>0</v>
      </c>
      <c r="Q43" s="30"/>
      <c r="R43" s="30">
        <v>0</v>
      </c>
      <c r="S43" s="30">
        <v>0</v>
      </c>
      <c r="T43" s="30"/>
      <c r="U43" s="30">
        <v>0</v>
      </c>
      <c r="V43" s="31">
        <v>0</v>
      </c>
    </row>
    <row r="44" spans="1:22">
      <c r="A44" s="1" t="s">
        <v>65</v>
      </c>
      <c r="B44" s="29">
        <v>0</v>
      </c>
      <c r="C44" s="30">
        <v>0</v>
      </c>
      <c r="D44" s="30">
        <v>0</v>
      </c>
      <c r="E44" s="30">
        <v>0</v>
      </c>
      <c r="F44" s="30">
        <v>0</v>
      </c>
      <c r="G44" s="31">
        <f>SUM(PA_FINANCIAL)</f>
        <v>0</v>
      </c>
      <c r="H44" s="30"/>
      <c r="I44" s="30"/>
      <c r="J44" s="30"/>
      <c r="K44" s="30"/>
      <c r="L44" s="29"/>
      <c r="M44" s="30"/>
      <c r="N44" s="30"/>
      <c r="O44" s="30"/>
      <c r="P44" s="30"/>
      <c r="Q44" s="30"/>
      <c r="R44" s="30"/>
      <c r="S44" s="30"/>
      <c r="T44" s="30"/>
      <c r="U44" s="30"/>
      <c r="V44" s="31"/>
    </row>
    <row r="45" spans="1:22">
      <c r="A45" s="1" t="s">
        <v>66</v>
      </c>
      <c r="B45" s="29">
        <v>0</v>
      </c>
      <c r="C45" s="30">
        <v>0</v>
      </c>
      <c r="D45" s="30">
        <v>0</v>
      </c>
      <c r="E45" s="30">
        <v>0</v>
      </c>
      <c r="F45" s="30">
        <v>0</v>
      </c>
      <c r="G45" s="31">
        <f>SUM(PR_FINANCIAL)</f>
        <v>0</v>
      </c>
      <c r="H45" s="30"/>
      <c r="I45" s="30"/>
      <c r="J45" s="30"/>
      <c r="K45" s="30"/>
      <c r="L45" s="29"/>
      <c r="M45" s="30"/>
      <c r="N45" s="30"/>
      <c r="O45" s="30"/>
      <c r="P45" s="30"/>
      <c r="Q45" s="30"/>
      <c r="R45" s="30"/>
      <c r="S45" s="30"/>
      <c r="T45" s="30"/>
      <c r="U45" s="30"/>
      <c r="V45" s="31"/>
    </row>
    <row r="46" spans="1:22">
      <c r="A46" s="1" t="s">
        <v>67</v>
      </c>
      <c r="B46" s="29">
        <v>7034.933784503758</v>
      </c>
      <c r="C46" s="30">
        <v>17266.329515515503</v>
      </c>
      <c r="D46" s="30">
        <v>0</v>
      </c>
      <c r="E46" s="30">
        <v>0</v>
      </c>
      <c r="F46" s="30">
        <v>0</v>
      </c>
      <c r="G46" s="31">
        <f>SUM(RI_FINANCIAL)</f>
        <v>24301.263300019262</v>
      </c>
      <c r="H46" s="30"/>
      <c r="I46" s="30"/>
      <c r="J46" s="30"/>
      <c r="K46" s="30"/>
      <c r="L46" s="29"/>
      <c r="M46" s="30"/>
      <c r="N46" s="30"/>
      <c r="O46" s="30"/>
      <c r="P46" s="30"/>
      <c r="Q46" s="30"/>
      <c r="R46" s="30"/>
      <c r="S46" s="30"/>
      <c r="T46" s="30"/>
      <c r="U46" s="30"/>
      <c r="V46" s="31"/>
    </row>
    <row r="47" spans="1:22">
      <c r="A47" s="1" t="s">
        <v>68</v>
      </c>
      <c r="B47" s="29">
        <v>75966.502372452029</v>
      </c>
      <c r="C47" s="30">
        <v>25115.213653558778</v>
      </c>
      <c r="D47" s="30">
        <v>0</v>
      </c>
      <c r="E47" s="30">
        <v>0</v>
      </c>
      <c r="F47" s="30">
        <v>0</v>
      </c>
      <c r="G47" s="31">
        <f>SUM(SC_FINANCIAL)</f>
        <v>101081.71602601081</v>
      </c>
      <c r="H47" s="30"/>
      <c r="I47" s="30"/>
      <c r="J47" s="30"/>
      <c r="K47" s="30"/>
      <c r="L47" s="29">
        <v>275000</v>
      </c>
      <c r="M47" s="30">
        <v>0</v>
      </c>
      <c r="N47" s="30"/>
      <c r="O47" s="30">
        <v>87000</v>
      </c>
      <c r="P47" s="30">
        <v>0</v>
      </c>
      <c r="Q47" s="30"/>
      <c r="R47" s="30">
        <v>0</v>
      </c>
      <c r="S47" s="30">
        <v>0</v>
      </c>
      <c r="T47" s="30"/>
      <c r="U47" s="30">
        <v>0</v>
      </c>
      <c r="V47" s="31">
        <v>0</v>
      </c>
    </row>
    <row r="48" spans="1:22">
      <c r="A48" s="1" t="s">
        <v>69</v>
      </c>
      <c r="B48" s="29">
        <v>197753.89087142725</v>
      </c>
      <c r="C48" s="30">
        <v>42331.543071198255</v>
      </c>
      <c r="D48" s="30">
        <v>0</v>
      </c>
      <c r="E48" s="30">
        <v>0</v>
      </c>
      <c r="F48" s="30">
        <v>0</v>
      </c>
      <c r="G48" s="31">
        <f>SUM(SD_FINANCIAL)</f>
        <v>240085.4339426255</v>
      </c>
      <c r="H48" s="30"/>
      <c r="I48" s="30"/>
      <c r="J48" s="30"/>
      <c r="K48" s="30"/>
      <c r="L48" s="29">
        <v>214000</v>
      </c>
      <c r="M48" s="30">
        <v>0</v>
      </c>
      <c r="N48" s="30"/>
      <c r="O48" s="30">
        <v>0</v>
      </c>
      <c r="P48" s="30">
        <v>0</v>
      </c>
      <c r="Q48" s="30"/>
      <c r="R48" s="30">
        <v>0</v>
      </c>
      <c r="S48" s="30">
        <v>0</v>
      </c>
      <c r="T48" s="30"/>
      <c r="U48" s="30">
        <v>0</v>
      </c>
      <c r="V48" s="31">
        <v>0</v>
      </c>
    </row>
    <row r="49" spans="1:22">
      <c r="A49" s="1" t="s">
        <v>70</v>
      </c>
      <c r="B49" s="29">
        <v>47619.005146322699</v>
      </c>
      <c r="C49" s="30">
        <v>78301.801453576729</v>
      </c>
      <c r="D49" s="30">
        <v>0</v>
      </c>
      <c r="E49" s="30">
        <v>0</v>
      </c>
      <c r="F49" s="30">
        <v>0</v>
      </c>
      <c r="G49" s="31">
        <f>SUM(TN_FINANCIAL)</f>
        <v>125920.80659989943</v>
      </c>
      <c r="H49" s="30"/>
      <c r="I49" s="30"/>
      <c r="J49" s="30"/>
      <c r="K49" s="30"/>
      <c r="L49" s="29">
        <v>53000</v>
      </c>
      <c r="M49" s="30">
        <v>0</v>
      </c>
      <c r="N49" s="30"/>
      <c r="O49" s="30">
        <v>47000</v>
      </c>
      <c r="P49" s="30">
        <v>0</v>
      </c>
      <c r="Q49" s="30"/>
      <c r="R49" s="30">
        <v>0</v>
      </c>
      <c r="S49" s="30">
        <v>0</v>
      </c>
      <c r="T49" s="30"/>
      <c r="U49" s="30">
        <v>0</v>
      </c>
      <c r="V49" s="31">
        <v>0</v>
      </c>
    </row>
    <row r="50" spans="1:22">
      <c r="A50" s="1" t="s">
        <v>71</v>
      </c>
      <c r="B50" s="29">
        <v>405951.60862088914</v>
      </c>
      <c r="C50" s="30">
        <v>241595.69688777911</v>
      </c>
      <c r="D50" s="30">
        <v>0</v>
      </c>
      <c r="E50" s="30">
        <v>0</v>
      </c>
      <c r="F50" s="30">
        <v>0</v>
      </c>
      <c r="G50" s="31">
        <f>SUM(TX_FINANCIAL)</f>
        <v>647547.3055086683</v>
      </c>
      <c r="H50" s="30"/>
      <c r="I50" s="30"/>
      <c r="J50" s="30"/>
      <c r="K50" s="30"/>
      <c r="L50" s="29">
        <v>820656</v>
      </c>
      <c r="M50" s="30">
        <v>145354.19570000001</v>
      </c>
      <c r="N50" s="30"/>
      <c r="O50" s="30">
        <v>50605</v>
      </c>
      <c r="P50" s="30">
        <v>8957.7101000000002</v>
      </c>
      <c r="Q50" s="30"/>
      <c r="R50" s="30">
        <v>17530</v>
      </c>
      <c r="S50" s="30">
        <v>3117.0942000000005</v>
      </c>
      <c r="T50" s="30"/>
      <c r="U50" s="30">
        <v>0</v>
      </c>
      <c r="V50" s="31">
        <v>0</v>
      </c>
    </row>
    <row r="51" spans="1:22">
      <c r="A51" s="1" t="s">
        <v>72</v>
      </c>
      <c r="B51" s="29">
        <v>133726.42889979633</v>
      </c>
      <c r="C51" s="30">
        <v>143785.12678942521</v>
      </c>
      <c r="D51" s="30">
        <v>0</v>
      </c>
      <c r="E51" s="30">
        <v>0</v>
      </c>
      <c r="F51" s="30">
        <v>0</v>
      </c>
      <c r="G51" s="31">
        <f>SUM(UT_FINANCIAL)</f>
        <v>277511.55568922154</v>
      </c>
      <c r="H51" s="30"/>
      <c r="I51" s="30"/>
      <c r="J51" s="30"/>
      <c r="K51" s="30"/>
      <c r="L51" s="29">
        <v>502653</v>
      </c>
      <c r="M51" s="30">
        <v>238038</v>
      </c>
      <c r="N51" s="30"/>
      <c r="O51" s="30">
        <v>127347</v>
      </c>
      <c r="P51" s="30">
        <v>59510</v>
      </c>
      <c r="Q51" s="30"/>
      <c r="R51" s="30">
        <v>0</v>
      </c>
      <c r="S51" s="30">
        <v>0</v>
      </c>
      <c r="T51" s="30"/>
      <c r="U51" s="30">
        <v>0</v>
      </c>
      <c r="V51" s="31">
        <v>0</v>
      </c>
    </row>
    <row r="52" spans="1:22">
      <c r="A52" s="1" t="s">
        <v>73</v>
      </c>
      <c r="B52" s="29">
        <v>25579.914686980312</v>
      </c>
      <c r="C52" s="30">
        <v>14565.171754983348</v>
      </c>
      <c r="D52" s="30">
        <v>0</v>
      </c>
      <c r="E52" s="30">
        <v>0</v>
      </c>
      <c r="F52" s="30">
        <v>0</v>
      </c>
      <c r="G52" s="31">
        <f>SUM(VT_FINANCIAL)</f>
        <v>40145.086441963664</v>
      </c>
      <c r="H52" s="30"/>
      <c r="I52" s="30"/>
      <c r="J52" s="30"/>
      <c r="K52" s="30"/>
      <c r="L52" s="29">
        <v>23664</v>
      </c>
      <c r="M52" s="30">
        <v>0</v>
      </c>
      <c r="N52" s="30"/>
      <c r="O52" s="30">
        <v>26356</v>
      </c>
      <c r="P52" s="30">
        <v>0</v>
      </c>
      <c r="Q52" s="30"/>
      <c r="R52" s="30">
        <v>0</v>
      </c>
      <c r="S52" s="30">
        <v>0</v>
      </c>
      <c r="T52" s="30"/>
      <c r="U52" s="30">
        <v>0</v>
      </c>
      <c r="V52" s="31">
        <v>0</v>
      </c>
    </row>
    <row r="53" spans="1:22">
      <c r="A53" s="1" t="s">
        <v>74</v>
      </c>
      <c r="B53" s="29">
        <v>129312.22231847604</v>
      </c>
      <c r="C53" s="30">
        <v>74725.170526510745</v>
      </c>
      <c r="D53" s="30">
        <v>0</v>
      </c>
      <c r="E53" s="30">
        <v>0</v>
      </c>
      <c r="F53" s="30">
        <v>0</v>
      </c>
      <c r="G53" s="31">
        <f>SUM(VA_FINANCIAL)</f>
        <v>204037.39284498678</v>
      </c>
      <c r="H53" s="30"/>
      <c r="I53" s="30"/>
      <c r="J53" s="30"/>
      <c r="K53" s="30"/>
      <c r="L53" s="29">
        <v>161684</v>
      </c>
      <c r="M53" s="30">
        <v>0</v>
      </c>
      <c r="N53" s="30"/>
      <c r="O53" s="30">
        <v>80556</v>
      </c>
      <c r="P53" s="30">
        <v>0</v>
      </c>
      <c r="Q53" s="30"/>
      <c r="R53" s="30">
        <v>0</v>
      </c>
      <c r="S53" s="30">
        <v>0</v>
      </c>
      <c r="T53" s="30"/>
      <c r="U53" s="30">
        <v>0</v>
      </c>
      <c r="V53" s="31">
        <v>0</v>
      </c>
    </row>
    <row r="54" spans="1:22">
      <c r="A54" s="1" t="s">
        <v>75</v>
      </c>
      <c r="B54" s="29">
        <v>1858492.707977108</v>
      </c>
      <c r="C54" s="30">
        <v>4231923.9706330122</v>
      </c>
      <c r="D54" s="30">
        <v>0</v>
      </c>
      <c r="E54" s="30">
        <v>0</v>
      </c>
      <c r="F54" s="30">
        <v>0</v>
      </c>
      <c r="G54" s="31">
        <f>SUM(WA_FINANCIAL)</f>
        <v>6090416.67861012</v>
      </c>
      <c r="H54" s="30"/>
      <c r="I54" s="30"/>
      <c r="J54" s="30"/>
      <c r="K54" s="30"/>
      <c r="L54" s="29">
        <v>2100000</v>
      </c>
      <c r="M54" s="30">
        <v>132392</v>
      </c>
      <c r="N54" s="30"/>
      <c r="O54" s="30">
        <v>4231613</v>
      </c>
      <c r="P54" s="30">
        <v>0</v>
      </c>
      <c r="Q54" s="30"/>
      <c r="R54" s="30">
        <v>0</v>
      </c>
      <c r="S54" s="30">
        <v>0</v>
      </c>
      <c r="T54" s="30"/>
      <c r="U54" s="30">
        <v>0</v>
      </c>
      <c r="V54" s="31">
        <v>0</v>
      </c>
    </row>
    <row r="55" spans="1:22">
      <c r="A55" s="1" t="s">
        <v>76</v>
      </c>
      <c r="B55" s="29">
        <v>5606.4784992657133</v>
      </c>
      <c r="C55" s="30">
        <v>1363.5321350116342</v>
      </c>
      <c r="D55" s="30">
        <v>0</v>
      </c>
      <c r="E55" s="30">
        <v>0</v>
      </c>
      <c r="F55" s="30">
        <v>0</v>
      </c>
      <c r="G55" s="31">
        <f>SUM(WV_FINANCIAL)</f>
        <v>6970.010634277347</v>
      </c>
      <c r="H55" s="30"/>
      <c r="I55" s="30"/>
      <c r="J55" s="30"/>
      <c r="K55" s="30"/>
      <c r="L55" s="29">
        <v>85455</v>
      </c>
      <c r="M55" s="30">
        <v>105938</v>
      </c>
      <c r="N55" s="30"/>
      <c r="O55" s="30">
        <v>14545</v>
      </c>
      <c r="P55" s="30">
        <v>18617</v>
      </c>
      <c r="Q55" s="30"/>
      <c r="R55" s="30">
        <v>0</v>
      </c>
      <c r="S55" s="30">
        <v>0</v>
      </c>
      <c r="T55" s="30"/>
      <c r="U55" s="30">
        <v>0</v>
      </c>
      <c r="V55" s="31">
        <v>0</v>
      </c>
    </row>
    <row r="56" spans="1:22">
      <c r="A56" s="1" t="s">
        <v>77</v>
      </c>
      <c r="B56" s="29">
        <v>0</v>
      </c>
      <c r="C56" s="30">
        <v>0</v>
      </c>
      <c r="D56" s="30">
        <v>0</v>
      </c>
      <c r="E56" s="30">
        <v>0</v>
      </c>
      <c r="F56" s="30">
        <v>0</v>
      </c>
      <c r="G56" s="31">
        <f>SUM(WI_FINANCIAL)</f>
        <v>0</v>
      </c>
      <c r="H56" s="30"/>
      <c r="I56" s="30"/>
      <c r="J56" s="30"/>
      <c r="K56" s="30"/>
      <c r="L56" s="29"/>
      <c r="M56" s="30"/>
      <c r="N56" s="30"/>
      <c r="O56" s="30"/>
      <c r="P56" s="30"/>
      <c r="Q56" s="30"/>
      <c r="R56" s="30"/>
      <c r="S56" s="30"/>
      <c r="T56" s="30"/>
      <c r="U56" s="30"/>
      <c r="V56" s="31"/>
    </row>
    <row r="57" spans="1:22">
      <c r="A57" s="1" t="s">
        <v>78</v>
      </c>
      <c r="B57" s="29">
        <v>61989.996300651219</v>
      </c>
      <c r="C57" s="30">
        <v>56439.581680586212</v>
      </c>
      <c r="D57" s="30">
        <v>0</v>
      </c>
      <c r="E57" s="30">
        <v>0</v>
      </c>
      <c r="F57" s="30">
        <v>0</v>
      </c>
      <c r="G57" s="31">
        <f>SUM(WY_FINANCIAL)</f>
        <v>118429.57798123744</v>
      </c>
      <c r="H57" s="30"/>
      <c r="I57" s="30"/>
      <c r="J57" s="30"/>
      <c r="K57" s="30"/>
      <c r="L57" s="29">
        <v>84175</v>
      </c>
      <c r="M57" s="30">
        <v>0</v>
      </c>
      <c r="N57" s="30"/>
      <c r="O57" s="30">
        <v>60825</v>
      </c>
      <c r="P57" s="30">
        <v>0</v>
      </c>
      <c r="Q57" s="30"/>
      <c r="R57" s="30">
        <v>0</v>
      </c>
      <c r="S57" s="30">
        <v>0</v>
      </c>
      <c r="T57" s="30"/>
      <c r="U57" s="30">
        <v>0</v>
      </c>
      <c r="V57" s="31">
        <v>0</v>
      </c>
    </row>
    <row r="58" spans="1:22">
      <c r="A58" s="1" t="s">
        <v>79</v>
      </c>
      <c r="B58" s="29">
        <v>0</v>
      </c>
      <c r="C58" s="30">
        <v>0</v>
      </c>
      <c r="D58" s="30">
        <v>0</v>
      </c>
      <c r="E58" s="30">
        <v>0</v>
      </c>
      <c r="F58" s="30">
        <v>0</v>
      </c>
      <c r="G58" s="31">
        <f>SUM(OT_FINANCIAL)</f>
        <v>0</v>
      </c>
      <c r="H58" s="30"/>
      <c r="I58" s="30"/>
      <c r="J58" s="30"/>
      <c r="K58" s="30"/>
      <c r="L58" s="29"/>
      <c r="M58" s="30"/>
      <c r="N58" s="30"/>
      <c r="O58" s="30"/>
      <c r="P58" s="30"/>
      <c r="Q58" s="30"/>
      <c r="R58" s="30"/>
      <c r="S58" s="30"/>
      <c r="T58" s="30"/>
      <c r="U58" s="30"/>
      <c r="V58" s="31"/>
    </row>
    <row r="59" spans="1:22">
      <c r="B59" s="29"/>
      <c r="C59" s="30"/>
      <c r="D59" s="30"/>
      <c r="E59" s="30"/>
      <c r="F59" s="30"/>
      <c r="G59" s="31"/>
      <c r="H59" s="30"/>
      <c r="I59" s="30"/>
      <c r="J59" s="30"/>
      <c r="K59" s="30"/>
      <c r="L59" s="29"/>
      <c r="M59" s="30"/>
      <c r="N59" s="30"/>
      <c r="O59" s="30"/>
      <c r="P59" s="30"/>
      <c r="Q59" s="30"/>
      <c r="R59" s="30"/>
      <c r="S59" s="30"/>
      <c r="T59" s="30"/>
      <c r="U59" s="30"/>
      <c r="V59" s="31"/>
    </row>
    <row r="60" spans="1:22">
      <c r="A60" s="1" t="s">
        <v>8</v>
      </c>
      <c r="B60" s="29">
        <f>SUM(LIFE)</f>
        <v>12334766.906116879</v>
      </c>
      <c r="C60" s="30">
        <f>SUM(ALLOCATED)</f>
        <v>16088740.853883121</v>
      </c>
      <c r="D60" s="30">
        <f>SUM(HEALTH)</f>
        <v>0</v>
      </c>
      <c r="E60" s="30">
        <f>SUM(UNALLOCATED)</f>
        <v>0</v>
      </c>
      <c r="F60" s="30">
        <f>SUM(LTC)</f>
        <v>0</v>
      </c>
      <c r="G60" s="31">
        <f>SUM(ALL_BLOCKS)</f>
        <v>28423507.760000005</v>
      </c>
      <c r="H60" s="30"/>
      <c r="I60" s="30"/>
      <c r="J60" s="30"/>
      <c r="K60" s="30"/>
      <c r="L60" s="29">
        <f>SUM(LIFE_CALLED)</f>
        <v>19125582</v>
      </c>
      <c r="M60" s="30">
        <f>SUM(LIFE_REFUNDED)</f>
        <v>1724917.1957</v>
      </c>
      <c r="N60" s="30"/>
      <c r="O60" s="30">
        <f>SUM(ALLOC_CALLED)</f>
        <v>14801323</v>
      </c>
      <c r="P60" s="30">
        <f>SUM(ALLOC_REFUNDED)</f>
        <v>323011.6201</v>
      </c>
      <c r="Q60" s="30"/>
      <c r="R60" s="30">
        <f>SUM(HEALTH_CALLED)</f>
        <v>30659</v>
      </c>
      <c r="S60" s="30">
        <f>SUM(HEALTH_REFUNDED)</f>
        <v>3117.0942000000005</v>
      </c>
      <c r="T60" s="30"/>
      <c r="U60" s="30">
        <f>SUM(UNALLOC_CALLED)</f>
        <v>0</v>
      </c>
      <c r="V60" s="31">
        <f>SUM(UNALLOC_REFUNDED)</f>
        <v>0</v>
      </c>
    </row>
    <row r="61" spans="1:22" ht="5.0999999999999996" customHeight="1">
      <c r="B61" s="8"/>
      <c r="G61" s="11"/>
      <c r="L61" s="8"/>
      <c r="V61" s="11"/>
    </row>
    <row r="62" spans="1:22">
      <c r="B62" s="8"/>
      <c r="G62" s="11"/>
      <c r="L62" s="122" t="s">
        <v>80</v>
      </c>
      <c r="M62" s="123"/>
      <c r="N62" s="123"/>
      <c r="O62" s="123"/>
      <c r="P62" s="123"/>
      <c r="Q62" s="123"/>
      <c r="R62" s="123"/>
      <c r="S62" s="123"/>
      <c r="T62" s="123"/>
      <c r="U62" s="123"/>
      <c r="V62" s="124"/>
    </row>
    <row r="63" spans="1:22">
      <c r="B63" s="8"/>
      <c r="G63" s="11"/>
      <c r="L63" s="125"/>
      <c r="M63" s="123"/>
      <c r="N63" s="123"/>
      <c r="O63" s="123"/>
      <c r="P63" s="123"/>
      <c r="Q63" s="123"/>
      <c r="R63" s="123"/>
      <c r="S63" s="123"/>
      <c r="T63" s="123"/>
      <c r="U63" s="123"/>
      <c r="V63" s="124"/>
    </row>
    <row r="64" spans="1:22">
      <c r="B64" s="10"/>
      <c r="C64" s="7"/>
      <c r="D64" s="7"/>
      <c r="E64" s="7"/>
      <c r="F64" s="7"/>
      <c r="G64" s="13"/>
      <c r="L64" s="126"/>
      <c r="M64" s="127"/>
      <c r="N64" s="127"/>
      <c r="O64" s="127"/>
      <c r="P64" s="127"/>
      <c r="Q64" s="127"/>
      <c r="R64" s="127"/>
      <c r="S64" s="127"/>
      <c r="T64" s="127"/>
      <c r="U64" s="127"/>
      <c r="V64" s="128"/>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pageSetUpPr fitToPage="1"/>
  </sheetPr>
  <dimension ref="A1:V64"/>
  <sheetViews>
    <sheetView zoomScale="75" workbookViewId="0">
      <selection sqref="A1:XFD1048576"/>
    </sheetView>
  </sheetViews>
  <sheetFormatPr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129" t="s">
        <v>153</v>
      </c>
      <c r="B1" s="123"/>
      <c r="C1" s="123"/>
      <c r="D1" s="123"/>
      <c r="E1" s="123"/>
      <c r="F1" s="123"/>
      <c r="G1" s="123"/>
    </row>
    <row r="3" spans="1:22">
      <c r="B3" s="130" t="s">
        <v>1</v>
      </c>
      <c r="C3" s="131"/>
      <c r="D3" s="131"/>
      <c r="E3" s="131"/>
      <c r="F3" s="131"/>
      <c r="G3" s="132"/>
      <c r="L3" s="133" t="s">
        <v>2</v>
      </c>
      <c r="M3" s="134"/>
      <c r="N3" s="134"/>
      <c r="O3" s="134"/>
      <c r="P3" s="134"/>
      <c r="Q3" s="134"/>
      <c r="R3" s="134"/>
      <c r="S3" s="134"/>
      <c r="T3" s="134"/>
      <c r="U3" s="134"/>
      <c r="V3" s="135"/>
    </row>
    <row r="4" spans="1:22">
      <c r="B4" s="8"/>
      <c r="G4" s="11"/>
      <c r="L4" s="136" t="s">
        <v>3</v>
      </c>
      <c r="M4" s="137"/>
      <c r="N4" s="4"/>
      <c r="O4" s="138" t="s">
        <v>4</v>
      </c>
      <c r="P4" s="137"/>
      <c r="Q4" s="4"/>
      <c r="R4" s="138" t="s">
        <v>5</v>
      </c>
      <c r="S4" s="137"/>
      <c r="T4" s="4"/>
      <c r="U4" s="138" t="s">
        <v>6</v>
      </c>
      <c r="V4" s="139"/>
    </row>
    <row r="5" spans="1:22" ht="60" customHeight="1">
      <c r="B5" s="9" t="s">
        <v>3</v>
      </c>
      <c r="C5" s="5" t="s">
        <v>4</v>
      </c>
      <c r="D5" s="5" t="s">
        <v>5</v>
      </c>
      <c r="E5" s="5" t="s">
        <v>6</v>
      </c>
      <c r="F5" s="5" t="s">
        <v>7</v>
      </c>
      <c r="G5" s="12" t="s">
        <v>8</v>
      </c>
      <c r="L5" s="15" t="s">
        <v>9</v>
      </c>
      <c r="M5" s="14" t="s">
        <v>10</v>
      </c>
      <c r="N5" s="14"/>
      <c r="O5" s="14" t="s">
        <v>9</v>
      </c>
      <c r="P5" s="14" t="s">
        <v>10</v>
      </c>
      <c r="Q5" s="14"/>
      <c r="R5" s="14" t="s">
        <v>9</v>
      </c>
      <c r="S5" s="14" t="s">
        <v>10</v>
      </c>
      <c r="T5" s="14"/>
      <c r="U5" s="14" t="s">
        <v>9</v>
      </c>
      <c r="V5" s="16" t="s">
        <v>10</v>
      </c>
    </row>
    <row r="6" spans="1:22">
      <c r="A6" s="1" t="s">
        <v>11</v>
      </c>
      <c r="B6" s="29">
        <v>0</v>
      </c>
      <c r="C6" s="30">
        <v>0</v>
      </c>
      <c r="D6" s="30">
        <v>7712168.3390214657</v>
      </c>
      <c r="E6" s="30">
        <v>0</v>
      </c>
      <c r="F6" s="30">
        <v>0</v>
      </c>
      <c r="G6" s="31">
        <f>SUM(AL_FINANCIAL)</f>
        <v>7712168.3390214657</v>
      </c>
      <c r="H6" s="30"/>
      <c r="I6" s="30"/>
      <c r="J6" s="30"/>
      <c r="K6" s="30"/>
      <c r="L6" s="29"/>
      <c r="M6" s="30"/>
      <c r="N6" s="30"/>
      <c r="O6" s="30"/>
      <c r="P6" s="30"/>
      <c r="Q6" s="30"/>
      <c r="R6" s="30"/>
      <c r="S6" s="30"/>
      <c r="T6" s="30"/>
      <c r="U6" s="30"/>
      <c r="V6" s="31"/>
    </row>
    <row r="7" spans="1:22">
      <c r="A7" s="1" t="s">
        <v>12</v>
      </c>
      <c r="B7" s="29">
        <v>0</v>
      </c>
      <c r="C7" s="30">
        <v>0</v>
      </c>
      <c r="D7" s="30">
        <v>1206623.411858181</v>
      </c>
      <c r="E7" s="30">
        <v>0</v>
      </c>
      <c r="F7" s="30">
        <v>0</v>
      </c>
      <c r="G7" s="31">
        <f>SUM(AK_FINANCIAL)</f>
        <v>1206623.411858181</v>
      </c>
      <c r="H7" s="30"/>
      <c r="I7" s="32"/>
      <c r="J7" s="33"/>
      <c r="K7" s="30"/>
      <c r="L7" s="29">
        <v>0</v>
      </c>
      <c r="M7" s="30">
        <v>0</v>
      </c>
      <c r="N7" s="30"/>
      <c r="O7" s="30">
        <v>0</v>
      </c>
      <c r="P7" s="30">
        <v>0</v>
      </c>
      <c r="Q7" s="30"/>
      <c r="R7" s="30">
        <v>1050000</v>
      </c>
      <c r="S7" s="30">
        <v>0</v>
      </c>
      <c r="T7" s="30"/>
      <c r="U7" s="30">
        <v>0</v>
      </c>
      <c r="V7" s="31">
        <v>0</v>
      </c>
    </row>
    <row r="8" spans="1:22">
      <c r="A8" s="1" t="s">
        <v>13</v>
      </c>
      <c r="B8" s="29">
        <v>0</v>
      </c>
      <c r="C8" s="30">
        <v>0</v>
      </c>
      <c r="D8" s="30">
        <v>124794031.26218893</v>
      </c>
      <c r="E8" s="30">
        <v>0</v>
      </c>
      <c r="F8" s="30">
        <v>0</v>
      </c>
      <c r="G8" s="31">
        <f>SUM(AZ_FINANCIAL)</f>
        <v>124794031.26218893</v>
      </c>
      <c r="H8" s="30"/>
      <c r="I8" s="34" t="s">
        <v>14</v>
      </c>
      <c r="J8" s="35"/>
      <c r="K8" s="30"/>
      <c r="L8" s="29">
        <v>0</v>
      </c>
      <c r="M8" s="30">
        <v>0</v>
      </c>
      <c r="N8" s="30"/>
      <c r="O8" s="30">
        <v>0</v>
      </c>
      <c r="P8" s="30">
        <v>0</v>
      </c>
      <c r="Q8" s="30"/>
      <c r="R8" s="30">
        <v>34700000</v>
      </c>
      <c r="S8" s="30">
        <v>3181</v>
      </c>
      <c r="T8" s="30"/>
      <c r="U8" s="30">
        <v>0</v>
      </c>
      <c r="V8" s="31">
        <v>0</v>
      </c>
    </row>
    <row r="9" spans="1:22">
      <c r="A9" s="1" t="s">
        <v>15</v>
      </c>
      <c r="B9" s="29">
        <v>0</v>
      </c>
      <c r="C9" s="30">
        <v>0</v>
      </c>
      <c r="D9" s="30">
        <v>4546006.1246976284</v>
      </c>
      <c r="E9" s="30">
        <v>0</v>
      </c>
      <c r="F9" s="30">
        <v>0</v>
      </c>
      <c r="G9" s="31">
        <f>SUM(AR_FINANCIAL)</f>
        <v>4546006.1246976284</v>
      </c>
      <c r="H9" s="30"/>
      <c r="I9" s="34"/>
      <c r="J9" s="35"/>
      <c r="K9" s="30"/>
      <c r="L9" s="29">
        <v>0</v>
      </c>
      <c r="M9" s="30">
        <v>0</v>
      </c>
      <c r="N9" s="30"/>
      <c r="O9" s="30">
        <v>0</v>
      </c>
      <c r="P9" s="30">
        <v>0</v>
      </c>
      <c r="Q9" s="30"/>
      <c r="R9" s="30">
        <v>0</v>
      </c>
      <c r="S9" s="30">
        <v>0</v>
      </c>
      <c r="T9" s="30"/>
      <c r="U9" s="30">
        <v>0</v>
      </c>
      <c r="V9" s="31">
        <v>0</v>
      </c>
    </row>
    <row r="10" spans="1:22">
      <c r="A10" s="1" t="s">
        <v>16</v>
      </c>
      <c r="B10" s="29">
        <v>0</v>
      </c>
      <c r="C10" s="30">
        <v>0</v>
      </c>
      <c r="D10" s="30">
        <v>409790794.43229419</v>
      </c>
      <c r="E10" s="30">
        <v>0</v>
      </c>
      <c r="F10" s="30">
        <v>0</v>
      </c>
      <c r="G10" s="31">
        <f>SUM(CA_FINANCIAL)</f>
        <v>409790794.43229419</v>
      </c>
      <c r="H10" s="30"/>
      <c r="I10" s="34" t="s">
        <v>17</v>
      </c>
      <c r="J10" s="35">
        <v>2571757855.5164804</v>
      </c>
      <c r="K10" s="30"/>
      <c r="L10" s="29">
        <v>0</v>
      </c>
      <c r="M10" s="30">
        <v>0</v>
      </c>
      <c r="N10" s="30"/>
      <c r="O10" s="30">
        <v>0</v>
      </c>
      <c r="P10" s="30">
        <v>0</v>
      </c>
      <c r="Q10" s="30"/>
      <c r="R10" s="30">
        <v>325000000</v>
      </c>
      <c r="S10" s="30">
        <v>0</v>
      </c>
      <c r="T10" s="30"/>
      <c r="U10" s="30">
        <v>0</v>
      </c>
      <c r="V10" s="31">
        <v>0</v>
      </c>
    </row>
    <row r="11" spans="1:22">
      <c r="A11" s="1" t="s">
        <v>18</v>
      </c>
      <c r="B11" s="29">
        <v>0</v>
      </c>
      <c r="C11" s="30">
        <v>0</v>
      </c>
      <c r="D11" s="30">
        <v>43106091.756519429</v>
      </c>
      <c r="E11" s="30">
        <v>0</v>
      </c>
      <c r="F11" s="30">
        <v>0</v>
      </c>
      <c r="G11" s="31">
        <f>SUM(CO_FINANCIAL)</f>
        <v>43106091.756519429</v>
      </c>
      <c r="H11" s="30"/>
      <c r="I11" s="34"/>
      <c r="J11" s="35"/>
      <c r="K11" s="30"/>
      <c r="L11" s="29">
        <v>0</v>
      </c>
      <c r="M11" s="30">
        <v>0</v>
      </c>
      <c r="N11" s="30"/>
      <c r="O11" s="30">
        <v>0</v>
      </c>
      <c r="P11" s="30">
        <v>0</v>
      </c>
      <c r="Q11" s="30"/>
      <c r="R11" s="30">
        <v>37000000</v>
      </c>
      <c r="S11" s="30">
        <v>0</v>
      </c>
      <c r="T11" s="30"/>
      <c r="U11" s="30">
        <v>0</v>
      </c>
      <c r="V11" s="31">
        <v>0</v>
      </c>
    </row>
    <row r="12" spans="1:22">
      <c r="A12" s="1" t="s">
        <v>19</v>
      </c>
      <c r="B12" s="29">
        <v>0</v>
      </c>
      <c r="C12" s="30">
        <v>0</v>
      </c>
      <c r="D12" s="30">
        <v>2983714.2441462292</v>
      </c>
      <c r="E12" s="30">
        <v>0</v>
      </c>
      <c r="F12" s="30">
        <v>0</v>
      </c>
      <c r="G12" s="31">
        <f>SUM(CT_FINANCIAL)</f>
        <v>2983714.2441462292</v>
      </c>
      <c r="H12" s="30"/>
      <c r="I12" s="34" t="s">
        <v>20</v>
      </c>
      <c r="J12" s="35"/>
      <c r="K12" s="30"/>
      <c r="L12" s="29">
        <v>0</v>
      </c>
      <c r="M12" s="30">
        <v>0</v>
      </c>
      <c r="N12" s="30"/>
      <c r="O12" s="30">
        <v>0</v>
      </c>
      <c r="P12" s="30">
        <v>0</v>
      </c>
      <c r="Q12" s="30"/>
      <c r="R12" s="30">
        <v>23910973</v>
      </c>
      <c r="S12" s="30">
        <v>0</v>
      </c>
      <c r="T12" s="30"/>
      <c r="U12" s="30">
        <v>0</v>
      </c>
      <c r="V12" s="31">
        <v>0</v>
      </c>
    </row>
    <row r="13" spans="1:22">
      <c r="A13" s="1" t="s">
        <v>21</v>
      </c>
      <c r="B13" s="29">
        <v>0</v>
      </c>
      <c r="C13" s="30">
        <v>0</v>
      </c>
      <c r="D13" s="30">
        <v>3121549.2014286383</v>
      </c>
      <c r="E13" s="30">
        <v>0</v>
      </c>
      <c r="F13" s="30">
        <v>0</v>
      </c>
      <c r="G13" s="31">
        <f>SUM(DE_FINANCIAL)</f>
        <v>3121549.2014286383</v>
      </c>
      <c r="H13" s="30"/>
      <c r="I13" s="34" t="s">
        <v>22</v>
      </c>
      <c r="J13" s="35">
        <v>0</v>
      </c>
      <c r="K13" s="30"/>
      <c r="L13" s="29">
        <v>0</v>
      </c>
      <c r="M13" s="30">
        <v>0</v>
      </c>
      <c r="N13" s="30"/>
      <c r="O13" s="30">
        <v>0</v>
      </c>
      <c r="P13" s="30">
        <v>0</v>
      </c>
      <c r="Q13" s="30"/>
      <c r="R13" s="30">
        <v>3022000</v>
      </c>
      <c r="S13" s="30">
        <v>0</v>
      </c>
      <c r="T13" s="30"/>
      <c r="U13" s="30">
        <v>0</v>
      </c>
      <c r="V13" s="31">
        <v>0</v>
      </c>
    </row>
    <row r="14" spans="1:22">
      <c r="A14" s="1" t="s">
        <v>23</v>
      </c>
      <c r="B14" s="29">
        <v>0</v>
      </c>
      <c r="C14" s="30">
        <v>0</v>
      </c>
      <c r="D14" s="30">
        <v>1414572.0281675342</v>
      </c>
      <c r="E14" s="30">
        <v>0</v>
      </c>
      <c r="F14" s="30">
        <v>0</v>
      </c>
      <c r="G14" s="31">
        <f>SUM(DC_FINANCIAL)</f>
        <v>1414572.0281675342</v>
      </c>
      <c r="H14" s="30"/>
      <c r="I14" s="34" t="s">
        <v>24</v>
      </c>
      <c r="J14" s="35">
        <v>19741911.865734477</v>
      </c>
      <c r="K14" s="30"/>
      <c r="L14" s="29">
        <v>0</v>
      </c>
      <c r="M14" s="30">
        <v>0</v>
      </c>
      <c r="N14" s="30"/>
      <c r="O14" s="30">
        <v>0</v>
      </c>
      <c r="P14" s="30">
        <v>0</v>
      </c>
      <c r="Q14" s="30"/>
      <c r="R14" s="30">
        <v>1256500</v>
      </c>
      <c r="S14" s="30">
        <v>0</v>
      </c>
      <c r="T14" s="30"/>
      <c r="U14" s="30">
        <v>0</v>
      </c>
      <c r="V14" s="31">
        <v>0</v>
      </c>
    </row>
    <row r="15" spans="1:22">
      <c r="A15" s="1" t="s">
        <v>25</v>
      </c>
      <c r="B15" s="29">
        <v>0</v>
      </c>
      <c r="C15" s="30">
        <v>0</v>
      </c>
      <c r="D15" s="30">
        <v>352445882.6023196</v>
      </c>
      <c r="E15" s="30">
        <v>0</v>
      </c>
      <c r="F15" s="30">
        <v>0</v>
      </c>
      <c r="G15" s="31">
        <f>SUM(FL_FINANCIAL)</f>
        <v>352445882.6023196</v>
      </c>
      <c r="H15" s="30"/>
      <c r="I15" s="34" t="s">
        <v>26</v>
      </c>
      <c r="J15" s="35">
        <v>35709363.375910997</v>
      </c>
      <c r="K15" s="30"/>
      <c r="L15" s="29">
        <v>0</v>
      </c>
      <c r="M15" s="30">
        <v>0</v>
      </c>
      <c r="N15" s="30"/>
      <c r="O15" s="30">
        <v>0</v>
      </c>
      <c r="P15" s="30">
        <v>0</v>
      </c>
      <c r="Q15" s="30"/>
      <c r="R15" s="30">
        <v>318880371</v>
      </c>
      <c r="S15" s="30">
        <v>0</v>
      </c>
      <c r="T15" s="30"/>
      <c r="U15" s="30">
        <v>0</v>
      </c>
      <c r="V15" s="31">
        <v>0</v>
      </c>
    </row>
    <row r="16" spans="1:22">
      <c r="A16" s="1" t="s">
        <v>27</v>
      </c>
      <c r="B16" s="29">
        <v>0</v>
      </c>
      <c r="C16" s="30">
        <v>0</v>
      </c>
      <c r="D16" s="30">
        <v>66484477.034501515</v>
      </c>
      <c r="E16" s="30">
        <v>0</v>
      </c>
      <c r="F16" s="30">
        <v>0</v>
      </c>
      <c r="G16" s="31">
        <f>SUM(GA_FINANCIAL)</f>
        <v>66484477.034501515</v>
      </c>
      <c r="H16" s="30"/>
      <c r="I16" s="34" t="s">
        <v>28</v>
      </c>
      <c r="J16" s="35">
        <v>2395738844.0968013</v>
      </c>
      <c r="K16" s="30"/>
      <c r="L16" s="29">
        <v>0</v>
      </c>
      <c r="M16" s="30">
        <v>0</v>
      </c>
      <c r="N16" s="30"/>
      <c r="O16" s="30">
        <v>0</v>
      </c>
      <c r="P16" s="30">
        <v>0</v>
      </c>
      <c r="Q16" s="30"/>
      <c r="R16" s="30">
        <v>69000000</v>
      </c>
      <c r="S16" s="30">
        <v>0</v>
      </c>
      <c r="T16" s="30"/>
      <c r="U16" s="30">
        <v>0</v>
      </c>
      <c r="V16" s="31">
        <v>0</v>
      </c>
    </row>
    <row r="17" spans="1:22">
      <c r="A17" s="1" t="s">
        <v>29</v>
      </c>
      <c r="B17" s="29">
        <v>0</v>
      </c>
      <c r="C17" s="30">
        <v>0</v>
      </c>
      <c r="D17" s="30">
        <v>9529712.6449383497</v>
      </c>
      <c r="E17" s="30">
        <v>0</v>
      </c>
      <c r="F17" s="30">
        <v>0</v>
      </c>
      <c r="G17" s="31">
        <f>SUM(HI_FINANCIAL)</f>
        <v>9529712.6449383497</v>
      </c>
      <c r="H17" s="30"/>
      <c r="I17" s="34"/>
      <c r="J17" s="35"/>
      <c r="K17" s="30"/>
      <c r="L17" s="29">
        <v>0</v>
      </c>
      <c r="M17" s="30">
        <v>0</v>
      </c>
      <c r="N17" s="30"/>
      <c r="O17" s="30">
        <v>0</v>
      </c>
      <c r="P17" s="30">
        <v>0</v>
      </c>
      <c r="Q17" s="30"/>
      <c r="R17" s="30">
        <v>7499854</v>
      </c>
      <c r="S17" s="30">
        <v>0</v>
      </c>
      <c r="T17" s="30"/>
      <c r="U17" s="30">
        <v>0</v>
      </c>
      <c r="V17" s="31">
        <v>0</v>
      </c>
    </row>
    <row r="18" spans="1:22">
      <c r="A18" s="1" t="s">
        <v>30</v>
      </c>
      <c r="B18" s="29">
        <v>0</v>
      </c>
      <c r="C18" s="30">
        <v>0</v>
      </c>
      <c r="D18" s="30">
        <v>8051847.6919329967</v>
      </c>
      <c r="E18" s="30">
        <v>0</v>
      </c>
      <c r="F18" s="30">
        <v>0</v>
      </c>
      <c r="G18" s="31">
        <f>SUM(ID_FINANCIAL)</f>
        <v>8051847.6919329967</v>
      </c>
      <c r="H18" s="30"/>
      <c r="I18" s="34" t="s">
        <v>31</v>
      </c>
      <c r="J18" s="35"/>
      <c r="K18" s="30"/>
      <c r="L18" s="29">
        <v>0</v>
      </c>
      <c r="M18" s="30">
        <v>0</v>
      </c>
      <c r="N18" s="30"/>
      <c r="O18" s="30">
        <v>0</v>
      </c>
      <c r="P18" s="30">
        <v>0</v>
      </c>
      <c r="Q18" s="30"/>
      <c r="R18" s="30">
        <v>4000000</v>
      </c>
      <c r="S18" s="30">
        <v>0</v>
      </c>
      <c r="T18" s="30"/>
      <c r="U18" s="30">
        <v>0</v>
      </c>
      <c r="V18" s="31">
        <v>0</v>
      </c>
    </row>
    <row r="19" spans="1:22">
      <c r="A19" s="1" t="s">
        <v>32</v>
      </c>
      <c r="B19" s="29">
        <v>0</v>
      </c>
      <c r="C19" s="30">
        <v>0</v>
      </c>
      <c r="D19" s="30">
        <v>85715514.594500288</v>
      </c>
      <c r="E19" s="30">
        <v>0</v>
      </c>
      <c r="F19" s="30">
        <v>0</v>
      </c>
      <c r="G19" s="31">
        <f>SUM(IL_FINANCIAL)</f>
        <v>85715514.594500288</v>
      </c>
      <c r="H19" s="30"/>
      <c r="I19" s="34" t="s">
        <v>33</v>
      </c>
      <c r="J19" s="35">
        <v>176019011.41967931</v>
      </c>
      <c r="K19" s="30"/>
      <c r="L19" s="29">
        <v>0</v>
      </c>
      <c r="M19" s="30">
        <v>0</v>
      </c>
      <c r="N19" s="30"/>
      <c r="O19" s="30">
        <v>0</v>
      </c>
      <c r="P19" s="30">
        <v>0</v>
      </c>
      <c r="Q19" s="30"/>
      <c r="R19" s="30">
        <v>25000000</v>
      </c>
      <c r="S19" s="30">
        <v>0</v>
      </c>
      <c r="T19" s="30"/>
      <c r="U19" s="30">
        <v>0</v>
      </c>
      <c r="V19" s="31">
        <v>0</v>
      </c>
    </row>
    <row r="20" spans="1:22">
      <c r="A20" s="1" t="s">
        <v>34</v>
      </c>
      <c r="B20" s="29">
        <v>0</v>
      </c>
      <c r="C20" s="30">
        <v>0</v>
      </c>
      <c r="D20" s="30">
        <v>28158197.168648344</v>
      </c>
      <c r="E20" s="30">
        <v>0</v>
      </c>
      <c r="F20" s="30">
        <v>0</v>
      </c>
      <c r="G20" s="31">
        <f>SUM(IN_FINANCIAL)</f>
        <v>28158197.168648344</v>
      </c>
      <c r="H20" s="30"/>
      <c r="I20" s="34" t="s">
        <v>35</v>
      </c>
      <c r="J20" s="35">
        <v>2395738844.0968013</v>
      </c>
      <c r="K20" s="30"/>
      <c r="L20" s="29">
        <v>0</v>
      </c>
      <c r="M20" s="30">
        <v>0</v>
      </c>
      <c r="N20" s="30"/>
      <c r="O20" s="30">
        <v>0</v>
      </c>
      <c r="P20" s="30">
        <v>0</v>
      </c>
      <c r="Q20" s="30"/>
      <c r="R20" s="30">
        <v>18637000</v>
      </c>
      <c r="S20" s="30">
        <v>0</v>
      </c>
      <c r="T20" s="30"/>
      <c r="U20" s="30">
        <v>0</v>
      </c>
      <c r="V20" s="31">
        <v>0</v>
      </c>
    </row>
    <row r="21" spans="1:22">
      <c r="A21" s="1" t="s">
        <v>36</v>
      </c>
      <c r="B21" s="29">
        <v>0</v>
      </c>
      <c r="C21" s="30">
        <v>0</v>
      </c>
      <c r="D21" s="30">
        <v>88595277.409472689</v>
      </c>
      <c r="E21" s="30">
        <v>0</v>
      </c>
      <c r="F21" s="30">
        <v>0</v>
      </c>
      <c r="G21" s="31">
        <f>SUM(IA_FINANCIAL)</f>
        <v>88595277.409472689</v>
      </c>
      <c r="H21" s="30"/>
      <c r="I21" s="34" t="s">
        <v>37</v>
      </c>
      <c r="J21" s="35"/>
      <c r="K21" s="30"/>
      <c r="L21" s="29">
        <v>0</v>
      </c>
      <c r="M21" s="30">
        <v>0</v>
      </c>
      <c r="N21" s="30"/>
      <c r="O21" s="30">
        <v>0</v>
      </c>
      <c r="P21" s="30">
        <v>0</v>
      </c>
      <c r="Q21" s="30"/>
      <c r="R21" s="30">
        <v>45500000</v>
      </c>
      <c r="S21" s="30">
        <v>0</v>
      </c>
      <c r="T21" s="30"/>
      <c r="U21" s="30">
        <v>0</v>
      </c>
      <c r="V21" s="31">
        <v>0</v>
      </c>
    </row>
    <row r="22" spans="1:22">
      <c r="A22" s="1" t="s">
        <v>38</v>
      </c>
      <c r="B22" s="29">
        <v>0</v>
      </c>
      <c r="C22" s="30">
        <v>0</v>
      </c>
      <c r="D22" s="30">
        <v>0</v>
      </c>
      <c r="E22" s="30">
        <v>0</v>
      </c>
      <c r="F22" s="30">
        <v>0</v>
      </c>
      <c r="G22" s="31">
        <f>SUM(KS_FINANCIAL)</f>
        <v>0</v>
      </c>
      <c r="H22" s="30"/>
      <c r="I22" s="34" t="s">
        <v>39</v>
      </c>
      <c r="J22" s="35">
        <v>0</v>
      </c>
      <c r="K22" s="30"/>
      <c r="L22" s="29"/>
      <c r="M22" s="30"/>
      <c r="N22" s="30"/>
      <c r="O22" s="30"/>
      <c r="P22" s="30"/>
      <c r="Q22" s="30"/>
      <c r="R22" s="30"/>
      <c r="S22" s="30"/>
      <c r="T22" s="30"/>
      <c r="U22" s="30"/>
      <c r="V22" s="31"/>
    </row>
    <row r="23" spans="1:22">
      <c r="A23" s="1" t="s">
        <v>40</v>
      </c>
      <c r="B23" s="29">
        <v>0</v>
      </c>
      <c r="C23" s="30">
        <v>0</v>
      </c>
      <c r="D23" s="30">
        <v>28656189.882736541</v>
      </c>
      <c r="E23" s="30">
        <v>0</v>
      </c>
      <c r="F23" s="30">
        <v>0</v>
      </c>
      <c r="G23" s="31">
        <f>SUM(KY_FINANCIAL)</f>
        <v>28656189.882736541</v>
      </c>
      <c r="H23" s="30"/>
      <c r="I23" s="34" t="s">
        <v>41</v>
      </c>
      <c r="J23" s="35"/>
      <c r="K23" s="30"/>
      <c r="L23" s="29">
        <v>0</v>
      </c>
      <c r="M23" s="30">
        <v>0</v>
      </c>
      <c r="N23" s="30"/>
      <c r="O23" s="30">
        <v>0</v>
      </c>
      <c r="P23" s="30">
        <v>0</v>
      </c>
      <c r="Q23" s="30"/>
      <c r="R23" s="30">
        <v>25806772</v>
      </c>
      <c r="S23" s="30">
        <v>0</v>
      </c>
      <c r="T23" s="30"/>
      <c r="U23" s="30">
        <v>0</v>
      </c>
      <c r="V23" s="31">
        <v>0</v>
      </c>
    </row>
    <row r="24" spans="1:22">
      <c r="A24" s="1" t="s">
        <v>42</v>
      </c>
      <c r="B24" s="29">
        <v>0</v>
      </c>
      <c r="C24" s="30">
        <v>0</v>
      </c>
      <c r="D24" s="30">
        <v>10445191.153898953</v>
      </c>
      <c r="E24" s="30">
        <v>0</v>
      </c>
      <c r="F24" s="30">
        <v>0</v>
      </c>
      <c r="G24" s="31">
        <f>SUM(LA_FINANCIAL)</f>
        <v>10445191.153898953</v>
      </c>
      <c r="H24" s="30"/>
      <c r="I24" s="34" t="s">
        <v>43</v>
      </c>
      <c r="J24" s="35">
        <v>0</v>
      </c>
      <c r="K24" s="30"/>
      <c r="L24" s="29">
        <v>0</v>
      </c>
      <c r="M24" s="30">
        <v>0</v>
      </c>
      <c r="N24" s="30"/>
      <c r="O24" s="30">
        <v>0</v>
      </c>
      <c r="P24" s="30">
        <v>0</v>
      </c>
      <c r="Q24" s="30"/>
      <c r="R24" s="30">
        <v>3640000</v>
      </c>
      <c r="S24" s="30">
        <v>0</v>
      </c>
      <c r="T24" s="30"/>
      <c r="U24" s="30">
        <v>0</v>
      </c>
      <c r="V24" s="31">
        <v>0</v>
      </c>
    </row>
    <row r="25" spans="1:22">
      <c r="A25" s="1" t="s">
        <v>44</v>
      </c>
      <c r="B25" s="29">
        <v>0</v>
      </c>
      <c r="C25" s="30">
        <v>0</v>
      </c>
      <c r="D25" s="30">
        <v>0</v>
      </c>
      <c r="E25" s="30">
        <v>0</v>
      </c>
      <c r="F25" s="30">
        <v>0</v>
      </c>
      <c r="G25" s="31">
        <f>SUM(ME_FINANCIAL)</f>
        <v>0</v>
      </c>
      <c r="H25" s="30"/>
      <c r="I25" s="34"/>
      <c r="J25" s="35"/>
      <c r="K25" s="30"/>
      <c r="L25" s="29"/>
      <c r="M25" s="30"/>
      <c r="N25" s="30"/>
      <c r="O25" s="30"/>
      <c r="P25" s="30"/>
      <c r="Q25" s="30"/>
      <c r="R25" s="30"/>
      <c r="S25" s="30"/>
      <c r="T25" s="30"/>
      <c r="U25" s="30"/>
      <c r="V25" s="31"/>
    </row>
    <row r="26" spans="1:22">
      <c r="A26" s="1" t="s">
        <v>45</v>
      </c>
      <c r="B26" s="29">
        <v>0</v>
      </c>
      <c r="C26" s="30">
        <v>0</v>
      </c>
      <c r="D26" s="30">
        <v>29989805.33234939</v>
      </c>
      <c r="E26" s="30">
        <v>0</v>
      </c>
      <c r="F26" s="30">
        <v>0</v>
      </c>
      <c r="G26" s="31">
        <f>SUM(MD_FINANCIAL)</f>
        <v>29989805.33234939</v>
      </c>
      <c r="H26" s="30"/>
      <c r="I26" s="34" t="s">
        <v>46</v>
      </c>
      <c r="J26" s="35">
        <f>SUM(ADD_FINANCIAL)-SUM(LESS_FINANCIAL)</f>
        <v>2451190119.3384466</v>
      </c>
      <c r="K26" s="30"/>
      <c r="L26" s="29">
        <v>0</v>
      </c>
      <c r="M26" s="30">
        <v>0</v>
      </c>
      <c r="N26" s="30"/>
      <c r="O26" s="30">
        <v>0</v>
      </c>
      <c r="P26" s="30">
        <v>0</v>
      </c>
      <c r="Q26" s="30"/>
      <c r="R26" s="30">
        <v>30000000</v>
      </c>
      <c r="S26" s="30">
        <v>0</v>
      </c>
      <c r="T26" s="30"/>
      <c r="U26" s="30">
        <v>0</v>
      </c>
      <c r="V26" s="31">
        <v>0</v>
      </c>
    </row>
    <row r="27" spans="1:22">
      <c r="A27" s="1" t="s">
        <v>47</v>
      </c>
      <c r="B27" s="29">
        <v>0</v>
      </c>
      <c r="C27" s="30">
        <v>0</v>
      </c>
      <c r="D27" s="30">
        <v>0</v>
      </c>
      <c r="E27" s="30">
        <v>0</v>
      </c>
      <c r="F27" s="30">
        <v>0</v>
      </c>
      <c r="G27" s="31">
        <f>SUM(MA_FINANCIAL)</f>
        <v>0</v>
      </c>
      <c r="H27" s="30"/>
      <c r="I27" s="34" t="s">
        <v>48</v>
      </c>
      <c r="J27" s="35">
        <f>SUM(ALL_BLOCKS)</f>
        <v>2451190119.3384461</v>
      </c>
      <c r="K27" s="30"/>
      <c r="L27" s="29"/>
      <c r="M27" s="30"/>
      <c r="N27" s="30"/>
      <c r="O27" s="30"/>
      <c r="P27" s="30"/>
      <c r="Q27" s="30"/>
      <c r="R27" s="30"/>
      <c r="S27" s="30"/>
      <c r="T27" s="30"/>
      <c r="U27" s="30"/>
      <c r="V27" s="31"/>
    </row>
    <row r="28" spans="1:22">
      <c r="A28" s="1" t="s">
        <v>49</v>
      </c>
      <c r="B28" s="29">
        <v>0</v>
      </c>
      <c r="C28" s="30">
        <v>0</v>
      </c>
      <c r="D28" s="30">
        <v>33086947.358448572</v>
      </c>
      <c r="E28" s="30">
        <v>0</v>
      </c>
      <c r="F28" s="30">
        <v>0</v>
      </c>
      <c r="G28" s="31">
        <f>SUM(MI_FINANCIAL)</f>
        <v>33086947.358448572</v>
      </c>
      <c r="H28" s="30"/>
      <c r="I28" s="36"/>
      <c r="J28" s="37"/>
      <c r="K28" s="30"/>
      <c r="L28" s="29">
        <v>0</v>
      </c>
      <c r="M28" s="30">
        <v>0</v>
      </c>
      <c r="N28" s="30"/>
      <c r="O28" s="30">
        <v>0</v>
      </c>
      <c r="P28" s="30">
        <v>0</v>
      </c>
      <c r="Q28" s="30"/>
      <c r="R28" s="30">
        <v>26160311</v>
      </c>
      <c r="S28" s="30">
        <v>0</v>
      </c>
      <c r="T28" s="30"/>
      <c r="U28" s="30">
        <v>0</v>
      </c>
      <c r="V28" s="31">
        <v>0</v>
      </c>
    </row>
    <row r="29" spans="1:22">
      <c r="A29" s="1" t="s">
        <v>50</v>
      </c>
      <c r="B29" s="29">
        <v>0</v>
      </c>
      <c r="C29" s="30">
        <v>0</v>
      </c>
      <c r="D29" s="30">
        <v>4161973.0755333262</v>
      </c>
      <c r="E29" s="30">
        <v>0</v>
      </c>
      <c r="F29" s="30">
        <v>0</v>
      </c>
      <c r="G29" s="31">
        <f>SUM(MN_FINANCIAL)</f>
        <v>4161973.0755333262</v>
      </c>
      <c r="H29" s="30"/>
      <c r="I29" s="30"/>
      <c r="J29" s="30"/>
      <c r="K29" s="30"/>
      <c r="L29" s="29">
        <v>0</v>
      </c>
      <c r="M29" s="30">
        <v>0</v>
      </c>
      <c r="N29" s="30"/>
      <c r="O29" s="30">
        <v>0</v>
      </c>
      <c r="P29" s="30">
        <v>0</v>
      </c>
      <c r="Q29" s="30"/>
      <c r="R29" s="30">
        <v>4400000</v>
      </c>
      <c r="S29" s="30">
        <v>0</v>
      </c>
      <c r="T29" s="30"/>
      <c r="U29" s="30">
        <v>0</v>
      </c>
      <c r="V29" s="31">
        <v>0</v>
      </c>
    </row>
    <row r="30" spans="1:22">
      <c r="A30" s="1" t="s">
        <v>51</v>
      </c>
      <c r="B30" s="29">
        <v>0</v>
      </c>
      <c r="C30" s="30">
        <v>0</v>
      </c>
      <c r="D30" s="30">
        <v>13932751.265231902</v>
      </c>
      <c r="E30" s="30">
        <v>0</v>
      </c>
      <c r="F30" s="30">
        <v>0</v>
      </c>
      <c r="G30" s="31">
        <f>SUM(MS_FINANCIAL)</f>
        <v>13932751.265231902</v>
      </c>
      <c r="H30" s="30"/>
      <c r="I30" s="30"/>
      <c r="J30" s="30"/>
      <c r="K30" s="30"/>
      <c r="L30" s="29">
        <v>0</v>
      </c>
      <c r="M30" s="30">
        <v>0</v>
      </c>
      <c r="N30" s="30"/>
      <c r="O30" s="30">
        <v>0</v>
      </c>
      <c r="P30" s="30">
        <v>0</v>
      </c>
      <c r="Q30" s="30"/>
      <c r="R30" s="30">
        <v>10500000</v>
      </c>
      <c r="S30" s="30">
        <v>0</v>
      </c>
      <c r="T30" s="30"/>
      <c r="U30" s="30">
        <v>0</v>
      </c>
      <c r="V30" s="31">
        <v>0</v>
      </c>
    </row>
    <row r="31" spans="1:22">
      <c r="A31" s="1" t="s">
        <v>52</v>
      </c>
      <c r="B31" s="29">
        <v>0</v>
      </c>
      <c r="C31" s="30">
        <v>0</v>
      </c>
      <c r="D31" s="30">
        <v>12169895.023586739</v>
      </c>
      <c r="E31" s="30">
        <v>0</v>
      </c>
      <c r="F31" s="30">
        <v>0</v>
      </c>
      <c r="G31" s="31">
        <f>SUM(MO_FINANCIAL)</f>
        <v>12169895.023586739</v>
      </c>
      <c r="H31" s="30"/>
      <c r="I31" s="30"/>
      <c r="J31" s="30"/>
      <c r="K31" s="30"/>
      <c r="L31" s="29">
        <v>0</v>
      </c>
      <c r="M31" s="30">
        <v>0</v>
      </c>
      <c r="N31" s="30"/>
      <c r="O31" s="30">
        <v>0</v>
      </c>
      <c r="P31" s="30">
        <v>0</v>
      </c>
      <c r="Q31" s="30"/>
      <c r="R31" s="30">
        <v>10574767</v>
      </c>
      <c r="S31" s="30">
        <v>0</v>
      </c>
      <c r="T31" s="30"/>
      <c r="U31" s="30">
        <v>0</v>
      </c>
      <c r="V31" s="31">
        <v>0</v>
      </c>
    </row>
    <row r="32" spans="1:22">
      <c r="A32" s="1" t="s">
        <v>53</v>
      </c>
      <c r="B32" s="29">
        <v>0</v>
      </c>
      <c r="C32" s="30">
        <v>0</v>
      </c>
      <c r="D32" s="30">
        <v>4621794.3690998722</v>
      </c>
      <c r="E32" s="30">
        <v>0</v>
      </c>
      <c r="F32" s="30">
        <v>0</v>
      </c>
      <c r="G32" s="31">
        <f>SUM(MT_FINANCIAL)</f>
        <v>4621794.3690998722</v>
      </c>
      <c r="H32" s="30"/>
      <c r="I32" s="30"/>
      <c r="J32" s="30"/>
      <c r="K32" s="30"/>
      <c r="L32" s="29">
        <v>0</v>
      </c>
      <c r="M32" s="30">
        <v>0</v>
      </c>
      <c r="N32" s="30"/>
      <c r="O32" s="30">
        <v>0</v>
      </c>
      <c r="P32" s="30">
        <v>0</v>
      </c>
      <c r="Q32" s="30"/>
      <c r="R32" s="30">
        <v>3432860</v>
      </c>
      <c r="S32" s="30">
        <v>0</v>
      </c>
      <c r="T32" s="30"/>
      <c r="U32" s="30">
        <v>0</v>
      </c>
      <c r="V32" s="31">
        <v>0</v>
      </c>
    </row>
    <row r="33" spans="1:22">
      <c r="A33" s="1" t="s">
        <v>54</v>
      </c>
      <c r="B33" s="29">
        <v>0</v>
      </c>
      <c r="C33" s="30">
        <v>0</v>
      </c>
      <c r="D33" s="30">
        <v>25756186.549880225</v>
      </c>
      <c r="E33" s="30">
        <v>0</v>
      </c>
      <c r="F33" s="30">
        <v>0</v>
      </c>
      <c r="G33" s="31">
        <f>SUM(NE_FINANCIAL)</f>
        <v>25756186.549880225</v>
      </c>
      <c r="H33" s="30"/>
      <c r="I33" s="30"/>
      <c r="J33" s="30"/>
      <c r="K33" s="30"/>
      <c r="L33" s="29">
        <v>0</v>
      </c>
      <c r="M33" s="30">
        <v>0</v>
      </c>
      <c r="N33" s="30"/>
      <c r="O33" s="30">
        <v>0</v>
      </c>
      <c r="P33" s="30">
        <v>0</v>
      </c>
      <c r="Q33" s="30"/>
      <c r="R33" s="30">
        <v>11340626</v>
      </c>
      <c r="S33" s="30">
        <v>0</v>
      </c>
      <c r="T33" s="30"/>
      <c r="U33" s="30">
        <v>0</v>
      </c>
      <c r="V33" s="31">
        <v>0</v>
      </c>
    </row>
    <row r="34" spans="1:22">
      <c r="A34" s="1" t="s">
        <v>55</v>
      </c>
      <c r="B34" s="29">
        <v>0</v>
      </c>
      <c r="C34" s="30">
        <v>0</v>
      </c>
      <c r="D34" s="30">
        <v>13638069.630960902</v>
      </c>
      <c r="E34" s="30">
        <v>0</v>
      </c>
      <c r="F34" s="30">
        <v>0</v>
      </c>
      <c r="G34" s="31">
        <f>SUM(NV_FINANCIAL)</f>
        <v>13638069.630960902</v>
      </c>
      <c r="H34" s="30"/>
      <c r="I34" s="30"/>
      <c r="J34" s="30"/>
      <c r="K34" s="30"/>
      <c r="L34" s="29">
        <v>0</v>
      </c>
      <c r="M34" s="30">
        <v>0</v>
      </c>
      <c r="N34" s="30"/>
      <c r="O34" s="30">
        <v>0</v>
      </c>
      <c r="P34" s="30">
        <v>0</v>
      </c>
      <c r="Q34" s="30"/>
      <c r="R34" s="30">
        <v>16000000</v>
      </c>
      <c r="S34" s="30">
        <v>0</v>
      </c>
      <c r="T34" s="30"/>
      <c r="U34" s="30">
        <v>0</v>
      </c>
      <c r="V34" s="31">
        <v>0</v>
      </c>
    </row>
    <row r="35" spans="1:22">
      <c r="A35" s="1" t="s">
        <v>56</v>
      </c>
      <c r="B35" s="29">
        <v>0</v>
      </c>
      <c r="C35" s="30">
        <v>0</v>
      </c>
      <c r="D35" s="30">
        <v>7132050.4550540177</v>
      </c>
      <c r="E35" s="30">
        <v>0</v>
      </c>
      <c r="F35" s="30">
        <v>0</v>
      </c>
      <c r="G35" s="31">
        <f>SUM(NH_FINANCIAL)</f>
        <v>7132050.4550540177</v>
      </c>
      <c r="H35" s="30"/>
      <c r="I35" s="30"/>
      <c r="J35" s="30"/>
      <c r="K35" s="30"/>
      <c r="L35" s="29">
        <v>0</v>
      </c>
      <c r="M35" s="30">
        <v>0</v>
      </c>
      <c r="N35" s="30"/>
      <c r="O35" s="30">
        <v>0</v>
      </c>
      <c r="P35" s="30">
        <v>0</v>
      </c>
      <c r="Q35" s="30"/>
      <c r="R35" s="30">
        <v>6209000</v>
      </c>
      <c r="S35" s="30">
        <v>0</v>
      </c>
      <c r="T35" s="30"/>
      <c r="U35" s="30">
        <v>0</v>
      </c>
      <c r="V35" s="31">
        <v>0</v>
      </c>
    </row>
    <row r="36" spans="1:22">
      <c r="A36" s="1" t="s">
        <v>57</v>
      </c>
      <c r="B36" s="29">
        <v>0</v>
      </c>
      <c r="C36" s="30">
        <v>0</v>
      </c>
      <c r="D36" s="30">
        <v>0</v>
      </c>
      <c r="E36" s="30">
        <v>0</v>
      </c>
      <c r="F36" s="30">
        <v>0</v>
      </c>
      <c r="G36" s="31">
        <f>SUM(NJ_FINANCIAL)</f>
        <v>0</v>
      </c>
      <c r="H36" s="30"/>
      <c r="I36" s="30"/>
      <c r="J36" s="30"/>
      <c r="K36" s="30"/>
      <c r="L36" s="29"/>
      <c r="M36" s="30"/>
      <c r="N36" s="30"/>
      <c r="O36" s="30"/>
      <c r="P36" s="30"/>
      <c r="Q36" s="30"/>
      <c r="R36" s="30"/>
      <c r="S36" s="30"/>
      <c r="T36" s="30"/>
      <c r="U36" s="30"/>
      <c r="V36" s="31"/>
    </row>
    <row r="37" spans="1:22">
      <c r="A37" s="1" t="s">
        <v>58</v>
      </c>
      <c r="B37" s="29">
        <v>0</v>
      </c>
      <c r="C37" s="30">
        <v>0</v>
      </c>
      <c r="D37" s="30">
        <v>8207870.8340568915</v>
      </c>
      <c r="E37" s="30">
        <v>0</v>
      </c>
      <c r="F37" s="30">
        <v>0</v>
      </c>
      <c r="G37" s="31">
        <f>SUM(NM_FINANCIAL)</f>
        <v>8207870.8340568915</v>
      </c>
      <c r="H37" s="30"/>
      <c r="I37" s="30"/>
      <c r="J37" s="30"/>
      <c r="K37" s="30"/>
      <c r="L37" s="29">
        <v>0</v>
      </c>
      <c r="M37" s="30">
        <v>0</v>
      </c>
      <c r="N37" s="30"/>
      <c r="O37" s="30">
        <v>0</v>
      </c>
      <c r="P37" s="30">
        <v>0</v>
      </c>
      <c r="Q37" s="30"/>
      <c r="R37" s="30">
        <v>7750002</v>
      </c>
      <c r="S37" s="30">
        <v>0</v>
      </c>
      <c r="T37" s="30"/>
      <c r="U37" s="30">
        <v>0</v>
      </c>
      <c r="V37" s="31">
        <v>0</v>
      </c>
    </row>
    <row r="38" spans="1:22">
      <c r="A38" s="1" t="s">
        <v>59</v>
      </c>
      <c r="B38" s="29">
        <v>0</v>
      </c>
      <c r="C38" s="30">
        <v>0</v>
      </c>
      <c r="D38" s="30">
        <v>0</v>
      </c>
      <c r="E38" s="30">
        <v>0</v>
      </c>
      <c r="F38" s="30">
        <v>0</v>
      </c>
      <c r="G38" s="31">
        <f>SUM(NY_FINANCIAL)</f>
        <v>0</v>
      </c>
      <c r="H38" s="30"/>
      <c r="I38" s="30"/>
      <c r="J38" s="30"/>
      <c r="K38" s="30"/>
      <c r="L38" s="29"/>
      <c r="M38" s="30"/>
      <c r="N38" s="30"/>
      <c r="O38" s="30"/>
      <c r="P38" s="30"/>
      <c r="Q38" s="30"/>
      <c r="R38" s="30"/>
      <c r="S38" s="30"/>
      <c r="T38" s="30"/>
      <c r="U38" s="30"/>
      <c r="V38" s="31"/>
    </row>
    <row r="39" spans="1:22">
      <c r="A39" s="1" t="s">
        <v>60</v>
      </c>
      <c r="B39" s="29">
        <v>0</v>
      </c>
      <c r="C39" s="30">
        <v>0</v>
      </c>
      <c r="D39" s="30">
        <v>103646851.56184696</v>
      </c>
      <c r="E39" s="30">
        <v>0</v>
      </c>
      <c r="F39" s="30">
        <v>0</v>
      </c>
      <c r="G39" s="31">
        <f>SUM(NC_FINANCIAL)</f>
        <v>103646851.56184696</v>
      </c>
      <c r="H39" s="30"/>
      <c r="I39" s="30"/>
      <c r="J39" s="30"/>
      <c r="K39" s="30"/>
      <c r="L39" s="29">
        <v>0</v>
      </c>
      <c r="M39" s="30">
        <v>0</v>
      </c>
      <c r="N39" s="30"/>
      <c r="O39" s="30">
        <v>0</v>
      </c>
      <c r="P39" s="30">
        <v>0</v>
      </c>
      <c r="Q39" s="30"/>
      <c r="R39" s="30">
        <v>94000000</v>
      </c>
      <c r="S39" s="30">
        <v>0</v>
      </c>
      <c r="T39" s="30"/>
      <c r="U39" s="30">
        <v>0</v>
      </c>
      <c r="V39" s="31">
        <v>0</v>
      </c>
    </row>
    <row r="40" spans="1:22">
      <c r="A40" s="1" t="s">
        <v>61</v>
      </c>
      <c r="B40" s="29">
        <v>0</v>
      </c>
      <c r="C40" s="30">
        <v>0</v>
      </c>
      <c r="D40" s="30">
        <v>2540042.0240365118</v>
      </c>
      <c r="E40" s="30">
        <v>0</v>
      </c>
      <c r="F40" s="30">
        <v>0</v>
      </c>
      <c r="G40" s="31">
        <f>SUM(ND_FINANCIAL)</f>
        <v>2540042.0240365118</v>
      </c>
      <c r="H40" s="30"/>
      <c r="I40" s="30"/>
      <c r="J40" s="30"/>
      <c r="K40" s="30"/>
      <c r="L40" s="29"/>
      <c r="M40" s="30"/>
      <c r="N40" s="30"/>
      <c r="O40" s="30"/>
      <c r="P40" s="30"/>
      <c r="Q40" s="30"/>
      <c r="R40" s="30"/>
      <c r="S40" s="30"/>
      <c r="T40" s="30"/>
      <c r="U40" s="30"/>
      <c r="V40" s="31"/>
    </row>
    <row r="41" spans="1:22">
      <c r="A41" s="1" t="s">
        <v>62</v>
      </c>
      <c r="B41" s="29">
        <v>0</v>
      </c>
      <c r="C41" s="30">
        <v>0</v>
      </c>
      <c r="D41" s="30">
        <v>60383910.469044432</v>
      </c>
      <c r="E41" s="30">
        <v>0</v>
      </c>
      <c r="F41" s="30">
        <v>0</v>
      </c>
      <c r="G41" s="31">
        <f>SUM(OH_FINANCIAL)</f>
        <v>60383910.469044432</v>
      </c>
      <c r="H41" s="30"/>
      <c r="I41" s="30"/>
      <c r="J41" s="30"/>
      <c r="K41" s="30"/>
      <c r="L41" s="29">
        <v>0</v>
      </c>
      <c r="M41" s="30">
        <v>0</v>
      </c>
      <c r="N41" s="30"/>
      <c r="O41" s="30">
        <v>0</v>
      </c>
      <c r="P41" s="30">
        <v>0</v>
      </c>
      <c r="Q41" s="30"/>
      <c r="R41" s="30">
        <v>44817912</v>
      </c>
      <c r="S41" s="30">
        <v>0</v>
      </c>
      <c r="T41" s="30"/>
      <c r="U41" s="30">
        <v>0</v>
      </c>
      <c r="V41" s="31">
        <v>0</v>
      </c>
    </row>
    <row r="42" spans="1:22">
      <c r="A42" s="1" t="s">
        <v>63</v>
      </c>
      <c r="B42" s="29">
        <v>0</v>
      </c>
      <c r="C42" s="30">
        <v>0</v>
      </c>
      <c r="D42" s="30">
        <v>13322846.995186916</v>
      </c>
      <c r="E42" s="30">
        <v>0</v>
      </c>
      <c r="F42" s="30">
        <v>0</v>
      </c>
      <c r="G42" s="31">
        <f>SUM(OK_FINANCIAL)</f>
        <v>13322846.995186916</v>
      </c>
      <c r="H42" s="30"/>
      <c r="I42" s="30"/>
      <c r="J42" s="30"/>
      <c r="K42" s="30"/>
      <c r="L42" s="29">
        <v>0</v>
      </c>
      <c r="M42" s="30">
        <v>0</v>
      </c>
      <c r="N42" s="30"/>
      <c r="O42" s="30">
        <v>0</v>
      </c>
      <c r="P42" s="30">
        <v>0</v>
      </c>
      <c r="Q42" s="30"/>
      <c r="R42" s="30">
        <v>13300000</v>
      </c>
      <c r="S42" s="30">
        <v>0</v>
      </c>
      <c r="T42" s="30"/>
      <c r="U42" s="30">
        <v>0</v>
      </c>
      <c r="V42" s="31">
        <v>0</v>
      </c>
    </row>
    <row r="43" spans="1:22">
      <c r="A43" s="1" t="s">
        <v>64</v>
      </c>
      <c r="B43" s="29">
        <v>0</v>
      </c>
      <c r="C43" s="30">
        <v>0</v>
      </c>
      <c r="D43" s="30">
        <v>11606328.576782459</v>
      </c>
      <c r="E43" s="30">
        <v>0</v>
      </c>
      <c r="F43" s="30">
        <v>0</v>
      </c>
      <c r="G43" s="31">
        <f>SUM(OR_FINANCIAL)</f>
        <v>11606328.576782459</v>
      </c>
      <c r="H43" s="30"/>
      <c r="I43" s="30"/>
      <c r="J43" s="30"/>
      <c r="K43" s="30"/>
      <c r="L43" s="29">
        <v>0</v>
      </c>
      <c r="M43" s="30">
        <v>0</v>
      </c>
      <c r="N43" s="30"/>
      <c r="O43" s="30">
        <v>0</v>
      </c>
      <c r="P43" s="30">
        <v>0</v>
      </c>
      <c r="Q43" s="30"/>
      <c r="R43" s="30">
        <v>8755000</v>
      </c>
      <c r="S43" s="30">
        <v>0</v>
      </c>
      <c r="T43" s="30"/>
      <c r="U43" s="30">
        <v>0</v>
      </c>
      <c r="V43" s="31">
        <v>0</v>
      </c>
    </row>
    <row r="44" spans="1:22">
      <c r="A44" s="1" t="s">
        <v>65</v>
      </c>
      <c r="B44" s="29">
        <v>0</v>
      </c>
      <c r="C44" s="30">
        <v>0</v>
      </c>
      <c r="D44" s="30">
        <v>267506043.00683293</v>
      </c>
      <c r="E44" s="30">
        <v>0</v>
      </c>
      <c r="F44" s="30">
        <v>0</v>
      </c>
      <c r="G44" s="31">
        <f>SUM(PA_FINANCIAL)</f>
        <v>267506043.00683293</v>
      </c>
      <c r="H44" s="30"/>
      <c r="I44" s="30"/>
      <c r="J44" s="30"/>
      <c r="K44" s="30"/>
      <c r="L44" s="29">
        <v>0</v>
      </c>
      <c r="M44" s="30">
        <v>0</v>
      </c>
      <c r="N44" s="30"/>
      <c r="O44" s="30">
        <v>0</v>
      </c>
      <c r="P44" s="30">
        <v>0</v>
      </c>
      <c r="Q44" s="30"/>
      <c r="R44" s="30">
        <v>290264386</v>
      </c>
      <c r="S44" s="30">
        <v>21428276</v>
      </c>
      <c r="T44" s="30"/>
      <c r="U44" s="30">
        <v>0</v>
      </c>
      <c r="V44" s="31">
        <v>0</v>
      </c>
    </row>
    <row r="45" spans="1:22">
      <c r="A45" s="1" t="s">
        <v>66</v>
      </c>
      <c r="B45" s="29">
        <v>0</v>
      </c>
      <c r="C45" s="30">
        <v>0</v>
      </c>
      <c r="D45" s="30">
        <v>0</v>
      </c>
      <c r="E45" s="30">
        <v>0</v>
      </c>
      <c r="F45" s="30">
        <v>0</v>
      </c>
      <c r="G45" s="31">
        <f>SUM(PR_FINANCIAL)</f>
        <v>0</v>
      </c>
      <c r="H45" s="30"/>
      <c r="I45" s="30"/>
      <c r="J45" s="30"/>
      <c r="K45" s="30"/>
      <c r="L45" s="29"/>
      <c r="M45" s="30"/>
      <c r="N45" s="30"/>
      <c r="O45" s="30"/>
      <c r="P45" s="30"/>
      <c r="Q45" s="30"/>
      <c r="R45" s="30"/>
      <c r="S45" s="30"/>
      <c r="T45" s="30"/>
      <c r="U45" s="30"/>
      <c r="V45" s="31"/>
    </row>
    <row r="46" spans="1:22">
      <c r="A46" s="1" t="s">
        <v>67</v>
      </c>
      <c r="B46" s="29">
        <v>0</v>
      </c>
      <c r="C46" s="30">
        <v>0</v>
      </c>
      <c r="D46" s="30">
        <v>1475360.5284895401</v>
      </c>
      <c r="E46" s="30">
        <v>0</v>
      </c>
      <c r="F46" s="30">
        <v>0</v>
      </c>
      <c r="G46" s="31">
        <f>SUM(RI_FINANCIAL)</f>
        <v>1475360.5284895401</v>
      </c>
      <c r="H46" s="30"/>
      <c r="I46" s="30"/>
      <c r="J46" s="30"/>
      <c r="K46" s="30"/>
      <c r="L46" s="29">
        <v>0</v>
      </c>
      <c r="M46" s="30">
        <v>0</v>
      </c>
      <c r="N46" s="30"/>
      <c r="O46" s="30">
        <v>0</v>
      </c>
      <c r="P46" s="30">
        <v>0</v>
      </c>
      <c r="Q46" s="30"/>
      <c r="R46" s="30">
        <v>1689989</v>
      </c>
      <c r="S46" s="30">
        <v>0</v>
      </c>
      <c r="T46" s="30"/>
      <c r="U46" s="30">
        <v>0</v>
      </c>
      <c r="V46" s="31">
        <v>0</v>
      </c>
    </row>
    <row r="47" spans="1:22">
      <c r="A47" s="1" t="s">
        <v>68</v>
      </c>
      <c r="B47" s="29">
        <v>0</v>
      </c>
      <c r="C47" s="30">
        <v>0</v>
      </c>
      <c r="D47" s="30">
        <v>17363273.867303845</v>
      </c>
      <c r="E47" s="30">
        <v>0</v>
      </c>
      <c r="F47" s="30">
        <v>0</v>
      </c>
      <c r="G47" s="31">
        <f>SUM(SC_FINANCIAL)</f>
        <v>17363273.867303845</v>
      </c>
      <c r="H47" s="30"/>
      <c r="I47" s="30"/>
      <c r="J47" s="30"/>
      <c r="K47" s="30"/>
      <c r="L47" s="29">
        <v>0</v>
      </c>
      <c r="M47" s="30">
        <v>0</v>
      </c>
      <c r="N47" s="30"/>
      <c r="O47" s="30">
        <v>0</v>
      </c>
      <c r="P47" s="30">
        <v>0</v>
      </c>
      <c r="Q47" s="30"/>
      <c r="R47" s="30">
        <v>27943502</v>
      </c>
      <c r="S47" s="30">
        <v>0</v>
      </c>
      <c r="T47" s="30"/>
      <c r="U47" s="30">
        <v>0</v>
      </c>
      <c r="V47" s="31">
        <v>0</v>
      </c>
    </row>
    <row r="48" spans="1:22">
      <c r="A48" s="1" t="s">
        <v>69</v>
      </c>
      <c r="B48" s="29">
        <v>0</v>
      </c>
      <c r="C48" s="30">
        <v>0</v>
      </c>
      <c r="D48" s="30">
        <v>42800264.096457593</v>
      </c>
      <c r="E48" s="30">
        <v>0</v>
      </c>
      <c r="F48" s="30">
        <v>0</v>
      </c>
      <c r="G48" s="31">
        <f>SUM(SD_FINANCIAL)</f>
        <v>42800264.096457593</v>
      </c>
      <c r="H48" s="30"/>
      <c r="I48" s="30"/>
      <c r="J48" s="30"/>
      <c r="K48" s="30"/>
      <c r="L48" s="29">
        <v>0</v>
      </c>
      <c r="M48" s="30">
        <v>0</v>
      </c>
      <c r="N48" s="30"/>
      <c r="O48" s="30">
        <v>0</v>
      </c>
      <c r="P48" s="30">
        <v>0</v>
      </c>
      <c r="Q48" s="30"/>
      <c r="R48" s="30">
        <v>25367536</v>
      </c>
      <c r="S48" s="30">
        <v>3537</v>
      </c>
      <c r="T48" s="30"/>
      <c r="U48" s="30">
        <v>0</v>
      </c>
      <c r="V48" s="31">
        <v>0</v>
      </c>
    </row>
    <row r="49" spans="1:22">
      <c r="A49" s="1" t="s">
        <v>70</v>
      </c>
      <c r="B49" s="29">
        <v>0</v>
      </c>
      <c r="C49" s="30">
        <v>0</v>
      </c>
      <c r="D49" s="30">
        <v>47521553.069260925</v>
      </c>
      <c r="E49" s="30">
        <v>0</v>
      </c>
      <c r="F49" s="30">
        <v>0</v>
      </c>
      <c r="G49" s="31">
        <f>SUM(TN_FINANCIAL)</f>
        <v>47521553.069260925</v>
      </c>
      <c r="H49" s="30"/>
      <c r="I49" s="30"/>
      <c r="J49" s="30"/>
      <c r="K49" s="30"/>
      <c r="L49" s="29">
        <v>0</v>
      </c>
      <c r="M49" s="30">
        <v>0</v>
      </c>
      <c r="N49" s="30"/>
      <c r="O49" s="30">
        <v>0</v>
      </c>
      <c r="P49" s="30">
        <v>0</v>
      </c>
      <c r="Q49" s="30"/>
      <c r="R49" s="30">
        <v>45098919</v>
      </c>
      <c r="S49" s="30">
        <v>312948</v>
      </c>
      <c r="T49" s="30"/>
      <c r="U49" s="30">
        <v>0</v>
      </c>
      <c r="V49" s="31">
        <v>0</v>
      </c>
    </row>
    <row r="50" spans="1:22">
      <c r="A50" s="1" t="s">
        <v>71</v>
      </c>
      <c r="B50" s="29">
        <v>0</v>
      </c>
      <c r="C50" s="30">
        <v>0</v>
      </c>
      <c r="D50" s="30">
        <v>128388277.21318837</v>
      </c>
      <c r="E50" s="30">
        <v>0</v>
      </c>
      <c r="F50" s="30">
        <v>0</v>
      </c>
      <c r="G50" s="31">
        <f>SUM(TX_FINANCIAL)</f>
        <v>128388277.21318837</v>
      </c>
      <c r="H50" s="30"/>
      <c r="I50" s="30"/>
      <c r="J50" s="30"/>
      <c r="K50" s="30"/>
      <c r="L50" s="29">
        <v>0</v>
      </c>
      <c r="M50" s="30">
        <v>0</v>
      </c>
      <c r="N50" s="30"/>
      <c r="O50" s="30">
        <v>0</v>
      </c>
      <c r="P50" s="30">
        <v>0</v>
      </c>
      <c r="Q50" s="30"/>
      <c r="R50" s="30">
        <v>130000000</v>
      </c>
      <c r="S50" s="30">
        <v>0</v>
      </c>
      <c r="T50" s="30"/>
      <c r="U50" s="30">
        <v>0</v>
      </c>
      <c r="V50" s="31">
        <v>0</v>
      </c>
    </row>
    <row r="51" spans="1:22">
      <c r="A51" s="1" t="s">
        <v>72</v>
      </c>
      <c r="B51" s="29">
        <v>0</v>
      </c>
      <c r="C51" s="30">
        <v>0</v>
      </c>
      <c r="D51" s="30">
        <v>12190594.454909574</v>
      </c>
      <c r="E51" s="30">
        <v>0</v>
      </c>
      <c r="F51" s="30">
        <v>0</v>
      </c>
      <c r="G51" s="31">
        <f>SUM(UT_FINANCIAL)</f>
        <v>12190594.454909574</v>
      </c>
      <c r="H51" s="30"/>
      <c r="I51" s="30"/>
      <c r="J51" s="30"/>
      <c r="K51" s="30"/>
      <c r="L51" s="29">
        <v>0</v>
      </c>
      <c r="M51" s="30">
        <v>0</v>
      </c>
      <c r="N51" s="30"/>
      <c r="O51" s="30">
        <v>0</v>
      </c>
      <c r="P51" s="30">
        <v>0</v>
      </c>
      <c r="Q51" s="30"/>
      <c r="R51" s="30">
        <v>9099016</v>
      </c>
      <c r="S51" s="30">
        <v>0</v>
      </c>
      <c r="T51" s="30"/>
      <c r="U51" s="30">
        <v>0</v>
      </c>
      <c r="V51" s="31">
        <v>0</v>
      </c>
    </row>
    <row r="52" spans="1:22">
      <c r="A52" s="1" t="s">
        <v>73</v>
      </c>
      <c r="B52" s="29">
        <v>0</v>
      </c>
      <c r="C52" s="30">
        <v>0</v>
      </c>
      <c r="D52" s="30">
        <v>11075803.067797134</v>
      </c>
      <c r="E52" s="30">
        <v>0</v>
      </c>
      <c r="F52" s="30">
        <v>0</v>
      </c>
      <c r="G52" s="31">
        <f>SUM(VT_FINANCIAL)</f>
        <v>11075803.067797134</v>
      </c>
      <c r="H52" s="30"/>
      <c r="I52" s="30"/>
      <c r="J52" s="30"/>
      <c r="K52" s="30"/>
      <c r="L52" s="29">
        <v>0</v>
      </c>
      <c r="M52" s="30">
        <v>0</v>
      </c>
      <c r="N52" s="30"/>
      <c r="O52" s="30">
        <v>0</v>
      </c>
      <c r="P52" s="30">
        <v>0</v>
      </c>
      <c r="Q52" s="30"/>
      <c r="R52" s="30">
        <v>10000000</v>
      </c>
      <c r="S52" s="30">
        <v>0</v>
      </c>
      <c r="T52" s="30"/>
      <c r="U52" s="30">
        <v>0</v>
      </c>
      <c r="V52" s="31">
        <v>0</v>
      </c>
    </row>
    <row r="53" spans="1:22">
      <c r="A53" s="1" t="s">
        <v>74</v>
      </c>
      <c r="B53" s="29">
        <v>0</v>
      </c>
      <c r="C53" s="30">
        <v>0</v>
      </c>
      <c r="D53" s="30">
        <v>149977197.23457748</v>
      </c>
      <c r="E53" s="30">
        <v>0</v>
      </c>
      <c r="F53" s="30">
        <v>0</v>
      </c>
      <c r="G53" s="31">
        <f>SUM(VA_FINANCIAL)</f>
        <v>149977197.23457748</v>
      </c>
      <c r="H53" s="30"/>
      <c r="I53" s="30"/>
      <c r="J53" s="30"/>
      <c r="K53" s="30"/>
      <c r="L53" s="29">
        <v>0</v>
      </c>
      <c r="M53" s="30">
        <v>0</v>
      </c>
      <c r="N53" s="30"/>
      <c r="O53" s="30">
        <v>0</v>
      </c>
      <c r="P53" s="30">
        <v>0</v>
      </c>
      <c r="Q53" s="30"/>
      <c r="R53" s="30">
        <v>188518000</v>
      </c>
      <c r="S53" s="30">
        <v>0</v>
      </c>
      <c r="T53" s="30"/>
      <c r="U53" s="30">
        <v>0</v>
      </c>
      <c r="V53" s="31">
        <v>0</v>
      </c>
    </row>
    <row r="54" spans="1:22">
      <c r="A54" s="1" t="s">
        <v>75</v>
      </c>
      <c r="B54" s="29">
        <v>0</v>
      </c>
      <c r="C54" s="30">
        <v>0</v>
      </c>
      <c r="D54" s="30">
        <v>132406343.80243975</v>
      </c>
      <c r="E54" s="30">
        <v>0</v>
      </c>
      <c r="F54" s="30">
        <v>0</v>
      </c>
      <c r="G54" s="31">
        <f>SUM(WA_FINANCIAL)</f>
        <v>132406343.80243975</v>
      </c>
      <c r="H54" s="30"/>
      <c r="I54" s="30"/>
      <c r="J54" s="30"/>
      <c r="K54" s="30"/>
      <c r="L54" s="29">
        <v>0</v>
      </c>
      <c r="M54" s="30">
        <v>0</v>
      </c>
      <c r="N54" s="30"/>
      <c r="O54" s="30">
        <v>0</v>
      </c>
      <c r="P54" s="30">
        <v>0</v>
      </c>
      <c r="Q54" s="30"/>
      <c r="R54" s="30">
        <v>40000000</v>
      </c>
      <c r="S54" s="30">
        <v>0</v>
      </c>
      <c r="T54" s="30"/>
      <c r="U54" s="30">
        <v>0</v>
      </c>
      <c r="V54" s="31">
        <v>0</v>
      </c>
    </row>
    <row r="55" spans="1:22">
      <c r="A55" s="1" t="s">
        <v>76</v>
      </c>
      <c r="B55" s="29">
        <v>0</v>
      </c>
      <c r="C55" s="30">
        <v>0</v>
      </c>
      <c r="D55" s="30">
        <v>0</v>
      </c>
      <c r="E55" s="30">
        <v>0</v>
      </c>
      <c r="F55" s="30">
        <v>0</v>
      </c>
      <c r="G55" s="31">
        <f>SUM(WV_FINANCIAL)</f>
        <v>0</v>
      </c>
      <c r="H55" s="30"/>
      <c r="I55" s="30"/>
      <c r="J55" s="30"/>
      <c r="K55" s="30"/>
      <c r="L55" s="29"/>
      <c r="M55" s="30"/>
      <c r="N55" s="30"/>
      <c r="O55" s="30"/>
      <c r="P55" s="30"/>
      <c r="Q55" s="30"/>
      <c r="R55" s="30"/>
      <c r="S55" s="30"/>
      <c r="T55" s="30"/>
      <c r="U55" s="30"/>
      <c r="V55" s="31"/>
    </row>
    <row r="56" spans="1:22">
      <c r="A56" s="1" t="s">
        <v>77</v>
      </c>
      <c r="B56" s="29">
        <v>0</v>
      </c>
      <c r="C56" s="30">
        <v>0</v>
      </c>
      <c r="D56" s="30">
        <v>16833424.860555455</v>
      </c>
      <c r="E56" s="30">
        <v>0</v>
      </c>
      <c r="F56" s="30">
        <v>0</v>
      </c>
      <c r="G56" s="31">
        <f>SUM(WI_FINANCIAL)</f>
        <v>16833424.860555455</v>
      </c>
      <c r="H56" s="30"/>
      <c r="I56" s="30"/>
      <c r="J56" s="30"/>
      <c r="K56" s="30"/>
      <c r="L56" s="29">
        <v>0</v>
      </c>
      <c r="M56" s="30">
        <v>0</v>
      </c>
      <c r="N56" s="30"/>
      <c r="O56" s="30">
        <v>0</v>
      </c>
      <c r="P56" s="30">
        <v>0</v>
      </c>
      <c r="Q56" s="30"/>
      <c r="R56" s="30">
        <v>7000000</v>
      </c>
      <c r="S56" s="30">
        <v>0</v>
      </c>
      <c r="T56" s="30"/>
      <c r="U56" s="30">
        <v>0</v>
      </c>
      <c r="V56" s="31">
        <v>0</v>
      </c>
    </row>
    <row r="57" spans="1:22">
      <c r="A57" s="1" t="s">
        <v>78</v>
      </c>
      <c r="B57" s="29">
        <v>0</v>
      </c>
      <c r="C57" s="30">
        <v>0</v>
      </c>
      <c r="D57" s="30">
        <v>2696819.6322633969</v>
      </c>
      <c r="E57" s="30">
        <v>0</v>
      </c>
      <c r="F57" s="30">
        <v>0</v>
      </c>
      <c r="G57" s="31">
        <f>SUM(WY_FINANCIAL)</f>
        <v>2696819.6322633969</v>
      </c>
      <c r="H57" s="30"/>
      <c r="I57" s="30"/>
      <c r="J57" s="30"/>
      <c r="K57" s="30"/>
      <c r="L57" s="29"/>
      <c r="M57" s="30"/>
      <c r="N57" s="30"/>
      <c r="O57" s="30"/>
      <c r="P57" s="30"/>
      <c r="Q57" s="30"/>
      <c r="R57" s="30"/>
      <c r="S57" s="30"/>
      <c r="T57" s="30"/>
      <c r="U57" s="30"/>
      <c r="V57" s="31"/>
    </row>
    <row r="58" spans="1:22">
      <c r="A58" s="1" t="s">
        <v>79</v>
      </c>
      <c r="B58" s="29">
        <v>0</v>
      </c>
      <c r="C58" s="30">
        <v>0</v>
      </c>
      <c r="D58" s="30">
        <v>0</v>
      </c>
      <c r="E58" s="30">
        <v>0</v>
      </c>
      <c r="F58" s="30">
        <v>0</v>
      </c>
      <c r="G58" s="31">
        <f>SUM(OT_FINANCIAL)</f>
        <v>0</v>
      </c>
      <c r="H58" s="30"/>
      <c r="I58" s="30"/>
      <c r="J58" s="30"/>
      <c r="K58" s="30"/>
      <c r="L58" s="29"/>
      <c r="M58" s="30"/>
      <c r="N58" s="30"/>
      <c r="O58" s="30"/>
      <c r="P58" s="30"/>
      <c r="Q58" s="30"/>
      <c r="R58" s="30"/>
      <c r="S58" s="30"/>
      <c r="T58" s="30"/>
      <c r="U58" s="30"/>
      <c r="V58" s="31"/>
    </row>
    <row r="59" spans="1:22">
      <c r="B59" s="29"/>
      <c r="C59" s="30"/>
      <c r="D59" s="30"/>
      <c r="E59" s="30"/>
      <c r="F59" s="30"/>
      <c r="G59" s="31"/>
      <c r="H59" s="30"/>
      <c r="I59" s="30"/>
      <c r="J59" s="30"/>
      <c r="K59" s="30"/>
      <c r="L59" s="29"/>
      <c r="M59" s="30"/>
      <c r="N59" s="30"/>
      <c r="O59" s="30"/>
      <c r="P59" s="30"/>
      <c r="Q59" s="30"/>
      <c r="R59" s="30"/>
      <c r="S59" s="30"/>
      <c r="T59" s="30"/>
      <c r="U59" s="30"/>
      <c r="V59" s="31"/>
    </row>
    <row r="60" spans="1:22">
      <c r="A60" s="1" t="s">
        <v>8</v>
      </c>
      <c r="B60" s="29">
        <f>SUM(LIFE)</f>
        <v>0</v>
      </c>
      <c r="C60" s="30">
        <f>SUM(ALLOCATED)</f>
        <v>0</v>
      </c>
      <c r="D60" s="30">
        <f>SUM(HEALTH)</f>
        <v>2451190119.3384461</v>
      </c>
      <c r="E60" s="30">
        <f>SUM(UNALLOCATED)</f>
        <v>0</v>
      </c>
      <c r="F60" s="30">
        <f>SUM(LTC)</f>
        <v>0</v>
      </c>
      <c r="G60" s="31">
        <f>SUM(ALL_BLOCKS)</f>
        <v>2451190119.3384461</v>
      </c>
      <c r="H60" s="30"/>
      <c r="I60" s="30"/>
      <c r="J60" s="30"/>
      <c r="K60" s="30"/>
      <c r="L60" s="29">
        <f>SUM(LIFE_CALLED)</f>
        <v>0</v>
      </c>
      <c r="M60" s="30">
        <f>SUM(LIFE_REFUNDED)</f>
        <v>0</v>
      </c>
      <c r="N60" s="30"/>
      <c r="O60" s="30">
        <f>SUM(ALLOC_CALLED)</f>
        <v>0</v>
      </c>
      <c r="P60" s="30">
        <f>SUM(ALLOC_REFUNDED)</f>
        <v>0</v>
      </c>
      <c r="Q60" s="30"/>
      <c r="R60" s="30">
        <f>SUM(HEALTH_CALLED)</f>
        <v>2006125296</v>
      </c>
      <c r="S60" s="30">
        <f>SUM(HEALTH_REFUNDED)</f>
        <v>21747942</v>
      </c>
      <c r="T60" s="30"/>
      <c r="U60" s="30">
        <f>SUM(UNALLOC_CALLED)</f>
        <v>0</v>
      </c>
      <c r="V60" s="31">
        <f>SUM(UNALLOC_REFUNDED)</f>
        <v>0</v>
      </c>
    </row>
    <row r="61" spans="1:22" ht="5.0999999999999996" customHeight="1">
      <c r="B61" s="8"/>
      <c r="G61" s="11"/>
      <c r="L61" s="8"/>
      <c r="V61" s="11"/>
    </row>
    <row r="62" spans="1:22">
      <c r="B62" s="8"/>
      <c r="G62" s="11"/>
      <c r="L62" s="122" t="s">
        <v>80</v>
      </c>
      <c r="M62" s="123"/>
      <c r="N62" s="123"/>
      <c r="O62" s="123"/>
      <c r="P62" s="123"/>
      <c r="Q62" s="123"/>
      <c r="R62" s="123"/>
      <c r="S62" s="123"/>
      <c r="T62" s="123"/>
      <c r="U62" s="123"/>
      <c r="V62" s="124"/>
    </row>
    <row r="63" spans="1:22">
      <c r="B63" s="8"/>
      <c r="G63" s="11"/>
      <c r="L63" s="125"/>
      <c r="M63" s="123"/>
      <c r="N63" s="123"/>
      <c r="O63" s="123"/>
      <c r="P63" s="123"/>
      <c r="Q63" s="123"/>
      <c r="R63" s="123"/>
      <c r="S63" s="123"/>
      <c r="T63" s="123"/>
      <c r="U63" s="123"/>
      <c r="V63" s="124"/>
    </row>
    <row r="64" spans="1:22">
      <c r="B64" s="10"/>
      <c r="C64" s="7"/>
      <c r="D64" s="7"/>
      <c r="E64" s="7"/>
      <c r="F64" s="7"/>
      <c r="G64" s="13"/>
      <c r="L64" s="126"/>
      <c r="M64" s="127"/>
      <c r="N64" s="127"/>
      <c r="O64" s="127"/>
      <c r="P64" s="127"/>
      <c r="Q64" s="127"/>
      <c r="R64" s="127"/>
      <c r="S64" s="127"/>
      <c r="T64" s="127"/>
      <c r="U64" s="127"/>
      <c r="V64" s="128"/>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pageSetUpPr fitToPage="1"/>
  </sheetPr>
  <dimension ref="A1:V64"/>
  <sheetViews>
    <sheetView zoomScale="75" workbookViewId="0">
      <selection sqref="A1:XFD1048576"/>
    </sheetView>
  </sheetViews>
  <sheetFormatPr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129" t="s">
        <v>154</v>
      </c>
      <c r="B1" s="123"/>
      <c r="C1" s="123"/>
      <c r="D1" s="123"/>
      <c r="E1" s="123"/>
      <c r="F1" s="123"/>
      <c r="G1" s="123"/>
    </row>
    <row r="3" spans="1:22">
      <c r="B3" s="130" t="s">
        <v>1</v>
      </c>
      <c r="C3" s="131"/>
      <c r="D3" s="131"/>
      <c r="E3" s="131"/>
      <c r="F3" s="131"/>
      <c r="G3" s="132"/>
      <c r="L3" s="133" t="s">
        <v>2</v>
      </c>
      <c r="M3" s="134"/>
      <c r="N3" s="134"/>
      <c r="O3" s="134"/>
      <c r="P3" s="134"/>
      <c r="Q3" s="134"/>
      <c r="R3" s="134"/>
      <c r="S3" s="134"/>
      <c r="T3" s="134"/>
      <c r="U3" s="134"/>
      <c r="V3" s="135"/>
    </row>
    <row r="4" spans="1:22">
      <c r="B4" s="8"/>
      <c r="G4" s="11"/>
      <c r="L4" s="136" t="s">
        <v>3</v>
      </c>
      <c r="M4" s="137"/>
      <c r="N4" s="4"/>
      <c r="O4" s="138" t="s">
        <v>4</v>
      </c>
      <c r="P4" s="137"/>
      <c r="Q4" s="4"/>
      <c r="R4" s="138" t="s">
        <v>5</v>
      </c>
      <c r="S4" s="137"/>
      <c r="T4" s="4"/>
      <c r="U4" s="138" t="s">
        <v>6</v>
      </c>
      <c r="V4" s="139"/>
    </row>
    <row r="5" spans="1:22" ht="60" customHeight="1">
      <c r="B5" s="9" t="s">
        <v>3</v>
      </c>
      <c r="C5" s="5" t="s">
        <v>4</v>
      </c>
      <c r="D5" s="5" t="s">
        <v>5</v>
      </c>
      <c r="E5" s="5" t="s">
        <v>6</v>
      </c>
      <c r="F5" s="5" t="s">
        <v>7</v>
      </c>
      <c r="G5" s="12" t="s">
        <v>8</v>
      </c>
      <c r="L5" s="15" t="s">
        <v>9</v>
      </c>
      <c r="M5" s="14" t="s">
        <v>10</v>
      </c>
      <c r="N5" s="14"/>
      <c r="O5" s="14" t="s">
        <v>9</v>
      </c>
      <c r="P5" s="14" t="s">
        <v>10</v>
      </c>
      <c r="Q5" s="14"/>
      <c r="R5" s="14" t="s">
        <v>9</v>
      </c>
      <c r="S5" s="14" t="s">
        <v>10</v>
      </c>
      <c r="T5" s="14"/>
      <c r="U5" s="14" t="s">
        <v>9</v>
      </c>
      <c r="V5" s="16" t="s">
        <v>10</v>
      </c>
    </row>
    <row r="6" spans="1:22">
      <c r="A6" s="1" t="s">
        <v>11</v>
      </c>
      <c r="B6" s="29">
        <v>0</v>
      </c>
      <c r="C6" s="30">
        <v>0</v>
      </c>
      <c r="D6" s="30">
        <v>132453.12999999989</v>
      </c>
      <c r="E6" s="30">
        <v>0</v>
      </c>
      <c r="F6" s="30">
        <v>0</v>
      </c>
      <c r="G6" s="31">
        <f>SUM(AL_FINANCIAL)</f>
        <v>132453.12999999989</v>
      </c>
      <c r="H6" s="30"/>
      <c r="I6" s="30"/>
      <c r="J6" s="30"/>
      <c r="K6" s="30"/>
      <c r="L6" s="29"/>
      <c r="M6" s="30"/>
      <c r="N6" s="30"/>
      <c r="O6" s="30"/>
      <c r="P6" s="30"/>
      <c r="Q6" s="30"/>
      <c r="R6" s="30"/>
      <c r="S6" s="30"/>
      <c r="T6" s="30"/>
      <c r="U6" s="30"/>
      <c r="V6" s="31"/>
    </row>
    <row r="7" spans="1:22">
      <c r="A7" s="1" t="s">
        <v>12</v>
      </c>
      <c r="B7" s="29">
        <v>0</v>
      </c>
      <c r="C7" s="30">
        <v>0</v>
      </c>
      <c r="D7" s="30">
        <v>0.51000000000021828</v>
      </c>
      <c r="E7" s="30">
        <v>0</v>
      </c>
      <c r="F7" s="30">
        <v>0</v>
      </c>
      <c r="G7" s="31">
        <f>SUM(AK_FINANCIAL)</f>
        <v>0.51000000000021828</v>
      </c>
      <c r="H7" s="30"/>
      <c r="I7" s="32"/>
      <c r="J7" s="33"/>
      <c r="K7" s="30"/>
      <c r="L7" s="29">
        <v>0</v>
      </c>
      <c r="M7" s="30">
        <v>0</v>
      </c>
      <c r="N7" s="30"/>
      <c r="O7" s="30">
        <v>0</v>
      </c>
      <c r="P7" s="30">
        <v>0</v>
      </c>
      <c r="Q7" s="30"/>
      <c r="R7" s="30">
        <v>20000</v>
      </c>
      <c r="S7" s="30">
        <v>0</v>
      </c>
      <c r="T7" s="30"/>
      <c r="U7" s="30">
        <v>0</v>
      </c>
      <c r="V7" s="31">
        <v>0</v>
      </c>
    </row>
    <row r="8" spans="1:22">
      <c r="A8" s="1" t="s">
        <v>13</v>
      </c>
      <c r="B8" s="29">
        <v>0</v>
      </c>
      <c r="C8" s="30">
        <v>0</v>
      </c>
      <c r="D8" s="30">
        <v>185021.15999999997</v>
      </c>
      <c r="E8" s="30">
        <v>0</v>
      </c>
      <c r="F8" s="30">
        <v>0</v>
      </c>
      <c r="G8" s="31">
        <f>SUM(AZ_FINANCIAL)</f>
        <v>185021.15999999997</v>
      </c>
      <c r="H8" s="30"/>
      <c r="I8" s="34" t="s">
        <v>14</v>
      </c>
      <c r="J8" s="35"/>
      <c r="K8" s="30"/>
      <c r="L8" s="29"/>
      <c r="M8" s="30"/>
      <c r="N8" s="30"/>
      <c r="O8" s="30"/>
      <c r="P8" s="30"/>
      <c r="Q8" s="30"/>
      <c r="R8" s="30"/>
      <c r="S8" s="30"/>
      <c r="T8" s="30"/>
      <c r="U8" s="30"/>
      <c r="V8" s="31"/>
    </row>
    <row r="9" spans="1:22">
      <c r="A9" s="1" t="s">
        <v>15</v>
      </c>
      <c r="B9" s="29">
        <v>0</v>
      </c>
      <c r="C9" s="30">
        <v>0</v>
      </c>
      <c r="D9" s="30">
        <v>17047.679999999993</v>
      </c>
      <c r="E9" s="30">
        <v>0</v>
      </c>
      <c r="F9" s="30">
        <v>0</v>
      </c>
      <c r="G9" s="31">
        <f>SUM(AR_FINANCIAL)</f>
        <v>17047.679999999993</v>
      </c>
      <c r="H9" s="30"/>
      <c r="I9" s="34"/>
      <c r="J9" s="35"/>
      <c r="K9" s="30"/>
      <c r="L9" s="29">
        <v>0</v>
      </c>
      <c r="M9" s="30">
        <v>0</v>
      </c>
      <c r="N9" s="30"/>
      <c r="O9" s="30">
        <v>0</v>
      </c>
      <c r="P9" s="30">
        <v>0</v>
      </c>
      <c r="Q9" s="30"/>
      <c r="R9" s="30">
        <v>40793</v>
      </c>
      <c r="S9" s="30">
        <v>0</v>
      </c>
      <c r="T9" s="30"/>
      <c r="U9" s="30">
        <v>0</v>
      </c>
      <c r="V9" s="31">
        <v>0</v>
      </c>
    </row>
    <row r="10" spans="1:22">
      <c r="A10" s="1" t="s">
        <v>16</v>
      </c>
      <c r="B10" s="29">
        <v>0</v>
      </c>
      <c r="C10" s="30">
        <v>0</v>
      </c>
      <c r="D10" s="30">
        <v>0.21999999973922968</v>
      </c>
      <c r="E10" s="30">
        <v>0</v>
      </c>
      <c r="F10" s="30">
        <v>0</v>
      </c>
      <c r="G10" s="31">
        <f>SUM(CA_FINANCIAL)</f>
        <v>0.21999999973922968</v>
      </c>
      <c r="H10" s="30"/>
      <c r="I10" s="34" t="s">
        <v>17</v>
      </c>
      <c r="J10" s="35">
        <v>32793096</v>
      </c>
      <c r="K10" s="30"/>
      <c r="L10" s="29">
        <v>0</v>
      </c>
      <c r="M10" s="30">
        <v>0</v>
      </c>
      <c r="N10" s="30"/>
      <c r="O10" s="30">
        <v>0</v>
      </c>
      <c r="P10" s="30">
        <v>0</v>
      </c>
      <c r="Q10" s="30"/>
      <c r="R10" s="30">
        <v>750000</v>
      </c>
      <c r="S10" s="30">
        <v>0</v>
      </c>
      <c r="T10" s="30"/>
      <c r="U10" s="30">
        <v>0</v>
      </c>
      <c r="V10" s="31">
        <v>0</v>
      </c>
    </row>
    <row r="11" spans="1:22">
      <c r="A11" s="1" t="s">
        <v>18</v>
      </c>
      <c r="B11" s="29">
        <v>0</v>
      </c>
      <c r="C11" s="30">
        <v>0</v>
      </c>
      <c r="D11" s="30">
        <v>-0.25000000011641532</v>
      </c>
      <c r="E11" s="30">
        <v>0</v>
      </c>
      <c r="F11" s="30">
        <v>0</v>
      </c>
      <c r="G11" s="31">
        <f>SUM(CO_FINANCIAL)</f>
        <v>-0.25000000011641532</v>
      </c>
      <c r="H11" s="30"/>
      <c r="I11" s="34"/>
      <c r="J11" s="35"/>
      <c r="K11" s="30"/>
      <c r="L11" s="29">
        <v>151260</v>
      </c>
      <c r="M11" s="30">
        <v>0</v>
      </c>
      <c r="N11" s="30"/>
      <c r="O11" s="30">
        <v>0</v>
      </c>
      <c r="P11" s="30">
        <v>0</v>
      </c>
      <c r="Q11" s="30"/>
      <c r="R11" s="30">
        <v>0</v>
      </c>
      <c r="S11" s="30">
        <v>0</v>
      </c>
      <c r="T11" s="30"/>
      <c r="U11" s="30">
        <v>0</v>
      </c>
      <c r="V11" s="31">
        <v>0</v>
      </c>
    </row>
    <row r="12" spans="1:22">
      <c r="A12" s="1" t="s">
        <v>19</v>
      </c>
      <c r="B12" s="29">
        <v>0</v>
      </c>
      <c r="C12" s="30">
        <v>0</v>
      </c>
      <c r="D12" s="30">
        <v>0.37000000002444722</v>
      </c>
      <c r="E12" s="30">
        <v>0</v>
      </c>
      <c r="F12" s="30">
        <v>0</v>
      </c>
      <c r="G12" s="31">
        <f>SUM(CT_FINANCIAL)</f>
        <v>0.37000000002444722</v>
      </c>
      <c r="H12" s="30"/>
      <c r="I12" s="34" t="s">
        <v>20</v>
      </c>
      <c r="J12" s="35"/>
      <c r="K12" s="30"/>
      <c r="L12" s="29"/>
      <c r="M12" s="30"/>
      <c r="N12" s="30"/>
      <c r="O12" s="30"/>
      <c r="P12" s="30"/>
      <c r="Q12" s="30"/>
      <c r="R12" s="30"/>
      <c r="S12" s="30"/>
      <c r="T12" s="30"/>
      <c r="U12" s="30"/>
      <c r="V12" s="31"/>
    </row>
    <row r="13" spans="1:22">
      <c r="A13" s="1" t="s">
        <v>21</v>
      </c>
      <c r="B13" s="29">
        <v>0</v>
      </c>
      <c r="C13" s="30">
        <v>0</v>
      </c>
      <c r="D13" s="30">
        <v>4194.4700000000048</v>
      </c>
      <c r="E13" s="30">
        <v>0</v>
      </c>
      <c r="F13" s="30">
        <v>0</v>
      </c>
      <c r="G13" s="31">
        <f>SUM(DE_FINANCIAL)</f>
        <v>4194.4700000000048</v>
      </c>
      <c r="H13" s="30"/>
      <c r="I13" s="34" t="s">
        <v>22</v>
      </c>
      <c r="J13" s="35">
        <v>31106273</v>
      </c>
      <c r="K13" s="30"/>
      <c r="L13" s="29"/>
      <c r="M13" s="30"/>
      <c r="N13" s="30"/>
      <c r="O13" s="30"/>
      <c r="P13" s="30"/>
      <c r="Q13" s="30"/>
      <c r="R13" s="30"/>
      <c r="S13" s="30"/>
      <c r="T13" s="30"/>
      <c r="U13" s="30"/>
      <c r="V13" s="31"/>
    </row>
    <row r="14" spans="1:22">
      <c r="A14" s="1" t="s">
        <v>23</v>
      </c>
      <c r="B14" s="29">
        <v>0</v>
      </c>
      <c r="C14" s="30">
        <v>0</v>
      </c>
      <c r="D14" s="30">
        <v>-6.9999999999708962E-2</v>
      </c>
      <c r="E14" s="30">
        <v>0</v>
      </c>
      <c r="F14" s="30">
        <v>0</v>
      </c>
      <c r="G14" s="31">
        <f>SUM(DC_FINANCIAL)</f>
        <v>-6.9999999999708962E-2</v>
      </c>
      <c r="H14" s="30"/>
      <c r="I14" s="34" t="s">
        <v>24</v>
      </c>
      <c r="J14" s="35">
        <v>4162294.7116146111</v>
      </c>
      <c r="K14" s="30"/>
      <c r="L14" s="29"/>
      <c r="M14" s="30"/>
      <c r="N14" s="30"/>
      <c r="O14" s="30"/>
      <c r="P14" s="30"/>
      <c r="Q14" s="30"/>
      <c r="R14" s="30"/>
      <c r="S14" s="30"/>
      <c r="T14" s="30"/>
      <c r="U14" s="30"/>
      <c r="V14" s="31"/>
    </row>
    <row r="15" spans="1:22">
      <c r="A15" s="1" t="s">
        <v>25</v>
      </c>
      <c r="B15" s="29">
        <v>0</v>
      </c>
      <c r="C15" s="30">
        <v>0</v>
      </c>
      <c r="D15" s="30">
        <v>-8452.5500000007451</v>
      </c>
      <c r="E15" s="30">
        <v>0</v>
      </c>
      <c r="F15" s="30">
        <v>0</v>
      </c>
      <c r="G15" s="31">
        <f>SUM(FL_FINANCIAL)</f>
        <v>-8452.5500000007451</v>
      </c>
      <c r="H15" s="30"/>
      <c r="I15" s="34" t="s">
        <v>26</v>
      </c>
      <c r="J15" s="35">
        <v>3084925.0383853889</v>
      </c>
      <c r="K15" s="30"/>
      <c r="L15" s="29">
        <v>0</v>
      </c>
      <c r="M15" s="30">
        <v>0</v>
      </c>
      <c r="N15" s="30"/>
      <c r="O15" s="30">
        <v>0</v>
      </c>
      <c r="P15" s="30">
        <v>0</v>
      </c>
      <c r="Q15" s="30"/>
      <c r="R15" s="30">
        <v>10000</v>
      </c>
      <c r="S15" s="30">
        <v>0</v>
      </c>
      <c r="T15" s="30"/>
      <c r="U15" s="30">
        <v>0</v>
      </c>
      <c r="V15" s="31">
        <v>0</v>
      </c>
    </row>
    <row r="16" spans="1:22">
      <c r="A16" s="1" t="s">
        <v>27</v>
      </c>
      <c r="B16" s="29">
        <v>0</v>
      </c>
      <c r="C16" s="30">
        <v>0</v>
      </c>
      <c r="D16" s="30">
        <v>-2773.339999999851</v>
      </c>
      <c r="E16" s="30">
        <v>0</v>
      </c>
      <c r="F16" s="30">
        <v>0</v>
      </c>
      <c r="G16" s="31">
        <f>SUM(GA_FINANCIAL)</f>
        <v>-2773.339999999851</v>
      </c>
      <c r="H16" s="30"/>
      <c r="I16" s="34" t="s">
        <v>28</v>
      </c>
      <c r="J16" s="35">
        <v>0</v>
      </c>
      <c r="K16" s="30"/>
      <c r="L16" s="29"/>
      <c r="M16" s="30"/>
      <c r="N16" s="30"/>
      <c r="O16" s="30"/>
      <c r="P16" s="30"/>
      <c r="Q16" s="30"/>
      <c r="R16" s="30"/>
      <c r="S16" s="30"/>
      <c r="T16" s="30"/>
      <c r="U16" s="30"/>
      <c r="V16" s="31"/>
    </row>
    <row r="17" spans="1:22">
      <c r="A17" s="1" t="s">
        <v>29</v>
      </c>
      <c r="B17" s="29">
        <v>0</v>
      </c>
      <c r="C17" s="30">
        <v>0</v>
      </c>
      <c r="D17" s="30">
        <v>57.539999999993597</v>
      </c>
      <c r="E17" s="30">
        <v>0</v>
      </c>
      <c r="F17" s="30">
        <v>0</v>
      </c>
      <c r="G17" s="31">
        <f>SUM(HI_FINANCIAL)</f>
        <v>57.539999999993597</v>
      </c>
      <c r="H17" s="30"/>
      <c r="I17" s="34"/>
      <c r="J17" s="35"/>
      <c r="K17" s="30"/>
      <c r="L17" s="29"/>
      <c r="M17" s="30"/>
      <c r="N17" s="30"/>
      <c r="O17" s="30"/>
      <c r="P17" s="30"/>
      <c r="Q17" s="30"/>
      <c r="R17" s="30"/>
      <c r="S17" s="30"/>
      <c r="T17" s="30"/>
      <c r="U17" s="30"/>
      <c r="V17" s="31"/>
    </row>
    <row r="18" spans="1:22">
      <c r="A18" s="1" t="s">
        <v>30</v>
      </c>
      <c r="B18" s="29">
        <v>0</v>
      </c>
      <c r="C18" s="30">
        <v>0</v>
      </c>
      <c r="D18" s="30">
        <v>15632.169999999998</v>
      </c>
      <c r="E18" s="30">
        <v>0</v>
      </c>
      <c r="F18" s="30">
        <v>0</v>
      </c>
      <c r="G18" s="31">
        <f>SUM(ID_FINANCIAL)</f>
        <v>15632.169999999998</v>
      </c>
      <c r="H18" s="30"/>
      <c r="I18" s="34" t="s">
        <v>31</v>
      </c>
      <c r="J18" s="35"/>
      <c r="K18" s="30"/>
      <c r="L18" s="29">
        <v>0</v>
      </c>
      <c r="M18" s="30">
        <v>0</v>
      </c>
      <c r="N18" s="30"/>
      <c r="O18" s="30">
        <v>0</v>
      </c>
      <c r="P18" s="30">
        <v>0</v>
      </c>
      <c r="Q18" s="30"/>
      <c r="R18" s="30">
        <v>50000</v>
      </c>
      <c r="S18" s="30">
        <v>0</v>
      </c>
      <c r="T18" s="30"/>
      <c r="U18" s="30">
        <v>0</v>
      </c>
      <c r="V18" s="31">
        <v>0</v>
      </c>
    </row>
    <row r="19" spans="1:22">
      <c r="A19" s="1" t="s">
        <v>32</v>
      </c>
      <c r="B19" s="29">
        <v>0</v>
      </c>
      <c r="C19" s="30">
        <v>0</v>
      </c>
      <c r="D19" s="30">
        <v>22379.099999999977</v>
      </c>
      <c r="E19" s="30">
        <v>0</v>
      </c>
      <c r="F19" s="30">
        <v>0</v>
      </c>
      <c r="G19" s="31">
        <f>SUM(IL_FINANCIAL)</f>
        <v>22379.099999999977</v>
      </c>
      <c r="H19" s="30"/>
      <c r="I19" s="34" t="s">
        <v>33</v>
      </c>
      <c r="J19" s="35">
        <v>0</v>
      </c>
      <c r="K19" s="30"/>
      <c r="L19" s="29">
        <v>0</v>
      </c>
      <c r="M19" s="30">
        <v>0</v>
      </c>
      <c r="N19" s="30"/>
      <c r="O19" s="30">
        <v>0</v>
      </c>
      <c r="P19" s="30">
        <v>0</v>
      </c>
      <c r="Q19" s="30"/>
      <c r="R19" s="30">
        <v>370000</v>
      </c>
      <c r="S19" s="30">
        <v>0</v>
      </c>
      <c r="T19" s="30"/>
      <c r="U19" s="30">
        <v>0</v>
      </c>
      <c r="V19" s="31">
        <v>0</v>
      </c>
    </row>
    <row r="20" spans="1:22">
      <c r="A20" s="1" t="s">
        <v>34</v>
      </c>
      <c r="B20" s="29">
        <v>0</v>
      </c>
      <c r="C20" s="30">
        <v>0</v>
      </c>
      <c r="D20" s="30">
        <v>-14961.593999999925</v>
      </c>
      <c r="E20" s="30">
        <v>0</v>
      </c>
      <c r="F20" s="30">
        <v>0</v>
      </c>
      <c r="G20" s="31">
        <f>SUM(IN_FINANCIAL)</f>
        <v>-14961.593999999925</v>
      </c>
      <c r="H20" s="30"/>
      <c r="I20" s="34" t="s">
        <v>35</v>
      </c>
      <c r="J20" s="35">
        <v>31106273</v>
      </c>
      <c r="K20" s="30"/>
      <c r="L20" s="29"/>
      <c r="M20" s="30"/>
      <c r="N20" s="30"/>
      <c r="O20" s="30"/>
      <c r="P20" s="30"/>
      <c r="Q20" s="30"/>
      <c r="R20" s="30"/>
      <c r="S20" s="30"/>
      <c r="T20" s="30"/>
      <c r="U20" s="30"/>
      <c r="V20" s="31"/>
    </row>
    <row r="21" spans="1:22">
      <c r="A21" s="1" t="s">
        <v>36</v>
      </c>
      <c r="B21" s="29">
        <v>0</v>
      </c>
      <c r="C21" s="30">
        <v>0</v>
      </c>
      <c r="D21" s="30">
        <v>0.27000000000043656</v>
      </c>
      <c r="E21" s="30">
        <v>0</v>
      </c>
      <c r="F21" s="30">
        <v>0</v>
      </c>
      <c r="G21" s="31">
        <f>SUM(IA_FINANCIAL)</f>
        <v>0.27000000000043656</v>
      </c>
      <c r="H21" s="30"/>
      <c r="I21" s="34" t="s">
        <v>37</v>
      </c>
      <c r="J21" s="35"/>
      <c r="K21" s="30"/>
      <c r="L21" s="29"/>
      <c r="M21" s="30"/>
      <c r="N21" s="30"/>
      <c r="O21" s="30"/>
      <c r="P21" s="30"/>
      <c r="Q21" s="30"/>
      <c r="R21" s="30"/>
      <c r="S21" s="30"/>
      <c r="T21" s="30"/>
      <c r="U21" s="30"/>
      <c r="V21" s="31"/>
    </row>
    <row r="22" spans="1:22">
      <c r="A22" s="1" t="s">
        <v>38</v>
      </c>
      <c r="B22" s="29">
        <v>0</v>
      </c>
      <c r="C22" s="30">
        <v>0</v>
      </c>
      <c r="D22" s="30">
        <v>-22.570000000006985</v>
      </c>
      <c r="E22" s="30">
        <v>0</v>
      </c>
      <c r="F22" s="30">
        <v>0</v>
      </c>
      <c r="G22" s="31">
        <f>SUM(KS_FINANCIAL)</f>
        <v>-22.570000000006985</v>
      </c>
      <c r="H22" s="30"/>
      <c r="I22" s="34" t="s">
        <v>39</v>
      </c>
      <c r="J22" s="35">
        <v>0</v>
      </c>
      <c r="K22" s="30"/>
      <c r="L22" s="29"/>
      <c r="M22" s="30"/>
      <c r="N22" s="30"/>
      <c r="O22" s="30"/>
      <c r="P22" s="30"/>
      <c r="Q22" s="30"/>
      <c r="R22" s="30"/>
      <c r="S22" s="30"/>
      <c r="T22" s="30"/>
      <c r="U22" s="30"/>
      <c r="V22" s="31"/>
    </row>
    <row r="23" spans="1:22">
      <c r="A23" s="1" t="s">
        <v>40</v>
      </c>
      <c r="B23" s="29">
        <v>0</v>
      </c>
      <c r="C23" s="30">
        <v>0</v>
      </c>
      <c r="D23" s="30">
        <v>-16517.429999999993</v>
      </c>
      <c r="E23" s="30">
        <v>0</v>
      </c>
      <c r="F23" s="30">
        <v>0</v>
      </c>
      <c r="G23" s="31">
        <f>SUM(KY_FINANCIAL)</f>
        <v>-16517.429999999993</v>
      </c>
      <c r="H23" s="30"/>
      <c r="I23" s="34" t="s">
        <v>41</v>
      </c>
      <c r="J23" s="35"/>
      <c r="K23" s="30"/>
      <c r="L23" s="29"/>
      <c r="M23" s="30"/>
      <c r="N23" s="30"/>
      <c r="O23" s="30"/>
      <c r="P23" s="30"/>
      <c r="Q23" s="30"/>
      <c r="R23" s="30"/>
      <c r="S23" s="30"/>
      <c r="T23" s="30"/>
      <c r="U23" s="30"/>
      <c r="V23" s="31"/>
    </row>
    <row r="24" spans="1:22">
      <c r="A24" s="1" t="s">
        <v>42</v>
      </c>
      <c r="B24" s="29">
        <v>0</v>
      </c>
      <c r="C24" s="30">
        <v>0</v>
      </c>
      <c r="D24" s="30">
        <v>-0.83999999996740371</v>
      </c>
      <c r="E24" s="30">
        <v>0</v>
      </c>
      <c r="F24" s="30">
        <v>0</v>
      </c>
      <c r="G24" s="31">
        <f>SUM(LA_FINANCIAL)</f>
        <v>-0.83999999996740371</v>
      </c>
      <c r="H24" s="30"/>
      <c r="I24" s="34" t="s">
        <v>43</v>
      </c>
      <c r="J24" s="35">
        <v>39527419.713999994</v>
      </c>
      <c r="K24" s="30"/>
      <c r="L24" s="29">
        <v>0</v>
      </c>
      <c r="M24" s="30">
        <v>0</v>
      </c>
      <c r="N24" s="30"/>
      <c r="O24" s="30">
        <v>0</v>
      </c>
      <c r="P24" s="30">
        <v>0</v>
      </c>
      <c r="Q24" s="30"/>
      <c r="R24" s="30">
        <v>180000</v>
      </c>
      <c r="S24" s="30">
        <v>0</v>
      </c>
      <c r="T24" s="30"/>
      <c r="U24" s="30">
        <v>0</v>
      </c>
      <c r="V24" s="31">
        <v>0</v>
      </c>
    </row>
    <row r="25" spans="1:22">
      <c r="A25" s="1" t="s">
        <v>44</v>
      </c>
      <c r="B25" s="29">
        <v>0</v>
      </c>
      <c r="C25" s="30">
        <v>0</v>
      </c>
      <c r="D25" s="30">
        <v>-1694</v>
      </c>
      <c r="E25" s="30">
        <v>0</v>
      </c>
      <c r="F25" s="30">
        <v>0</v>
      </c>
      <c r="G25" s="31">
        <f>SUM(ME_FINANCIAL)</f>
        <v>-1694</v>
      </c>
      <c r="H25" s="30"/>
      <c r="I25" s="34"/>
      <c r="J25" s="35"/>
      <c r="K25" s="30"/>
      <c r="L25" s="29"/>
      <c r="M25" s="30"/>
      <c r="N25" s="30"/>
      <c r="O25" s="30"/>
      <c r="P25" s="30"/>
      <c r="Q25" s="30"/>
      <c r="R25" s="30"/>
      <c r="S25" s="30"/>
      <c r="T25" s="30"/>
      <c r="U25" s="30"/>
      <c r="V25" s="31"/>
    </row>
    <row r="26" spans="1:22">
      <c r="A26" s="1" t="s">
        <v>45</v>
      </c>
      <c r="B26" s="29">
        <v>0</v>
      </c>
      <c r="C26" s="30">
        <v>0</v>
      </c>
      <c r="D26" s="30">
        <v>0.31999999997788109</v>
      </c>
      <c r="E26" s="30">
        <v>0</v>
      </c>
      <c r="F26" s="30">
        <v>0</v>
      </c>
      <c r="G26" s="31">
        <f>SUM(MD_FINANCIAL)</f>
        <v>0.31999999997788109</v>
      </c>
      <c r="H26" s="30"/>
      <c r="I26" s="34" t="s">
        <v>46</v>
      </c>
      <c r="J26" s="35">
        <f>SUM(ADD_FINANCIAL)-SUM(LESS_FINANCIAL)</f>
        <v>512896.03600001335</v>
      </c>
      <c r="K26" s="30"/>
      <c r="L26" s="29"/>
      <c r="M26" s="30"/>
      <c r="N26" s="30"/>
      <c r="O26" s="30"/>
      <c r="P26" s="30"/>
      <c r="Q26" s="30"/>
      <c r="R26" s="30"/>
      <c r="S26" s="30"/>
      <c r="T26" s="30"/>
      <c r="U26" s="30"/>
      <c r="V26" s="31"/>
    </row>
    <row r="27" spans="1:22">
      <c r="A27" s="1" t="s">
        <v>47</v>
      </c>
      <c r="B27" s="29">
        <v>0</v>
      </c>
      <c r="C27" s="30">
        <v>0</v>
      </c>
      <c r="D27" s="30">
        <v>41152.959999999992</v>
      </c>
      <c r="E27" s="30">
        <v>0</v>
      </c>
      <c r="F27" s="30">
        <v>0</v>
      </c>
      <c r="G27" s="31">
        <f>SUM(MA_FINANCIAL)</f>
        <v>41152.959999999992</v>
      </c>
      <c r="H27" s="30"/>
      <c r="I27" s="34" t="s">
        <v>48</v>
      </c>
      <c r="J27" s="35">
        <f>SUM(ALL_BLOCKS)</f>
        <v>512896.03599999979</v>
      </c>
      <c r="K27" s="30"/>
      <c r="L27" s="29"/>
      <c r="M27" s="30"/>
      <c r="N27" s="30"/>
      <c r="O27" s="30"/>
      <c r="P27" s="30"/>
      <c r="Q27" s="30"/>
      <c r="R27" s="30"/>
      <c r="S27" s="30"/>
      <c r="T27" s="30"/>
      <c r="U27" s="30"/>
      <c r="V27" s="31"/>
    </row>
    <row r="28" spans="1:22">
      <c r="A28" s="1" t="s">
        <v>49</v>
      </c>
      <c r="B28" s="29">
        <v>0</v>
      </c>
      <c r="C28" s="30">
        <v>0</v>
      </c>
      <c r="D28" s="30">
        <v>-54773.749999999767</v>
      </c>
      <c r="E28" s="30">
        <v>0</v>
      </c>
      <c r="F28" s="30">
        <v>0</v>
      </c>
      <c r="G28" s="31">
        <f>SUM(MI_FINANCIAL)</f>
        <v>-54773.749999999767</v>
      </c>
      <c r="H28" s="30"/>
      <c r="I28" s="36"/>
      <c r="J28" s="37"/>
      <c r="K28" s="30"/>
      <c r="L28" s="29"/>
      <c r="M28" s="30"/>
      <c r="N28" s="30"/>
      <c r="O28" s="30"/>
      <c r="P28" s="30"/>
      <c r="Q28" s="30"/>
      <c r="R28" s="30"/>
      <c r="S28" s="30"/>
      <c r="T28" s="30"/>
      <c r="U28" s="30"/>
      <c r="V28" s="31"/>
    </row>
    <row r="29" spans="1:22">
      <c r="A29" s="1" t="s">
        <v>50</v>
      </c>
      <c r="B29" s="29">
        <v>0</v>
      </c>
      <c r="C29" s="30">
        <v>0</v>
      </c>
      <c r="D29" s="30">
        <v>-302.47000000003027</v>
      </c>
      <c r="E29" s="30">
        <v>0</v>
      </c>
      <c r="F29" s="30">
        <v>0</v>
      </c>
      <c r="G29" s="31">
        <f>SUM(MN_FINANCIAL)</f>
        <v>-302.47000000003027</v>
      </c>
      <c r="H29" s="30"/>
      <c r="I29" s="30"/>
      <c r="J29" s="30"/>
      <c r="K29" s="30"/>
      <c r="L29" s="29"/>
      <c r="M29" s="30"/>
      <c r="N29" s="30"/>
      <c r="O29" s="30"/>
      <c r="P29" s="30"/>
      <c r="Q29" s="30"/>
      <c r="R29" s="30"/>
      <c r="S29" s="30"/>
      <c r="T29" s="30"/>
      <c r="U29" s="30"/>
      <c r="V29" s="31"/>
    </row>
    <row r="30" spans="1:22">
      <c r="A30" s="1" t="s">
        <v>51</v>
      </c>
      <c r="B30" s="29">
        <v>0</v>
      </c>
      <c r="C30" s="30">
        <v>0</v>
      </c>
      <c r="D30" s="30">
        <v>0.76000000000931323</v>
      </c>
      <c r="E30" s="30">
        <v>0</v>
      </c>
      <c r="F30" s="30">
        <v>0</v>
      </c>
      <c r="G30" s="31">
        <f>SUM(MS_FINANCIAL)</f>
        <v>0.76000000000931323</v>
      </c>
      <c r="H30" s="30"/>
      <c r="I30" s="30"/>
      <c r="J30" s="30"/>
      <c r="K30" s="30"/>
      <c r="L30" s="29"/>
      <c r="M30" s="30"/>
      <c r="N30" s="30"/>
      <c r="O30" s="30"/>
      <c r="P30" s="30"/>
      <c r="Q30" s="30"/>
      <c r="R30" s="30"/>
      <c r="S30" s="30"/>
      <c r="T30" s="30"/>
      <c r="U30" s="30"/>
      <c r="V30" s="31"/>
    </row>
    <row r="31" spans="1:22">
      <c r="A31" s="1" t="s">
        <v>52</v>
      </c>
      <c r="B31" s="29">
        <v>0</v>
      </c>
      <c r="C31" s="30">
        <v>0</v>
      </c>
      <c r="D31" s="30">
        <v>0.29999999998835847</v>
      </c>
      <c r="E31" s="30">
        <v>0</v>
      </c>
      <c r="F31" s="30">
        <v>0</v>
      </c>
      <c r="G31" s="31">
        <f>SUM(MO_FINANCIAL)</f>
        <v>0.29999999998835847</v>
      </c>
      <c r="H31" s="30"/>
      <c r="I31" s="30"/>
      <c r="J31" s="30"/>
      <c r="K31" s="30"/>
      <c r="L31" s="29"/>
      <c r="M31" s="30"/>
      <c r="N31" s="30"/>
      <c r="O31" s="30"/>
      <c r="P31" s="30"/>
      <c r="Q31" s="30"/>
      <c r="R31" s="30"/>
      <c r="S31" s="30"/>
      <c r="T31" s="30"/>
      <c r="U31" s="30"/>
      <c r="V31" s="31"/>
    </row>
    <row r="32" spans="1:22">
      <c r="A32" s="1" t="s">
        <v>53</v>
      </c>
      <c r="B32" s="29">
        <v>0</v>
      </c>
      <c r="C32" s="30">
        <v>0</v>
      </c>
      <c r="D32" s="30">
        <v>12519.82</v>
      </c>
      <c r="E32" s="30">
        <v>0</v>
      </c>
      <c r="F32" s="30">
        <v>0</v>
      </c>
      <c r="G32" s="31">
        <f>SUM(MT_FINANCIAL)</f>
        <v>12519.82</v>
      </c>
      <c r="H32" s="30"/>
      <c r="I32" s="30"/>
      <c r="J32" s="30"/>
      <c r="K32" s="30"/>
      <c r="L32" s="29"/>
      <c r="M32" s="30"/>
      <c r="N32" s="30"/>
      <c r="O32" s="30"/>
      <c r="P32" s="30"/>
      <c r="Q32" s="30"/>
      <c r="R32" s="30"/>
      <c r="S32" s="30"/>
      <c r="T32" s="30"/>
      <c r="U32" s="30"/>
      <c r="V32" s="31"/>
    </row>
    <row r="33" spans="1:22">
      <c r="A33" s="1" t="s">
        <v>54</v>
      </c>
      <c r="B33" s="29">
        <v>0</v>
      </c>
      <c r="C33" s="30">
        <v>0</v>
      </c>
      <c r="D33" s="30">
        <v>7063.6299999999974</v>
      </c>
      <c r="E33" s="30">
        <v>0</v>
      </c>
      <c r="F33" s="30">
        <v>0</v>
      </c>
      <c r="G33" s="31">
        <f>SUM(NE_FINANCIAL)</f>
        <v>7063.6299999999974</v>
      </c>
      <c r="H33" s="30"/>
      <c r="I33" s="30"/>
      <c r="J33" s="30"/>
      <c r="K33" s="30"/>
      <c r="L33" s="29"/>
      <c r="M33" s="30"/>
      <c r="N33" s="30"/>
      <c r="O33" s="30"/>
      <c r="P33" s="30"/>
      <c r="Q33" s="30"/>
      <c r="R33" s="30"/>
      <c r="S33" s="30"/>
      <c r="T33" s="30"/>
      <c r="U33" s="30"/>
      <c r="V33" s="31"/>
    </row>
    <row r="34" spans="1:22">
      <c r="A34" s="1" t="s">
        <v>55</v>
      </c>
      <c r="B34" s="29">
        <v>0</v>
      </c>
      <c r="C34" s="30">
        <v>0</v>
      </c>
      <c r="D34" s="30">
        <v>-9.9999999511055648E-3</v>
      </c>
      <c r="E34" s="30">
        <v>0</v>
      </c>
      <c r="F34" s="30">
        <v>0</v>
      </c>
      <c r="G34" s="31">
        <f>SUM(NV_FINANCIAL)</f>
        <v>-9.9999999511055648E-3</v>
      </c>
      <c r="H34" s="30"/>
      <c r="I34" s="30"/>
      <c r="J34" s="30"/>
      <c r="K34" s="30"/>
      <c r="L34" s="29"/>
      <c r="M34" s="30"/>
      <c r="N34" s="30"/>
      <c r="O34" s="30"/>
      <c r="P34" s="30"/>
      <c r="Q34" s="30"/>
      <c r="R34" s="30"/>
      <c r="S34" s="30"/>
      <c r="T34" s="30"/>
      <c r="U34" s="30"/>
      <c r="V34" s="31"/>
    </row>
    <row r="35" spans="1:22">
      <c r="A35" s="1" t="s">
        <v>56</v>
      </c>
      <c r="B35" s="29">
        <v>0</v>
      </c>
      <c r="C35" s="30">
        <v>0</v>
      </c>
      <c r="D35" s="30">
        <v>90841.790000000008</v>
      </c>
      <c r="E35" s="30">
        <v>0</v>
      </c>
      <c r="F35" s="30">
        <v>0</v>
      </c>
      <c r="G35" s="31">
        <f>SUM(NH_FINANCIAL)</f>
        <v>90841.790000000008</v>
      </c>
      <c r="H35" s="30"/>
      <c r="I35" s="30"/>
      <c r="J35" s="30"/>
      <c r="K35" s="30"/>
      <c r="L35" s="29"/>
      <c r="M35" s="30"/>
      <c r="N35" s="30"/>
      <c r="O35" s="30"/>
      <c r="P35" s="30"/>
      <c r="Q35" s="30"/>
      <c r="R35" s="30"/>
      <c r="S35" s="30"/>
      <c r="T35" s="30"/>
      <c r="U35" s="30"/>
      <c r="V35" s="31"/>
    </row>
    <row r="36" spans="1:22">
      <c r="A36" s="1" t="s">
        <v>57</v>
      </c>
      <c r="B36" s="29">
        <v>0</v>
      </c>
      <c r="C36" s="30">
        <v>0</v>
      </c>
      <c r="D36" s="30">
        <v>-254.7899999999936</v>
      </c>
      <c r="E36" s="30">
        <v>0</v>
      </c>
      <c r="F36" s="30">
        <v>0</v>
      </c>
      <c r="G36" s="31">
        <f>SUM(NJ_FINANCIAL)</f>
        <v>-254.7899999999936</v>
      </c>
      <c r="H36" s="30"/>
      <c r="I36" s="30"/>
      <c r="J36" s="30"/>
      <c r="K36" s="30"/>
      <c r="L36" s="29"/>
      <c r="M36" s="30"/>
      <c r="N36" s="30"/>
      <c r="O36" s="30"/>
      <c r="P36" s="30"/>
      <c r="Q36" s="30"/>
      <c r="R36" s="30"/>
      <c r="S36" s="30"/>
      <c r="T36" s="30"/>
      <c r="U36" s="30"/>
      <c r="V36" s="31"/>
    </row>
    <row r="37" spans="1:22">
      <c r="A37" s="1" t="s">
        <v>58</v>
      </c>
      <c r="B37" s="29">
        <v>0</v>
      </c>
      <c r="C37" s="30">
        <v>0</v>
      </c>
      <c r="D37" s="30">
        <v>14380.589999999997</v>
      </c>
      <c r="E37" s="30">
        <v>0</v>
      </c>
      <c r="F37" s="30">
        <v>0</v>
      </c>
      <c r="G37" s="31">
        <f>SUM(NM_FINANCIAL)</f>
        <v>14380.589999999997</v>
      </c>
      <c r="H37" s="30"/>
      <c r="I37" s="30"/>
      <c r="J37" s="30"/>
      <c r="K37" s="30"/>
      <c r="L37" s="29">
        <v>0</v>
      </c>
      <c r="M37" s="30">
        <v>0</v>
      </c>
      <c r="N37" s="30"/>
      <c r="O37" s="30">
        <v>0</v>
      </c>
      <c r="P37" s="30">
        <v>0</v>
      </c>
      <c r="Q37" s="30"/>
      <c r="R37" s="30">
        <v>99809</v>
      </c>
      <c r="S37" s="30">
        <v>0</v>
      </c>
      <c r="T37" s="30"/>
      <c r="U37" s="30">
        <v>0</v>
      </c>
      <c r="V37" s="31">
        <v>0</v>
      </c>
    </row>
    <row r="38" spans="1:22">
      <c r="A38" s="1" t="s">
        <v>59</v>
      </c>
      <c r="B38" s="29">
        <v>0</v>
      </c>
      <c r="C38" s="30">
        <v>0</v>
      </c>
      <c r="D38" s="30">
        <v>0</v>
      </c>
      <c r="E38" s="30">
        <v>0</v>
      </c>
      <c r="F38" s="30">
        <v>0</v>
      </c>
      <c r="G38" s="31">
        <f>SUM(NY_FINANCIAL)</f>
        <v>0</v>
      </c>
      <c r="H38" s="30"/>
      <c r="I38" s="30"/>
      <c r="J38" s="30"/>
      <c r="K38" s="30"/>
      <c r="L38" s="29"/>
      <c r="M38" s="30"/>
      <c r="N38" s="30"/>
      <c r="O38" s="30"/>
      <c r="P38" s="30"/>
      <c r="Q38" s="30"/>
      <c r="R38" s="30"/>
      <c r="S38" s="30"/>
      <c r="T38" s="30"/>
      <c r="U38" s="30"/>
      <c r="V38" s="31"/>
    </row>
    <row r="39" spans="1:22">
      <c r="A39" s="1" t="s">
        <v>60</v>
      </c>
      <c r="B39" s="29">
        <v>0</v>
      </c>
      <c r="C39" s="30">
        <v>0</v>
      </c>
      <c r="D39" s="30">
        <v>-1190.3200000000652</v>
      </c>
      <c r="E39" s="30">
        <v>0</v>
      </c>
      <c r="F39" s="30">
        <v>0</v>
      </c>
      <c r="G39" s="31">
        <f>SUM(NC_FINANCIAL)</f>
        <v>-1190.3200000000652</v>
      </c>
      <c r="H39" s="30"/>
      <c r="I39" s="30"/>
      <c r="J39" s="30"/>
      <c r="K39" s="30"/>
      <c r="L39" s="29">
        <v>0</v>
      </c>
      <c r="M39" s="30">
        <v>0</v>
      </c>
      <c r="N39" s="30"/>
      <c r="O39" s="30">
        <v>0</v>
      </c>
      <c r="P39" s="30">
        <v>0</v>
      </c>
      <c r="Q39" s="30"/>
      <c r="R39" s="30">
        <v>1200000</v>
      </c>
      <c r="S39" s="30">
        <v>900000</v>
      </c>
      <c r="T39" s="30"/>
      <c r="U39" s="30">
        <v>0</v>
      </c>
      <c r="V39" s="31">
        <v>0</v>
      </c>
    </row>
    <row r="40" spans="1:22">
      <c r="A40" s="1" t="s">
        <v>61</v>
      </c>
      <c r="B40" s="29">
        <v>0</v>
      </c>
      <c r="C40" s="30">
        <v>0</v>
      </c>
      <c r="D40" s="30">
        <v>0.46000000000003638</v>
      </c>
      <c r="E40" s="30">
        <v>0</v>
      </c>
      <c r="F40" s="30">
        <v>0</v>
      </c>
      <c r="G40" s="31">
        <f>SUM(ND_FINANCIAL)</f>
        <v>0.46000000000003638</v>
      </c>
      <c r="H40" s="30"/>
      <c r="I40" s="30"/>
      <c r="J40" s="30"/>
      <c r="K40" s="30"/>
      <c r="L40" s="29"/>
      <c r="M40" s="30"/>
      <c r="N40" s="30"/>
      <c r="O40" s="30"/>
      <c r="P40" s="30"/>
      <c r="Q40" s="30"/>
      <c r="R40" s="30"/>
      <c r="S40" s="30"/>
      <c r="T40" s="30"/>
      <c r="U40" s="30"/>
      <c r="V40" s="31"/>
    </row>
    <row r="41" spans="1:22">
      <c r="A41" s="1" t="s">
        <v>62</v>
      </c>
      <c r="B41" s="29">
        <v>0</v>
      </c>
      <c r="C41" s="30">
        <v>0</v>
      </c>
      <c r="D41" s="30">
        <v>3.0000000027939677E-2</v>
      </c>
      <c r="E41" s="30">
        <v>0</v>
      </c>
      <c r="F41" s="30">
        <v>0</v>
      </c>
      <c r="G41" s="31">
        <f>SUM(OH_FINANCIAL)</f>
        <v>3.0000000027939677E-2</v>
      </c>
      <c r="H41" s="30"/>
      <c r="I41" s="30"/>
      <c r="J41" s="30"/>
      <c r="K41" s="30"/>
      <c r="L41" s="29"/>
      <c r="M41" s="30"/>
      <c r="N41" s="30"/>
      <c r="O41" s="30"/>
      <c r="P41" s="30"/>
      <c r="Q41" s="30"/>
      <c r="R41" s="30"/>
      <c r="S41" s="30"/>
      <c r="T41" s="30"/>
      <c r="U41" s="30"/>
      <c r="V41" s="31"/>
    </row>
    <row r="42" spans="1:22">
      <c r="A42" s="1" t="s">
        <v>63</v>
      </c>
      <c r="B42" s="29">
        <v>0</v>
      </c>
      <c r="C42" s="30">
        <v>0</v>
      </c>
      <c r="D42" s="30">
        <v>16044.589999999967</v>
      </c>
      <c r="E42" s="30">
        <v>0</v>
      </c>
      <c r="F42" s="30">
        <v>0</v>
      </c>
      <c r="G42" s="31">
        <f>SUM(OK_FINANCIAL)</f>
        <v>16044.589999999967</v>
      </c>
      <c r="H42" s="30"/>
      <c r="I42" s="30"/>
      <c r="J42" s="30"/>
      <c r="K42" s="30"/>
      <c r="L42" s="29">
        <v>0</v>
      </c>
      <c r="M42" s="30">
        <v>0</v>
      </c>
      <c r="N42" s="30"/>
      <c r="O42" s="30">
        <v>0</v>
      </c>
      <c r="P42" s="30">
        <v>0</v>
      </c>
      <c r="Q42" s="30"/>
      <c r="R42" s="30">
        <v>200000</v>
      </c>
      <c r="S42" s="30">
        <v>100000</v>
      </c>
      <c r="T42" s="30"/>
      <c r="U42" s="30">
        <v>0</v>
      </c>
      <c r="V42" s="31">
        <v>0</v>
      </c>
    </row>
    <row r="43" spans="1:22">
      <c r="A43" s="1" t="s">
        <v>64</v>
      </c>
      <c r="B43" s="29">
        <v>0</v>
      </c>
      <c r="C43" s="30">
        <v>0</v>
      </c>
      <c r="D43" s="30">
        <v>11732.589999999997</v>
      </c>
      <c r="E43" s="30">
        <v>0</v>
      </c>
      <c r="F43" s="30">
        <v>0</v>
      </c>
      <c r="G43" s="31">
        <f>SUM(OR_FINANCIAL)</f>
        <v>11732.589999999997</v>
      </c>
      <c r="H43" s="30"/>
      <c r="I43" s="30"/>
      <c r="J43" s="30"/>
      <c r="K43" s="30"/>
      <c r="L43" s="29"/>
      <c r="M43" s="30"/>
      <c r="N43" s="30"/>
      <c r="O43" s="30"/>
      <c r="P43" s="30"/>
      <c r="Q43" s="30"/>
      <c r="R43" s="30"/>
      <c r="S43" s="30"/>
      <c r="T43" s="30"/>
      <c r="U43" s="30"/>
      <c r="V43" s="31"/>
    </row>
    <row r="44" spans="1:22">
      <c r="A44" s="1" t="s">
        <v>65</v>
      </c>
      <c r="B44" s="29">
        <v>0</v>
      </c>
      <c r="C44" s="30">
        <v>0</v>
      </c>
      <c r="D44" s="30">
        <v>-261.04999999993015</v>
      </c>
      <c r="E44" s="30">
        <v>0</v>
      </c>
      <c r="F44" s="30">
        <v>0</v>
      </c>
      <c r="G44" s="31">
        <f>SUM(PA_FINANCIAL)</f>
        <v>-261.04999999993015</v>
      </c>
      <c r="H44" s="30"/>
      <c r="I44" s="30"/>
      <c r="J44" s="30"/>
      <c r="K44" s="30"/>
      <c r="L44" s="29"/>
      <c r="M44" s="30"/>
      <c r="N44" s="30"/>
      <c r="O44" s="30"/>
      <c r="P44" s="30"/>
      <c r="Q44" s="30"/>
      <c r="R44" s="30"/>
      <c r="S44" s="30"/>
      <c r="T44" s="30"/>
      <c r="U44" s="30"/>
      <c r="V44" s="31"/>
    </row>
    <row r="45" spans="1:22">
      <c r="A45" s="1" t="s">
        <v>66</v>
      </c>
      <c r="B45" s="29">
        <v>0</v>
      </c>
      <c r="C45" s="30">
        <v>0</v>
      </c>
      <c r="D45" s="30">
        <v>0</v>
      </c>
      <c r="E45" s="30">
        <v>0</v>
      </c>
      <c r="F45" s="30">
        <v>0</v>
      </c>
      <c r="G45" s="31">
        <f>SUM(PR_FINANCIAL)</f>
        <v>0</v>
      </c>
      <c r="H45" s="30"/>
      <c r="I45" s="30"/>
      <c r="J45" s="30"/>
      <c r="K45" s="30"/>
      <c r="L45" s="29"/>
      <c r="M45" s="30"/>
      <c r="N45" s="30"/>
      <c r="O45" s="30"/>
      <c r="P45" s="30"/>
      <c r="Q45" s="30"/>
      <c r="R45" s="30"/>
      <c r="S45" s="30"/>
      <c r="T45" s="30"/>
      <c r="U45" s="30"/>
      <c r="V45" s="31"/>
    </row>
    <row r="46" spans="1:22">
      <c r="A46" s="1" t="s">
        <v>67</v>
      </c>
      <c r="B46" s="29">
        <v>0</v>
      </c>
      <c r="C46" s="30">
        <v>0</v>
      </c>
      <c r="D46" s="30">
        <v>-1805.5</v>
      </c>
      <c r="E46" s="30">
        <v>0</v>
      </c>
      <c r="F46" s="30">
        <v>0</v>
      </c>
      <c r="G46" s="31">
        <f>SUM(RI_FINANCIAL)</f>
        <v>-1805.5</v>
      </c>
      <c r="H46" s="30"/>
      <c r="I46" s="30"/>
      <c r="J46" s="30"/>
      <c r="K46" s="30"/>
      <c r="L46" s="29">
        <v>0</v>
      </c>
      <c r="M46" s="30">
        <v>0</v>
      </c>
      <c r="N46" s="30"/>
      <c r="O46" s="30">
        <v>0</v>
      </c>
      <c r="P46" s="30">
        <v>0</v>
      </c>
      <c r="Q46" s="30"/>
      <c r="R46" s="30">
        <v>410000</v>
      </c>
      <c r="S46" s="30">
        <v>0</v>
      </c>
      <c r="T46" s="30"/>
      <c r="U46" s="30">
        <v>0</v>
      </c>
      <c r="V46" s="31">
        <v>0</v>
      </c>
    </row>
    <row r="47" spans="1:22">
      <c r="A47" s="1" t="s">
        <v>68</v>
      </c>
      <c r="B47" s="29">
        <v>0</v>
      </c>
      <c r="C47" s="30">
        <v>0</v>
      </c>
      <c r="D47" s="30">
        <v>-2758.1400000001304</v>
      </c>
      <c r="E47" s="30">
        <v>0</v>
      </c>
      <c r="F47" s="30">
        <v>0</v>
      </c>
      <c r="G47" s="31">
        <f>SUM(SC_FINANCIAL)</f>
        <v>-2758.1400000001304</v>
      </c>
      <c r="H47" s="30"/>
      <c r="I47" s="30"/>
      <c r="J47" s="30"/>
      <c r="K47" s="30"/>
      <c r="L47" s="29">
        <v>0</v>
      </c>
      <c r="M47" s="30">
        <v>0</v>
      </c>
      <c r="N47" s="30"/>
      <c r="O47" s="30">
        <v>0</v>
      </c>
      <c r="P47" s="30">
        <v>0</v>
      </c>
      <c r="Q47" s="30"/>
      <c r="R47" s="30">
        <v>900000</v>
      </c>
      <c r="S47" s="30">
        <v>0</v>
      </c>
      <c r="T47" s="30"/>
      <c r="U47" s="30">
        <v>0</v>
      </c>
      <c r="V47" s="31">
        <v>0</v>
      </c>
    </row>
    <row r="48" spans="1:22">
      <c r="A48" s="1" t="s">
        <v>69</v>
      </c>
      <c r="B48" s="29">
        <v>0</v>
      </c>
      <c r="C48" s="30">
        <v>0</v>
      </c>
      <c r="D48" s="30">
        <v>0.56999999999970896</v>
      </c>
      <c r="E48" s="30">
        <v>0</v>
      </c>
      <c r="F48" s="30">
        <v>0</v>
      </c>
      <c r="G48" s="31">
        <f>SUM(SD_FINANCIAL)</f>
        <v>0.56999999999970896</v>
      </c>
      <c r="H48" s="30"/>
      <c r="I48" s="30"/>
      <c r="J48" s="30"/>
      <c r="K48" s="30"/>
      <c r="L48" s="29"/>
      <c r="M48" s="30"/>
      <c r="N48" s="30"/>
      <c r="O48" s="30"/>
      <c r="P48" s="30"/>
      <c r="Q48" s="30"/>
      <c r="R48" s="30"/>
      <c r="S48" s="30"/>
      <c r="T48" s="30"/>
      <c r="U48" s="30"/>
      <c r="V48" s="31"/>
    </row>
    <row r="49" spans="1:22">
      <c r="A49" s="1" t="s">
        <v>70</v>
      </c>
      <c r="B49" s="29">
        <v>0</v>
      </c>
      <c r="C49" s="30">
        <v>0</v>
      </c>
      <c r="D49" s="30">
        <v>0.22999999998137355</v>
      </c>
      <c r="E49" s="30">
        <v>0</v>
      </c>
      <c r="F49" s="30">
        <v>0</v>
      </c>
      <c r="G49" s="31">
        <f>SUM(TN_FINANCIAL)</f>
        <v>0.22999999998137355</v>
      </c>
      <c r="H49" s="30"/>
      <c r="I49" s="30"/>
      <c r="J49" s="30"/>
      <c r="K49" s="30"/>
      <c r="L49" s="29">
        <v>0</v>
      </c>
      <c r="M49" s="30">
        <v>0</v>
      </c>
      <c r="N49" s="30"/>
      <c r="O49" s="30">
        <v>0</v>
      </c>
      <c r="P49" s="30">
        <v>0</v>
      </c>
      <c r="Q49" s="30"/>
      <c r="R49" s="30">
        <v>250000</v>
      </c>
      <c r="S49" s="30">
        <v>0</v>
      </c>
      <c r="T49" s="30"/>
      <c r="U49" s="30">
        <v>0</v>
      </c>
      <c r="V49" s="31">
        <v>0</v>
      </c>
    </row>
    <row r="50" spans="1:22">
      <c r="A50" s="1" t="s">
        <v>71</v>
      </c>
      <c r="B50" s="29">
        <v>0</v>
      </c>
      <c r="C50" s="30">
        <v>0</v>
      </c>
      <c r="D50" s="30">
        <v>-1698.1999999992549</v>
      </c>
      <c r="E50" s="30">
        <v>0</v>
      </c>
      <c r="F50" s="30">
        <v>0</v>
      </c>
      <c r="G50" s="31">
        <f>SUM(TX_FINANCIAL)</f>
        <v>-1698.1999999992549</v>
      </c>
      <c r="H50" s="30"/>
      <c r="I50" s="30"/>
      <c r="J50" s="30"/>
      <c r="K50" s="30"/>
      <c r="L50" s="29">
        <v>0</v>
      </c>
      <c r="M50" s="30">
        <v>0</v>
      </c>
      <c r="N50" s="30"/>
      <c r="O50" s="30">
        <v>0</v>
      </c>
      <c r="P50" s="30">
        <v>0</v>
      </c>
      <c r="Q50" s="30"/>
      <c r="R50" s="30">
        <v>2000085</v>
      </c>
      <c r="S50" s="30">
        <v>0</v>
      </c>
      <c r="T50" s="30"/>
      <c r="U50" s="30">
        <v>0</v>
      </c>
      <c r="V50" s="31">
        <v>0</v>
      </c>
    </row>
    <row r="51" spans="1:22">
      <c r="A51" s="1" t="s">
        <v>72</v>
      </c>
      <c r="B51" s="29">
        <v>0</v>
      </c>
      <c r="C51" s="30">
        <v>0</v>
      </c>
      <c r="D51" s="30">
        <v>3.0000000013387762E-2</v>
      </c>
      <c r="E51" s="30">
        <v>0</v>
      </c>
      <c r="F51" s="30">
        <v>0</v>
      </c>
      <c r="G51" s="31">
        <f>SUM(UT_FINANCIAL)</f>
        <v>3.0000000013387762E-2</v>
      </c>
      <c r="H51" s="30"/>
      <c r="I51" s="30"/>
      <c r="J51" s="30"/>
      <c r="K51" s="30"/>
      <c r="L51" s="29"/>
      <c r="M51" s="30"/>
      <c r="N51" s="30"/>
      <c r="O51" s="30"/>
      <c r="P51" s="30"/>
      <c r="Q51" s="30"/>
      <c r="R51" s="30"/>
      <c r="S51" s="30"/>
      <c r="T51" s="30"/>
      <c r="U51" s="30"/>
      <c r="V51" s="31"/>
    </row>
    <row r="52" spans="1:22">
      <c r="A52" s="1" t="s">
        <v>73</v>
      </c>
      <c r="B52" s="29">
        <v>0</v>
      </c>
      <c r="C52" s="30">
        <v>0</v>
      </c>
      <c r="D52" s="30">
        <v>-2037.7100000000064</v>
      </c>
      <c r="E52" s="30">
        <v>0</v>
      </c>
      <c r="F52" s="30">
        <v>0</v>
      </c>
      <c r="G52" s="31">
        <f>SUM(VT_FINANCIAL)</f>
        <v>-2037.7100000000064</v>
      </c>
      <c r="H52" s="30"/>
      <c r="I52" s="30"/>
      <c r="J52" s="30"/>
      <c r="K52" s="30"/>
      <c r="L52" s="29"/>
      <c r="M52" s="30"/>
      <c r="N52" s="30"/>
      <c r="O52" s="30"/>
      <c r="P52" s="30"/>
      <c r="Q52" s="30"/>
      <c r="R52" s="30"/>
      <c r="S52" s="30"/>
      <c r="T52" s="30"/>
      <c r="U52" s="30"/>
      <c r="V52" s="31"/>
    </row>
    <row r="53" spans="1:22">
      <c r="A53" s="1" t="s">
        <v>74</v>
      </c>
      <c r="B53" s="29">
        <v>0</v>
      </c>
      <c r="C53" s="30">
        <v>0</v>
      </c>
      <c r="D53" s="30">
        <v>57683.090000000084</v>
      </c>
      <c r="E53" s="30">
        <v>0</v>
      </c>
      <c r="F53" s="30">
        <v>0</v>
      </c>
      <c r="G53" s="31">
        <f>SUM(VA_FINANCIAL)</f>
        <v>57683.090000000084</v>
      </c>
      <c r="H53" s="30"/>
      <c r="I53" s="30"/>
      <c r="J53" s="30"/>
      <c r="K53" s="30"/>
      <c r="L53" s="29"/>
      <c r="M53" s="30"/>
      <c r="N53" s="30"/>
      <c r="O53" s="30"/>
      <c r="P53" s="30"/>
      <c r="Q53" s="30"/>
      <c r="R53" s="30"/>
      <c r="S53" s="30"/>
      <c r="T53" s="30"/>
      <c r="U53" s="30"/>
      <c r="V53" s="31"/>
    </row>
    <row r="54" spans="1:22">
      <c r="A54" s="1" t="s">
        <v>75</v>
      </c>
      <c r="B54" s="29">
        <v>0</v>
      </c>
      <c r="C54" s="30">
        <v>0</v>
      </c>
      <c r="D54" s="30">
        <v>-18824.190000000177</v>
      </c>
      <c r="E54" s="30">
        <v>0</v>
      </c>
      <c r="F54" s="30">
        <v>0</v>
      </c>
      <c r="G54" s="31">
        <f>SUM(WA_FINANCIAL)</f>
        <v>-18824.190000000177</v>
      </c>
      <c r="H54" s="30"/>
      <c r="I54" s="30"/>
      <c r="J54" s="30"/>
      <c r="K54" s="30"/>
      <c r="L54" s="29"/>
      <c r="M54" s="30"/>
      <c r="N54" s="30"/>
      <c r="O54" s="30"/>
      <c r="P54" s="30"/>
      <c r="Q54" s="30"/>
      <c r="R54" s="30"/>
      <c r="S54" s="30"/>
      <c r="T54" s="30"/>
      <c r="U54" s="30"/>
      <c r="V54" s="31"/>
    </row>
    <row r="55" spans="1:22">
      <c r="A55" s="1" t="s">
        <v>76</v>
      </c>
      <c r="B55" s="29">
        <v>0</v>
      </c>
      <c r="C55" s="30">
        <v>0</v>
      </c>
      <c r="D55" s="30">
        <v>-26.549999999988358</v>
      </c>
      <c r="E55" s="30">
        <v>0</v>
      </c>
      <c r="F55" s="30">
        <v>0</v>
      </c>
      <c r="G55" s="31">
        <f>SUM(WV_FINANCIAL)</f>
        <v>-26.549999999988358</v>
      </c>
      <c r="H55" s="30"/>
      <c r="I55" s="30"/>
      <c r="J55" s="30"/>
      <c r="K55" s="30"/>
      <c r="L55" s="29"/>
      <c r="M55" s="30"/>
      <c r="N55" s="30"/>
      <c r="O55" s="30"/>
      <c r="P55" s="30"/>
      <c r="Q55" s="30"/>
      <c r="R55" s="30"/>
      <c r="S55" s="30"/>
      <c r="T55" s="30"/>
      <c r="U55" s="30"/>
      <c r="V55" s="31"/>
    </row>
    <row r="56" spans="1:22">
      <c r="A56" s="1" t="s">
        <v>77</v>
      </c>
      <c r="B56" s="29">
        <v>0</v>
      </c>
      <c r="C56" s="30">
        <v>0</v>
      </c>
      <c r="D56" s="30">
        <v>13117.529999999999</v>
      </c>
      <c r="E56" s="30">
        <v>0</v>
      </c>
      <c r="F56" s="30">
        <v>0</v>
      </c>
      <c r="G56" s="31">
        <f>SUM(WI_FINANCIAL)</f>
        <v>13117.529999999999</v>
      </c>
      <c r="H56" s="30"/>
      <c r="I56" s="30"/>
      <c r="J56" s="30"/>
      <c r="K56" s="30"/>
      <c r="L56" s="29"/>
      <c r="M56" s="30"/>
      <c r="N56" s="30"/>
      <c r="O56" s="30"/>
      <c r="P56" s="30"/>
      <c r="Q56" s="30"/>
      <c r="R56" s="30"/>
      <c r="S56" s="30"/>
      <c r="T56" s="30"/>
      <c r="U56" s="30"/>
      <c r="V56" s="31"/>
    </row>
    <row r="57" spans="1:22">
      <c r="A57" s="1" t="s">
        <v>78</v>
      </c>
      <c r="B57" s="29">
        <v>0</v>
      </c>
      <c r="C57" s="30">
        <v>0</v>
      </c>
      <c r="D57" s="30">
        <v>-74.549999999999272</v>
      </c>
      <c r="E57" s="30">
        <v>0</v>
      </c>
      <c r="F57" s="30">
        <v>0</v>
      </c>
      <c r="G57" s="31">
        <f>SUM(WY_FINANCIAL)</f>
        <v>-74.549999999999272</v>
      </c>
      <c r="H57" s="30"/>
      <c r="I57" s="30"/>
      <c r="J57" s="30"/>
      <c r="K57" s="30"/>
      <c r="L57" s="29"/>
      <c r="M57" s="30"/>
      <c r="N57" s="30"/>
      <c r="O57" s="30"/>
      <c r="P57" s="30"/>
      <c r="Q57" s="30"/>
      <c r="R57" s="30"/>
      <c r="S57" s="30"/>
      <c r="T57" s="30"/>
      <c r="U57" s="30"/>
      <c r="V57" s="31"/>
    </row>
    <row r="58" spans="1:22">
      <c r="A58" s="1" t="s">
        <v>79</v>
      </c>
      <c r="B58" s="29">
        <v>0</v>
      </c>
      <c r="C58" s="30">
        <v>0</v>
      </c>
      <c r="D58" s="30">
        <v>0</v>
      </c>
      <c r="E58" s="30">
        <v>0</v>
      </c>
      <c r="F58" s="30">
        <v>0</v>
      </c>
      <c r="G58" s="31">
        <f>SUM(OT_FINANCIAL)</f>
        <v>0</v>
      </c>
      <c r="H58" s="30"/>
      <c r="I58" s="30"/>
      <c r="J58" s="30"/>
      <c r="K58" s="30"/>
      <c r="L58" s="29"/>
      <c r="M58" s="30"/>
      <c r="N58" s="30"/>
      <c r="O58" s="30"/>
      <c r="P58" s="30"/>
      <c r="Q58" s="30"/>
      <c r="R58" s="30"/>
      <c r="S58" s="30"/>
      <c r="T58" s="30"/>
      <c r="U58" s="30"/>
      <c r="V58" s="31"/>
    </row>
    <row r="59" spans="1:22">
      <c r="B59" s="29"/>
      <c r="C59" s="30"/>
      <c r="D59" s="30"/>
      <c r="E59" s="30"/>
      <c r="F59" s="30"/>
      <c r="G59" s="31"/>
      <c r="H59" s="30"/>
      <c r="I59" s="30"/>
      <c r="J59" s="30"/>
      <c r="K59" s="30"/>
      <c r="L59" s="29"/>
      <c r="M59" s="30"/>
      <c r="N59" s="30"/>
      <c r="O59" s="30"/>
      <c r="P59" s="30"/>
      <c r="Q59" s="30"/>
      <c r="R59" s="30"/>
      <c r="S59" s="30"/>
      <c r="T59" s="30"/>
      <c r="U59" s="30"/>
      <c r="V59" s="31"/>
    </row>
    <row r="60" spans="1:22">
      <c r="A60" s="1" t="s">
        <v>8</v>
      </c>
      <c r="B60" s="29">
        <f>SUM(LIFE)</f>
        <v>0</v>
      </c>
      <c r="C60" s="30">
        <f>SUM(ALLOCATED)</f>
        <v>0</v>
      </c>
      <c r="D60" s="30">
        <f>SUM(HEALTH)</f>
        <v>512896.03599999979</v>
      </c>
      <c r="E60" s="30">
        <f>SUM(UNALLOCATED)</f>
        <v>0</v>
      </c>
      <c r="F60" s="30">
        <f>SUM(LTC)</f>
        <v>0</v>
      </c>
      <c r="G60" s="31">
        <f>SUM(ALL_BLOCKS)</f>
        <v>512896.03599999979</v>
      </c>
      <c r="H60" s="30"/>
      <c r="I60" s="30"/>
      <c r="J60" s="30"/>
      <c r="K60" s="30"/>
      <c r="L60" s="29">
        <f>SUM(LIFE_CALLED)</f>
        <v>151260</v>
      </c>
      <c r="M60" s="30">
        <f>SUM(LIFE_REFUNDED)</f>
        <v>0</v>
      </c>
      <c r="N60" s="30"/>
      <c r="O60" s="30">
        <f>SUM(ALLOC_CALLED)</f>
        <v>0</v>
      </c>
      <c r="P60" s="30">
        <f>SUM(ALLOC_REFUNDED)</f>
        <v>0</v>
      </c>
      <c r="Q60" s="30"/>
      <c r="R60" s="30">
        <f>SUM(HEALTH_CALLED)</f>
        <v>6480687</v>
      </c>
      <c r="S60" s="30">
        <f>SUM(HEALTH_REFUNDED)</f>
        <v>1000000</v>
      </c>
      <c r="T60" s="30"/>
      <c r="U60" s="30">
        <f>SUM(UNALLOC_CALLED)</f>
        <v>0</v>
      </c>
      <c r="V60" s="31">
        <f>SUM(UNALLOC_REFUNDED)</f>
        <v>0</v>
      </c>
    </row>
    <row r="61" spans="1:22" ht="5.0999999999999996" customHeight="1">
      <c r="B61" s="8"/>
      <c r="G61" s="11"/>
      <c r="L61" s="8"/>
      <c r="V61" s="11"/>
    </row>
    <row r="62" spans="1:22">
      <c r="B62" s="8"/>
      <c r="G62" s="11"/>
      <c r="L62" s="122" t="s">
        <v>80</v>
      </c>
      <c r="M62" s="123"/>
      <c r="N62" s="123"/>
      <c r="O62" s="123"/>
      <c r="P62" s="123"/>
      <c r="Q62" s="123"/>
      <c r="R62" s="123"/>
      <c r="S62" s="123"/>
      <c r="T62" s="123"/>
      <c r="U62" s="123"/>
      <c r="V62" s="124"/>
    </row>
    <row r="63" spans="1:22">
      <c r="B63" s="8"/>
      <c r="G63" s="11"/>
      <c r="L63" s="125"/>
      <c r="M63" s="123"/>
      <c r="N63" s="123"/>
      <c r="O63" s="123"/>
      <c r="P63" s="123"/>
      <c r="Q63" s="123"/>
      <c r="R63" s="123"/>
      <c r="S63" s="123"/>
      <c r="T63" s="123"/>
      <c r="U63" s="123"/>
      <c r="V63" s="124"/>
    </row>
    <row r="64" spans="1:22">
      <c r="B64" s="10"/>
      <c r="C64" s="7"/>
      <c r="D64" s="7"/>
      <c r="E64" s="7"/>
      <c r="F64" s="7"/>
      <c r="G64" s="13"/>
      <c r="L64" s="126"/>
      <c r="M64" s="127"/>
      <c r="N64" s="127"/>
      <c r="O64" s="127"/>
      <c r="P64" s="127"/>
      <c r="Q64" s="127"/>
      <c r="R64" s="127"/>
      <c r="S64" s="127"/>
      <c r="T64" s="127"/>
      <c r="U64" s="127"/>
      <c r="V64" s="128"/>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pageSetUpPr fitToPage="1"/>
  </sheetPr>
  <dimension ref="A1:V64"/>
  <sheetViews>
    <sheetView zoomScale="75" workbookViewId="0">
      <selection sqref="A1:XFD1048576"/>
    </sheetView>
  </sheetViews>
  <sheetFormatPr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129" t="s">
        <v>155</v>
      </c>
      <c r="B1" s="123"/>
      <c r="C1" s="123"/>
      <c r="D1" s="123"/>
      <c r="E1" s="123"/>
      <c r="F1" s="123"/>
      <c r="G1" s="123"/>
    </row>
    <row r="3" spans="1:22">
      <c r="B3" s="130" t="s">
        <v>1</v>
      </c>
      <c r="C3" s="131"/>
      <c r="D3" s="131"/>
      <c r="E3" s="131"/>
      <c r="F3" s="131"/>
      <c r="G3" s="132"/>
      <c r="L3" s="133" t="s">
        <v>2</v>
      </c>
      <c r="M3" s="134"/>
      <c r="N3" s="134"/>
      <c r="O3" s="134"/>
      <c r="P3" s="134"/>
      <c r="Q3" s="134"/>
      <c r="R3" s="134"/>
      <c r="S3" s="134"/>
      <c r="T3" s="134"/>
      <c r="U3" s="134"/>
      <c r="V3" s="135"/>
    </row>
    <row r="4" spans="1:22">
      <c r="B4" s="8"/>
      <c r="G4" s="11"/>
      <c r="L4" s="136" t="s">
        <v>3</v>
      </c>
      <c r="M4" s="137"/>
      <c r="N4" s="4"/>
      <c r="O4" s="138" t="s">
        <v>4</v>
      </c>
      <c r="P4" s="137"/>
      <c r="Q4" s="4"/>
      <c r="R4" s="138" t="s">
        <v>5</v>
      </c>
      <c r="S4" s="137"/>
      <c r="T4" s="4"/>
      <c r="U4" s="138" t="s">
        <v>6</v>
      </c>
      <c r="V4" s="139"/>
    </row>
    <row r="5" spans="1:22" ht="60" customHeight="1">
      <c r="B5" s="9" t="s">
        <v>3</v>
      </c>
      <c r="C5" s="5" t="s">
        <v>4</v>
      </c>
      <c r="D5" s="5" t="s">
        <v>5</v>
      </c>
      <c r="E5" s="5" t="s">
        <v>6</v>
      </c>
      <c r="F5" s="5" t="s">
        <v>7</v>
      </c>
      <c r="G5" s="12" t="s">
        <v>8</v>
      </c>
      <c r="L5" s="15" t="s">
        <v>9</v>
      </c>
      <c r="M5" s="14" t="s">
        <v>10</v>
      </c>
      <c r="N5" s="14"/>
      <c r="O5" s="14" t="s">
        <v>9</v>
      </c>
      <c r="P5" s="14" t="s">
        <v>10</v>
      </c>
      <c r="Q5" s="14"/>
      <c r="R5" s="14" t="s">
        <v>9</v>
      </c>
      <c r="S5" s="14" t="s">
        <v>10</v>
      </c>
      <c r="T5" s="14"/>
      <c r="U5" s="14" t="s">
        <v>9</v>
      </c>
      <c r="V5" s="16" t="s">
        <v>10</v>
      </c>
    </row>
    <row r="6" spans="1:22">
      <c r="A6" s="1" t="s">
        <v>11</v>
      </c>
      <c r="B6" s="29">
        <v>0</v>
      </c>
      <c r="C6" s="30">
        <v>0</v>
      </c>
      <c r="D6" s="30">
        <v>0</v>
      </c>
      <c r="E6" s="30">
        <v>0</v>
      </c>
      <c r="F6" s="30">
        <v>0</v>
      </c>
      <c r="G6" s="31">
        <f>SUM(AL_FINANCIAL)</f>
        <v>0</v>
      </c>
      <c r="H6" s="30"/>
      <c r="I6" s="30"/>
      <c r="J6" s="30"/>
      <c r="K6" s="30"/>
      <c r="L6" s="29"/>
      <c r="M6" s="30"/>
      <c r="N6" s="30"/>
      <c r="O6" s="30"/>
      <c r="P6" s="30"/>
      <c r="Q6" s="30"/>
      <c r="R6" s="30"/>
      <c r="S6" s="30"/>
      <c r="T6" s="30"/>
      <c r="U6" s="30"/>
      <c r="V6" s="31"/>
    </row>
    <row r="7" spans="1:22">
      <c r="A7" s="1" t="s">
        <v>12</v>
      </c>
      <c r="B7" s="29">
        <v>0</v>
      </c>
      <c r="C7" s="30">
        <v>0</v>
      </c>
      <c r="D7" s="30">
        <v>0</v>
      </c>
      <c r="E7" s="30">
        <v>0</v>
      </c>
      <c r="F7" s="30">
        <v>0</v>
      </c>
      <c r="G7" s="31">
        <f>SUM(AK_FINANCIAL)</f>
        <v>0</v>
      </c>
      <c r="H7" s="30"/>
      <c r="I7" s="32"/>
      <c r="J7" s="33"/>
      <c r="K7" s="30"/>
      <c r="L7" s="29"/>
      <c r="M7" s="30"/>
      <c r="N7" s="30"/>
      <c r="O7" s="30"/>
      <c r="P7" s="30"/>
      <c r="Q7" s="30"/>
      <c r="R7" s="30"/>
      <c r="S7" s="30"/>
      <c r="T7" s="30"/>
      <c r="U7" s="30"/>
      <c r="V7" s="31"/>
    </row>
    <row r="8" spans="1:22">
      <c r="A8" s="1" t="s">
        <v>13</v>
      </c>
      <c r="B8" s="29">
        <v>0</v>
      </c>
      <c r="C8" s="30">
        <v>0</v>
      </c>
      <c r="D8" s="30">
        <v>9040.2961501117825</v>
      </c>
      <c r="E8" s="30">
        <v>0</v>
      </c>
      <c r="F8" s="30">
        <v>0</v>
      </c>
      <c r="G8" s="31">
        <f>SUM(AZ_FINANCIAL)</f>
        <v>9040.2961501117825</v>
      </c>
      <c r="H8" s="30"/>
      <c r="I8" s="34" t="s">
        <v>14</v>
      </c>
      <c r="J8" s="35"/>
      <c r="K8" s="30"/>
      <c r="L8" s="29"/>
      <c r="M8" s="30"/>
      <c r="N8" s="30"/>
      <c r="O8" s="30"/>
      <c r="P8" s="30"/>
      <c r="Q8" s="30"/>
      <c r="R8" s="30"/>
      <c r="S8" s="30"/>
      <c r="T8" s="30"/>
      <c r="U8" s="30"/>
      <c r="V8" s="31"/>
    </row>
    <row r="9" spans="1:22">
      <c r="A9" s="1" t="s">
        <v>15</v>
      </c>
      <c r="B9" s="29">
        <v>0</v>
      </c>
      <c r="C9" s="30">
        <v>0</v>
      </c>
      <c r="D9" s="30">
        <v>0</v>
      </c>
      <c r="E9" s="30">
        <v>0</v>
      </c>
      <c r="F9" s="30">
        <v>0</v>
      </c>
      <c r="G9" s="31">
        <f>SUM(AR_FINANCIAL)</f>
        <v>0</v>
      </c>
      <c r="H9" s="30"/>
      <c r="I9" s="34"/>
      <c r="J9" s="35"/>
      <c r="K9" s="30"/>
      <c r="L9" s="29"/>
      <c r="M9" s="30"/>
      <c r="N9" s="30"/>
      <c r="O9" s="30"/>
      <c r="P9" s="30"/>
      <c r="Q9" s="30"/>
      <c r="R9" s="30"/>
      <c r="S9" s="30"/>
      <c r="T9" s="30"/>
      <c r="U9" s="30"/>
      <c r="V9" s="31"/>
    </row>
    <row r="10" spans="1:22">
      <c r="A10" s="1" t="s">
        <v>16</v>
      </c>
      <c r="B10" s="29">
        <v>0</v>
      </c>
      <c r="C10" s="30">
        <v>0</v>
      </c>
      <c r="D10" s="30">
        <v>11210917.853609877</v>
      </c>
      <c r="E10" s="30">
        <v>0</v>
      </c>
      <c r="F10" s="30">
        <v>0</v>
      </c>
      <c r="G10" s="31">
        <f>SUM(CA_FINANCIAL)</f>
        <v>11210917.853609877</v>
      </c>
      <c r="H10" s="30"/>
      <c r="I10" s="34" t="s">
        <v>17</v>
      </c>
      <c r="J10" s="35">
        <v>19897087.949999996</v>
      </c>
      <c r="K10" s="30"/>
      <c r="L10" s="29">
        <v>0</v>
      </c>
      <c r="M10" s="30">
        <v>0</v>
      </c>
      <c r="N10" s="30"/>
      <c r="O10" s="30">
        <v>0</v>
      </c>
      <c r="P10" s="30">
        <v>0</v>
      </c>
      <c r="Q10" s="30"/>
      <c r="R10" s="30">
        <v>11753900</v>
      </c>
      <c r="S10" s="30">
        <v>0</v>
      </c>
      <c r="T10" s="30"/>
      <c r="U10" s="30">
        <v>0</v>
      </c>
      <c r="V10" s="31">
        <v>0</v>
      </c>
    </row>
    <row r="11" spans="1:22">
      <c r="A11" s="1" t="s">
        <v>18</v>
      </c>
      <c r="B11" s="29">
        <v>0</v>
      </c>
      <c r="C11" s="30">
        <v>0</v>
      </c>
      <c r="D11" s="30">
        <v>1250845.4631506752</v>
      </c>
      <c r="E11" s="30">
        <v>0</v>
      </c>
      <c r="F11" s="30">
        <v>0</v>
      </c>
      <c r="G11" s="31">
        <f>SUM(CO_FINANCIAL)</f>
        <v>1250845.4631506752</v>
      </c>
      <c r="H11" s="30"/>
      <c r="I11" s="34"/>
      <c r="J11" s="35"/>
      <c r="K11" s="30"/>
      <c r="L11" s="29">
        <v>0</v>
      </c>
      <c r="M11" s="30">
        <v>0</v>
      </c>
      <c r="N11" s="30"/>
      <c r="O11" s="30">
        <v>0</v>
      </c>
      <c r="P11" s="30">
        <v>0</v>
      </c>
      <c r="Q11" s="30"/>
      <c r="R11" s="30">
        <v>2001994</v>
      </c>
      <c r="S11" s="30">
        <v>500000</v>
      </c>
      <c r="T11" s="30"/>
      <c r="U11" s="30">
        <v>0</v>
      </c>
      <c r="V11" s="31">
        <v>0</v>
      </c>
    </row>
    <row r="12" spans="1:22">
      <c r="A12" s="1" t="s">
        <v>19</v>
      </c>
      <c r="B12" s="29">
        <v>0</v>
      </c>
      <c r="C12" s="30">
        <v>0</v>
      </c>
      <c r="D12" s="30">
        <v>0</v>
      </c>
      <c r="E12" s="30">
        <v>0</v>
      </c>
      <c r="F12" s="30">
        <v>0</v>
      </c>
      <c r="G12" s="31">
        <f>SUM(CT_FINANCIAL)</f>
        <v>0</v>
      </c>
      <c r="H12" s="30"/>
      <c r="I12" s="34" t="s">
        <v>20</v>
      </c>
      <c r="J12" s="35"/>
      <c r="K12" s="30"/>
      <c r="L12" s="29"/>
      <c r="M12" s="30"/>
      <c r="N12" s="30"/>
      <c r="O12" s="30"/>
      <c r="P12" s="30"/>
      <c r="Q12" s="30"/>
      <c r="R12" s="30"/>
      <c r="S12" s="30"/>
      <c r="T12" s="30"/>
      <c r="U12" s="30"/>
      <c r="V12" s="31"/>
    </row>
    <row r="13" spans="1:22">
      <c r="A13" s="1" t="s">
        <v>21</v>
      </c>
      <c r="B13" s="29">
        <v>0</v>
      </c>
      <c r="C13" s="30">
        <v>0</v>
      </c>
      <c r="D13" s="30">
        <v>0</v>
      </c>
      <c r="E13" s="30">
        <v>0</v>
      </c>
      <c r="F13" s="30">
        <v>0</v>
      </c>
      <c r="G13" s="31">
        <f>SUM(DE_FINANCIAL)</f>
        <v>0</v>
      </c>
      <c r="H13" s="30"/>
      <c r="I13" s="34" t="s">
        <v>22</v>
      </c>
      <c r="J13" s="35">
        <v>19897087.949999996</v>
      </c>
      <c r="K13" s="30"/>
      <c r="L13" s="29"/>
      <c r="M13" s="30"/>
      <c r="N13" s="30"/>
      <c r="O13" s="30"/>
      <c r="P13" s="30"/>
      <c r="Q13" s="30"/>
      <c r="R13" s="30"/>
      <c r="S13" s="30"/>
      <c r="T13" s="30"/>
      <c r="U13" s="30"/>
      <c r="V13" s="31"/>
    </row>
    <row r="14" spans="1:22">
      <c r="A14" s="1" t="s">
        <v>23</v>
      </c>
      <c r="B14" s="29">
        <v>0</v>
      </c>
      <c r="C14" s="30">
        <v>0</v>
      </c>
      <c r="D14" s="30">
        <v>0</v>
      </c>
      <c r="E14" s="30">
        <v>0</v>
      </c>
      <c r="F14" s="30">
        <v>0</v>
      </c>
      <c r="G14" s="31">
        <f>SUM(DC_FINANCIAL)</f>
        <v>0</v>
      </c>
      <c r="H14" s="30"/>
      <c r="I14" s="34" t="s">
        <v>24</v>
      </c>
      <c r="J14" s="35">
        <v>434808.24000000005</v>
      </c>
      <c r="K14" s="30"/>
      <c r="L14" s="29"/>
      <c r="M14" s="30"/>
      <c r="N14" s="30"/>
      <c r="O14" s="30"/>
      <c r="P14" s="30"/>
      <c r="Q14" s="30"/>
      <c r="R14" s="30"/>
      <c r="S14" s="30"/>
      <c r="T14" s="30"/>
      <c r="U14" s="30"/>
      <c r="V14" s="31"/>
    </row>
    <row r="15" spans="1:22">
      <c r="A15" s="1" t="s">
        <v>25</v>
      </c>
      <c r="B15" s="29">
        <v>0</v>
      </c>
      <c r="C15" s="30">
        <v>0</v>
      </c>
      <c r="D15" s="30">
        <v>3040.188670327128</v>
      </c>
      <c r="E15" s="30">
        <v>0</v>
      </c>
      <c r="F15" s="30">
        <v>0</v>
      </c>
      <c r="G15" s="31">
        <f>SUM(FL_FINANCIAL)</f>
        <v>3040.188670327128</v>
      </c>
      <c r="H15" s="30"/>
      <c r="I15" s="34" t="s">
        <v>26</v>
      </c>
      <c r="J15" s="35">
        <v>1223073.9513470561</v>
      </c>
      <c r="K15" s="30"/>
      <c r="L15" s="29"/>
      <c r="M15" s="30"/>
      <c r="N15" s="30"/>
      <c r="O15" s="30"/>
      <c r="P15" s="30"/>
      <c r="Q15" s="30"/>
      <c r="R15" s="30"/>
      <c r="S15" s="30"/>
      <c r="T15" s="30"/>
      <c r="U15" s="30"/>
      <c r="V15" s="31"/>
    </row>
    <row r="16" spans="1:22">
      <c r="A16" s="1" t="s">
        <v>27</v>
      </c>
      <c r="B16" s="29">
        <v>0</v>
      </c>
      <c r="C16" s="30">
        <v>0</v>
      </c>
      <c r="D16" s="30">
        <v>0</v>
      </c>
      <c r="E16" s="30">
        <v>0</v>
      </c>
      <c r="F16" s="30">
        <v>0</v>
      </c>
      <c r="G16" s="31">
        <f>SUM(GA_FINANCIAL)</f>
        <v>0</v>
      </c>
      <c r="H16" s="30"/>
      <c r="I16" s="34" t="s">
        <v>28</v>
      </c>
      <c r="J16" s="35">
        <v>0</v>
      </c>
      <c r="K16" s="30"/>
      <c r="L16" s="29"/>
      <c r="M16" s="30"/>
      <c r="N16" s="30"/>
      <c r="O16" s="30"/>
      <c r="P16" s="30"/>
      <c r="Q16" s="30"/>
      <c r="R16" s="30"/>
      <c r="S16" s="30"/>
      <c r="T16" s="30"/>
      <c r="U16" s="30"/>
      <c r="V16" s="31"/>
    </row>
    <row r="17" spans="1:22">
      <c r="A17" s="1" t="s">
        <v>29</v>
      </c>
      <c r="B17" s="29">
        <v>0</v>
      </c>
      <c r="C17" s="30">
        <v>0</v>
      </c>
      <c r="D17" s="30">
        <v>0</v>
      </c>
      <c r="E17" s="30">
        <v>0</v>
      </c>
      <c r="F17" s="30">
        <v>0</v>
      </c>
      <c r="G17" s="31">
        <f>SUM(HI_FINANCIAL)</f>
        <v>0</v>
      </c>
      <c r="H17" s="30"/>
      <c r="I17" s="34"/>
      <c r="J17" s="35"/>
      <c r="K17" s="30"/>
      <c r="L17" s="29"/>
      <c r="M17" s="30"/>
      <c r="N17" s="30"/>
      <c r="O17" s="30"/>
      <c r="P17" s="30"/>
      <c r="Q17" s="30"/>
      <c r="R17" s="30"/>
      <c r="S17" s="30"/>
      <c r="T17" s="30"/>
      <c r="U17" s="30"/>
      <c r="V17" s="31"/>
    </row>
    <row r="18" spans="1:22">
      <c r="A18" s="1" t="s">
        <v>30</v>
      </c>
      <c r="B18" s="29">
        <v>0</v>
      </c>
      <c r="C18" s="30">
        <v>0</v>
      </c>
      <c r="D18" s="30">
        <v>1205.3433907075087</v>
      </c>
      <c r="E18" s="30">
        <v>0</v>
      </c>
      <c r="F18" s="30">
        <v>0</v>
      </c>
      <c r="G18" s="31">
        <f>SUM(ID_FINANCIAL)</f>
        <v>1205.3433907075087</v>
      </c>
      <c r="H18" s="30"/>
      <c r="I18" s="34" t="s">
        <v>31</v>
      </c>
      <c r="J18" s="35"/>
      <c r="K18" s="30"/>
      <c r="L18" s="29"/>
      <c r="M18" s="30"/>
      <c r="N18" s="30"/>
      <c r="O18" s="30"/>
      <c r="P18" s="30"/>
      <c r="Q18" s="30"/>
      <c r="R18" s="30"/>
      <c r="S18" s="30"/>
      <c r="T18" s="30"/>
      <c r="U18" s="30"/>
      <c r="V18" s="31"/>
    </row>
    <row r="19" spans="1:22">
      <c r="A19" s="1" t="s">
        <v>32</v>
      </c>
      <c r="B19" s="29">
        <v>0</v>
      </c>
      <c r="C19" s="30">
        <v>0</v>
      </c>
      <c r="D19" s="30">
        <v>12050.144362152278</v>
      </c>
      <c r="E19" s="30">
        <v>0</v>
      </c>
      <c r="F19" s="30">
        <v>0</v>
      </c>
      <c r="G19" s="31">
        <f>SUM(IL_FINANCIAL)</f>
        <v>12050.144362152278</v>
      </c>
      <c r="H19" s="30"/>
      <c r="I19" s="34" t="s">
        <v>33</v>
      </c>
      <c r="J19" s="35">
        <v>0</v>
      </c>
      <c r="K19" s="30"/>
      <c r="L19" s="29">
        <v>0</v>
      </c>
      <c r="M19" s="30">
        <v>0</v>
      </c>
      <c r="N19" s="30"/>
      <c r="O19" s="30">
        <v>0</v>
      </c>
      <c r="P19" s="30">
        <v>0</v>
      </c>
      <c r="Q19" s="30"/>
      <c r="R19" s="30">
        <v>250000</v>
      </c>
      <c r="S19" s="30">
        <v>0</v>
      </c>
      <c r="T19" s="30"/>
      <c r="U19" s="30">
        <v>0</v>
      </c>
      <c r="V19" s="31">
        <v>0</v>
      </c>
    </row>
    <row r="20" spans="1:22">
      <c r="A20" s="1" t="s">
        <v>34</v>
      </c>
      <c r="B20" s="29">
        <v>0</v>
      </c>
      <c r="C20" s="30">
        <v>0</v>
      </c>
      <c r="D20" s="30">
        <v>18846.951248013662</v>
      </c>
      <c r="E20" s="30">
        <v>0</v>
      </c>
      <c r="F20" s="30">
        <v>0</v>
      </c>
      <c r="G20" s="31">
        <f>SUM(IN_FINANCIAL)</f>
        <v>18846.951248013662</v>
      </c>
      <c r="H20" s="30"/>
      <c r="I20" s="34" t="s">
        <v>35</v>
      </c>
      <c r="J20" s="35">
        <v>19897087.949999996</v>
      </c>
      <c r="K20" s="30"/>
      <c r="L20" s="29"/>
      <c r="M20" s="30"/>
      <c r="N20" s="30"/>
      <c r="O20" s="30"/>
      <c r="P20" s="30"/>
      <c r="Q20" s="30"/>
      <c r="R20" s="30"/>
      <c r="S20" s="30"/>
      <c r="T20" s="30"/>
      <c r="U20" s="30"/>
      <c r="V20" s="31"/>
    </row>
    <row r="21" spans="1:22">
      <c r="A21" s="1" t="s">
        <v>36</v>
      </c>
      <c r="B21" s="29">
        <v>0</v>
      </c>
      <c r="C21" s="30">
        <v>0</v>
      </c>
      <c r="D21" s="30">
        <v>212.68507341355905</v>
      </c>
      <c r="E21" s="30">
        <v>0</v>
      </c>
      <c r="F21" s="30">
        <v>0</v>
      </c>
      <c r="G21" s="31">
        <f>SUM(IA_FINANCIAL)</f>
        <v>212.68507341355905</v>
      </c>
      <c r="H21" s="30"/>
      <c r="I21" s="34" t="s">
        <v>37</v>
      </c>
      <c r="J21" s="35"/>
      <c r="K21" s="30"/>
      <c r="L21" s="29"/>
      <c r="M21" s="30"/>
      <c r="N21" s="30"/>
      <c r="O21" s="30"/>
      <c r="P21" s="30"/>
      <c r="Q21" s="30"/>
      <c r="R21" s="30"/>
      <c r="S21" s="30"/>
      <c r="T21" s="30"/>
      <c r="U21" s="30"/>
      <c r="V21" s="31"/>
    </row>
    <row r="22" spans="1:22">
      <c r="A22" s="1" t="s">
        <v>38</v>
      </c>
      <c r="B22" s="29">
        <v>0</v>
      </c>
      <c r="C22" s="30">
        <v>0</v>
      </c>
      <c r="D22" s="30">
        <v>2042.9741772447269</v>
      </c>
      <c r="E22" s="30">
        <v>0</v>
      </c>
      <c r="F22" s="30">
        <v>0</v>
      </c>
      <c r="G22" s="31">
        <f>SUM(KS_FINANCIAL)</f>
        <v>2042.9741772447269</v>
      </c>
      <c r="H22" s="30"/>
      <c r="I22" s="34" t="s">
        <v>39</v>
      </c>
      <c r="J22" s="35">
        <v>0</v>
      </c>
      <c r="K22" s="30"/>
      <c r="L22" s="29"/>
      <c r="M22" s="30"/>
      <c r="N22" s="30"/>
      <c r="O22" s="30"/>
      <c r="P22" s="30"/>
      <c r="Q22" s="30"/>
      <c r="R22" s="30"/>
      <c r="S22" s="30"/>
      <c r="T22" s="30"/>
      <c r="U22" s="30"/>
      <c r="V22" s="31"/>
    </row>
    <row r="23" spans="1:22">
      <c r="A23" s="1" t="s">
        <v>40</v>
      </c>
      <c r="B23" s="29">
        <v>0</v>
      </c>
      <c r="C23" s="30">
        <v>0</v>
      </c>
      <c r="D23" s="30">
        <v>20.469636333686481</v>
      </c>
      <c r="E23" s="30">
        <v>0</v>
      </c>
      <c r="F23" s="30">
        <v>0</v>
      </c>
      <c r="G23" s="31">
        <f>SUM(KY_FINANCIAL)</f>
        <v>20.469636333686481</v>
      </c>
      <c r="H23" s="30"/>
      <c r="I23" s="34" t="s">
        <v>41</v>
      </c>
      <c r="J23" s="35"/>
      <c r="K23" s="30"/>
      <c r="L23" s="29"/>
      <c r="M23" s="30"/>
      <c r="N23" s="30"/>
      <c r="O23" s="30"/>
      <c r="P23" s="30"/>
      <c r="Q23" s="30"/>
      <c r="R23" s="30"/>
      <c r="S23" s="30"/>
      <c r="T23" s="30"/>
      <c r="U23" s="30"/>
      <c r="V23" s="31"/>
    </row>
    <row r="24" spans="1:22">
      <c r="A24" s="1" t="s">
        <v>42</v>
      </c>
      <c r="B24" s="29">
        <v>0</v>
      </c>
      <c r="C24" s="30">
        <v>0</v>
      </c>
      <c r="D24" s="30">
        <v>0</v>
      </c>
      <c r="E24" s="30">
        <v>0</v>
      </c>
      <c r="F24" s="30">
        <v>0</v>
      </c>
      <c r="G24" s="31">
        <f>SUM(LA_FINANCIAL)</f>
        <v>0</v>
      </c>
      <c r="H24" s="30"/>
      <c r="I24" s="34" t="s">
        <v>43</v>
      </c>
      <c r="J24" s="35">
        <v>9174503.4700000007</v>
      </c>
      <c r="K24" s="30"/>
      <c r="L24" s="29"/>
      <c r="M24" s="30"/>
      <c r="N24" s="30"/>
      <c r="O24" s="30"/>
      <c r="P24" s="30"/>
      <c r="Q24" s="30"/>
      <c r="R24" s="30"/>
      <c r="S24" s="30"/>
      <c r="T24" s="30"/>
      <c r="U24" s="30"/>
      <c r="V24" s="31"/>
    </row>
    <row r="25" spans="1:22">
      <c r="A25" s="1" t="s">
        <v>44</v>
      </c>
      <c r="B25" s="29">
        <v>0</v>
      </c>
      <c r="C25" s="30">
        <v>0</v>
      </c>
      <c r="D25" s="30">
        <v>0</v>
      </c>
      <c r="E25" s="30">
        <v>0</v>
      </c>
      <c r="F25" s="30">
        <v>0</v>
      </c>
      <c r="G25" s="31">
        <f>SUM(ME_FINANCIAL)</f>
        <v>0</v>
      </c>
      <c r="H25" s="30"/>
      <c r="I25" s="34"/>
      <c r="J25" s="35"/>
      <c r="K25" s="30"/>
      <c r="L25" s="29"/>
      <c r="M25" s="30"/>
      <c r="N25" s="30"/>
      <c r="O25" s="30"/>
      <c r="P25" s="30"/>
      <c r="Q25" s="30"/>
      <c r="R25" s="30"/>
      <c r="S25" s="30"/>
      <c r="T25" s="30"/>
      <c r="U25" s="30"/>
      <c r="V25" s="31"/>
    </row>
    <row r="26" spans="1:22">
      <c r="A26" s="1" t="s">
        <v>45</v>
      </c>
      <c r="B26" s="29">
        <v>0</v>
      </c>
      <c r="C26" s="30">
        <v>0</v>
      </c>
      <c r="D26" s="30">
        <v>2226.663837378167</v>
      </c>
      <c r="E26" s="30">
        <v>0</v>
      </c>
      <c r="F26" s="30">
        <v>0</v>
      </c>
      <c r="G26" s="31">
        <f>SUM(MD_FINANCIAL)</f>
        <v>2226.663837378167</v>
      </c>
      <c r="H26" s="30"/>
      <c r="I26" s="34" t="s">
        <v>46</v>
      </c>
      <c r="J26" s="35">
        <f>SUM(ADD_FINANCIAL)-SUM(LESS_FINANCIAL)</f>
        <v>12380466.671347052</v>
      </c>
      <c r="K26" s="30"/>
      <c r="L26" s="29"/>
      <c r="M26" s="30"/>
      <c r="N26" s="30"/>
      <c r="O26" s="30"/>
      <c r="P26" s="30"/>
      <c r="Q26" s="30"/>
      <c r="R26" s="30"/>
      <c r="S26" s="30"/>
      <c r="T26" s="30"/>
      <c r="U26" s="30"/>
      <c r="V26" s="31"/>
    </row>
    <row r="27" spans="1:22">
      <c r="A27" s="1" t="s">
        <v>47</v>
      </c>
      <c r="B27" s="29">
        <v>0</v>
      </c>
      <c r="C27" s="30">
        <v>0</v>
      </c>
      <c r="D27" s="30">
        <v>0</v>
      </c>
      <c r="E27" s="30">
        <v>0</v>
      </c>
      <c r="F27" s="30">
        <v>0</v>
      </c>
      <c r="G27" s="31">
        <f>SUM(MA_FINANCIAL)</f>
        <v>0</v>
      </c>
      <c r="H27" s="30"/>
      <c r="I27" s="34" t="s">
        <v>48</v>
      </c>
      <c r="J27" s="35">
        <f>SUM(ALL_BLOCKS)</f>
        <v>12380466.671347052</v>
      </c>
      <c r="K27" s="30"/>
      <c r="L27" s="29"/>
      <c r="M27" s="30"/>
      <c r="N27" s="30"/>
      <c r="O27" s="30"/>
      <c r="P27" s="30"/>
      <c r="Q27" s="30"/>
      <c r="R27" s="30"/>
      <c r="S27" s="30"/>
      <c r="T27" s="30"/>
      <c r="U27" s="30"/>
      <c r="V27" s="31"/>
    </row>
    <row r="28" spans="1:22">
      <c r="A28" s="1" t="s">
        <v>49</v>
      </c>
      <c r="B28" s="29">
        <v>0</v>
      </c>
      <c r="C28" s="30">
        <v>0</v>
      </c>
      <c r="D28" s="30">
        <v>2526.5807277804306</v>
      </c>
      <c r="E28" s="30">
        <v>0</v>
      </c>
      <c r="F28" s="30">
        <v>0</v>
      </c>
      <c r="G28" s="31">
        <f>SUM(MI_FINANCIAL)</f>
        <v>2526.5807277804306</v>
      </c>
      <c r="H28" s="30"/>
      <c r="I28" s="36"/>
      <c r="J28" s="37"/>
      <c r="K28" s="30"/>
      <c r="L28" s="29"/>
      <c r="M28" s="30"/>
      <c r="N28" s="30"/>
      <c r="O28" s="30"/>
      <c r="P28" s="30"/>
      <c r="Q28" s="30"/>
      <c r="R28" s="30"/>
      <c r="S28" s="30"/>
      <c r="T28" s="30"/>
      <c r="U28" s="30"/>
      <c r="V28" s="31"/>
    </row>
    <row r="29" spans="1:22">
      <c r="A29" s="1" t="s">
        <v>50</v>
      </c>
      <c r="B29" s="29">
        <v>0</v>
      </c>
      <c r="C29" s="30">
        <v>0</v>
      </c>
      <c r="D29" s="30">
        <v>0</v>
      </c>
      <c r="E29" s="30">
        <v>0</v>
      </c>
      <c r="F29" s="30">
        <v>0</v>
      </c>
      <c r="G29" s="31">
        <f>SUM(MN_FINANCIAL)</f>
        <v>0</v>
      </c>
      <c r="H29" s="30"/>
      <c r="I29" s="30"/>
      <c r="J29" s="30"/>
      <c r="K29" s="30"/>
      <c r="L29" s="29"/>
      <c r="M29" s="30"/>
      <c r="N29" s="30"/>
      <c r="O29" s="30"/>
      <c r="P29" s="30"/>
      <c r="Q29" s="30"/>
      <c r="R29" s="30"/>
      <c r="S29" s="30"/>
      <c r="T29" s="30"/>
      <c r="U29" s="30"/>
      <c r="V29" s="31"/>
    </row>
    <row r="30" spans="1:22">
      <c r="A30" s="1" t="s">
        <v>51</v>
      </c>
      <c r="B30" s="29">
        <v>0</v>
      </c>
      <c r="C30" s="30">
        <v>0</v>
      </c>
      <c r="D30" s="30">
        <v>0</v>
      </c>
      <c r="E30" s="30">
        <v>0</v>
      </c>
      <c r="F30" s="30">
        <v>0</v>
      </c>
      <c r="G30" s="31">
        <f>SUM(MS_FINANCIAL)</f>
        <v>0</v>
      </c>
      <c r="H30" s="30"/>
      <c r="I30" s="30"/>
      <c r="J30" s="30"/>
      <c r="K30" s="30"/>
      <c r="L30" s="29"/>
      <c r="M30" s="30"/>
      <c r="N30" s="30"/>
      <c r="O30" s="30"/>
      <c r="P30" s="30"/>
      <c r="Q30" s="30"/>
      <c r="R30" s="30"/>
      <c r="S30" s="30"/>
      <c r="T30" s="30"/>
      <c r="U30" s="30"/>
      <c r="V30" s="31"/>
    </row>
    <row r="31" spans="1:22">
      <c r="A31" s="1" t="s">
        <v>52</v>
      </c>
      <c r="B31" s="29">
        <v>0</v>
      </c>
      <c r="C31" s="30">
        <v>0</v>
      </c>
      <c r="D31" s="30">
        <v>75.045409022180991</v>
      </c>
      <c r="E31" s="30">
        <v>0</v>
      </c>
      <c r="F31" s="30">
        <v>0</v>
      </c>
      <c r="G31" s="31">
        <f>SUM(MO_FINANCIAL)</f>
        <v>75.045409022180991</v>
      </c>
      <c r="H31" s="30"/>
      <c r="I31" s="30"/>
      <c r="J31" s="30"/>
      <c r="K31" s="30"/>
      <c r="L31" s="29"/>
      <c r="M31" s="30"/>
      <c r="N31" s="30"/>
      <c r="O31" s="30"/>
      <c r="P31" s="30"/>
      <c r="Q31" s="30"/>
      <c r="R31" s="30"/>
      <c r="S31" s="30"/>
      <c r="T31" s="30"/>
      <c r="U31" s="30"/>
      <c r="V31" s="31"/>
    </row>
    <row r="32" spans="1:22">
      <c r="A32" s="1" t="s">
        <v>53</v>
      </c>
      <c r="B32" s="29">
        <v>0</v>
      </c>
      <c r="C32" s="30">
        <v>0</v>
      </c>
      <c r="D32" s="30">
        <v>0</v>
      </c>
      <c r="E32" s="30">
        <v>0</v>
      </c>
      <c r="F32" s="30">
        <v>0</v>
      </c>
      <c r="G32" s="31">
        <f>SUM(MT_FINANCIAL)</f>
        <v>0</v>
      </c>
      <c r="H32" s="30"/>
      <c r="I32" s="30"/>
      <c r="J32" s="30"/>
      <c r="K32" s="30"/>
      <c r="L32" s="29"/>
      <c r="M32" s="30"/>
      <c r="N32" s="30"/>
      <c r="O32" s="30"/>
      <c r="P32" s="30"/>
      <c r="Q32" s="30"/>
      <c r="R32" s="30"/>
      <c r="S32" s="30"/>
      <c r="T32" s="30"/>
      <c r="U32" s="30"/>
      <c r="V32" s="31"/>
    </row>
    <row r="33" spans="1:22">
      <c r="A33" s="1" t="s">
        <v>54</v>
      </c>
      <c r="B33" s="29">
        <v>0</v>
      </c>
      <c r="C33" s="30">
        <v>0</v>
      </c>
      <c r="D33" s="30">
        <v>568.19057962155603</v>
      </c>
      <c r="E33" s="30">
        <v>0</v>
      </c>
      <c r="F33" s="30">
        <v>0</v>
      </c>
      <c r="G33" s="31">
        <f>SUM(NE_FINANCIAL)</f>
        <v>568.19057962155603</v>
      </c>
      <c r="H33" s="30"/>
      <c r="I33" s="30"/>
      <c r="J33" s="30"/>
      <c r="K33" s="30"/>
      <c r="L33" s="29"/>
      <c r="M33" s="30"/>
      <c r="N33" s="30"/>
      <c r="O33" s="30"/>
      <c r="P33" s="30"/>
      <c r="Q33" s="30"/>
      <c r="R33" s="30"/>
      <c r="S33" s="30"/>
      <c r="T33" s="30"/>
      <c r="U33" s="30"/>
      <c r="V33" s="31"/>
    </row>
    <row r="34" spans="1:22">
      <c r="A34" s="1" t="s">
        <v>55</v>
      </c>
      <c r="B34" s="29">
        <v>0</v>
      </c>
      <c r="C34" s="30">
        <v>0</v>
      </c>
      <c r="D34" s="30">
        <v>6387.1948147066651</v>
      </c>
      <c r="E34" s="30">
        <v>0</v>
      </c>
      <c r="F34" s="30">
        <v>0</v>
      </c>
      <c r="G34" s="31">
        <f>SUM(NV_FINANCIAL)</f>
        <v>6387.1948147066651</v>
      </c>
      <c r="H34" s="30"/>
      <c r="I34" s="30"/>
      <c r="J34" s="30"/>
      <c r="K34" s="30"/>
      <c r="L34" s="29"/>
      <c r="M34" s="30"/>
      <c r="N34" s="30"/>
      <c r="O34" s="30"/>
      <c r="P34" s="30"/>
      <c r="Q34" s="30"/>
      <c r="R34" s="30"/>
      <c r="S34" s="30"/>
      <c r="T34" s="30"/>
      <c r="U34" s="30"/>
      <c r="V34" s="31"/>
    </row>
    <row r="35" spans="1:22">
      <c r="A35" s="1" t="s">
        <v>56</v>
      </c>
      <c r="B35" s="29">
        <v>0</v>
      </c>
      <c r="C35" s="30">
        <v>0</v>
      </c>
      <c r="D35" s="30">
        <v>0</v>
      </c>
      <c r="E35" s="30">
        <v>0</v>
      </c>
      <c r="F35" s="30">
        <v>0</v>
      </c>
      <c r="G35" s="31">
        <f>SUM(NH_FINANCIAL)</f>
        <v>0</v>
      </c>
      <c r="H35" s="30"/>
      <c r="I35" s="30"/>
      <c r="J35" s="30"/>
      <c r="K35" s="30"/>
      <c r="L35" s="29"/>
      <c r="M35" s="30"/>
      <c r="N35" s="30"/>
      <c r="O35" s="30"/>
      <c r="P35" s="30"/>
      <c r="Q35" s="30"/>
      <c r="R35" s="30"/>
      <c r="S35" s="30"/>
      <c r="T35" s="30"/>
      <c r="U35" s="30"/>
      <c r="V35" s="31"/>
    </row>
    <row r="36" spans="1:22">
      <c r="A36" s="1" t="s">
        <v>57</v>
      </c>
      <c r="B36" s="29">
        <v>0</v>
      </c>
      <c r="C36" s="30">
        <v>0</v>
      </c>
      <c r="D36" s="30">
        <v>0</v>
      </c>
      <c r="E36" s="30">
        <v>0</v>
      </c>
      <c r="F36" s="30">
        <v>0</v>
      </c>
      <c r="G36" s="31">
        <f>SUM(NJ_FINANCIAL)</f>
        <v>0</v>
      </c>
      <c r="H36" s="30"/>
      <c r="I36" s="30"/>
      <c r="J36" s="30"/>
      <c r="K36" s="30"/>
      <c r="L36" s="29"/>
      <c r="M36" s="30"/>
      <c r="N36" s="30"/>
      <c r="O36" s="30"/>
      <c r="P36" s="30"/>
      <c r="Q36" s="30"/>
      <c r="R36" s="30"/>
      <c r="S36" s="30"/>
      <c r="T36" s="30"/>
      <c r="U36" s="30"/>
      <c r="V36" s="31"/>
    </row>
    <row r="37" spans="1:22">
      <c r="A37" s="1" t="s">
        <v>58</v>
      </c>
      <c r="B37" s="29">
        <v>0</v>
      </c>
      <c r="C37" s="30">
        <v>0</v>
      </c>
      <c r="D37" s="30">
        <v>0</v>
      </c>
      <c r="E37" s="30">
        <v>0</v>
      </c>
      <c r="F37" s="30">
        <v>0</v>
      </c>
      <c r="G37" s="31">
        <f>SUM(NM_FINANCIAL)</f>
        <v>0</v>
      </c>
      <c r="H37" s="30"/>
      <c r="I37" s="30"/>
      <c r="J37" s="30"/>
      <c r="K37" s="30"/>
      <c r="L37" s="29"/>
      <c r="M37" s="30"/>
      <c r="N37" s="30"/>
      <c r="O37" s="30"/>
      <c r="P37" s="30"/>
      <c r="Q37" s="30"/>
      <c r="R37" s="30"/>
      <c r="S37" s="30"/>
      <c r="T37" s="30"/>
      <c r="U37" s="30"/>
      <c r="V37" s="31"/>
    </row>
    <row r="38" spans="1:22">
      <c r="A38" s="1" t="s">
        <v>59</v>
      </c>
      <c r="B38" s="29">
        <v>0</v>
      </c>
      <c r="C38" s="30">
        <v>0</v>
      </c>
      <c r="D38" s="30">
        <v>0</v>
      </c>
      <c r="E38" s="30">
        <v>0</v>
      </c>
      <c r="F38" s="30">
        <v>0</v>
      </c>
      <c r="G38" s="31">
        <f>SUM(NY_FINANCIAL)</f>
        <v>0</v>
      </c>
      <c r="H38" s="30"/>
      <c r="I38" s="30"/>
      <c r="J38" s="30"/>
      <c r="K38" s="30"/>
      <c r="L38" s="29"/>
      <c r="M38" s="30"/>
      <c r="N38" s="30"/>
      <c r="O38" s="30"/>
      <c r="P38" s="30"/>
      <c r="Q38" s="30"/>
      <c r="R38" s="30"/>
      <c r="S38" s="30"/>
      <c r="T38" s="30"/>
      <c r="U38" s="30"/>
      <c r="V38" s="31"/>
    </row>
    <row r="39" spans="1:22">
      <c r="A39" s="1" t="s">
        <v>60</v>
      </c>
      <c r="B39" s="29">
        <v>0</v>
      </c>
      <c r="C39" s="30">
        <v>0</v>
      </c>
      <c r="D39" s="30">
        <v>0</v>
      </c>
      <c r="E39" s="30">
        <v>0</v>
      </c>
      <c r="F39" s="30">
        <v>0</v>
      </c>
      <c r="G39" s="31">
        <f>SUM(NC_FINANCIAL)</f>
        <v>0</v>
      </c>
      <c r="H39" s="30"/>
      <c r="I39" s="30"/>
      <c r="J39" s="30"/>
      <c r="K39" s="30"/>
      <c r="L39" s="29"/>
      <c r="M39" s="30"/>
      <c r="N39" s="30"/>
      <c r="O39" s="30"/>
      <c r="P39" s="30"/>
      <c r="Q39" s="30"/>
      <c r="R39" s="30"/>
      <c r="S39" s="30"/>
      <c r="T39" s="30"/>
      <c r="U39" s="30"/>
      <c r="V39" s="31"/>
    </row>
    <row r="40" spans="1:22">
      <c r="A40" s="1" t="s">
        <v>61</v>
      </c>
      <c r="B40" s="29">
        <v>0</v>
      </c>
      <c r="C40" s="30">
        <v>0</v>
      </c>
      <c r="D40" s="30">
        <v>135.07397541639477</v>
      </c>
      <c r="E40" s="30">
        <v>0</v>
      </c>
      <c r="F40" s="30">
        <v>0</v>
      </c>
      <c r="G40" s="31">
        <f>SUM(ND_FINANCIAL)</f>
        <v>135.07397541639477</v>
      </c>
      <c r="H40" s="30"/>
      <c r="I40" s="30"/>
      <c r="J40" s="30"/>
      <c r="K40" s="30"/>
      <c r="L40" s="29"/>
      <c r="M40" s="30"/>
      <c r="N40" s="30"/>
      <c r="O40" s="30"/>
      <c r="P40" s="30"/>
      <c r="Q40" s="30"/>
      <c r="R40" s="30"/>
      <c r="S40" s="30"/>
      <c r="T40" s="30"/>
      <c r="U40" s="30"/>
      <c r="V40" s="31"/>
    </row>
    <row r="41" spans="1:22">
      <c r="A41" s="1" t="s">
        <v>62</v>
      </c>
      <c r="B41" s="29">
        <v>0</v>
      </c>
      <c r="C41" s="30">
        <v>0</v>
      </c>
      <c r="D41" s="30">
        <v>33.401041237846812</v>
      </c>
      <c r="E41" s="30">
        <v>0</v>
      </c>
      <c r="F41" s="30">
        <v>0</v>
      </c>
      <c r="G41" s="31">
        <f>SUM(OH_FINANCIAL)</f>
        <v>33.401041237846812</v>
      </c>
      <c r="H41" s="30"/>
      <c r="I41" s="30"/>
      <c r="J41" s="30"/>
      <c r="K41" s="30"/>
      <c r="L41" s="29"/>
      <c r="M41" s="30"/>
      <c r="N41" s="30"/>
      <c r="O41" s="30"/>
      <c r="P41" s="30"/>
      <c r="Q41" s="30"/>
      <c r="R41" s="30"/>
      <c r="S41" s="30"/>
      <c r="T41" s="30"/>
      <c r="U41" s="30"/>
      <c r="V41" s="31"/>
    </row>
    <row r="42" spans="1:22">
      <c r="A42" s="1" t="s">
        <v>63</v>
      </c>
      <c r="B42" s="29">
        <v>0</v>
      </c>
      <c r="C42" s="30">
        <v>0</v>
      </c>
      <c r="D42" s="30">
        <v>4329.3707464928557</v>
      </c>
      <c r="E42" s="30">
        <v>0</v>
      </c>
      <c r="F42" s="30">
        <v>0</v>
      </c>
      <c r="G42" s="31">
        <f>SUM(OK_FINANCIAL)</f>
        <v>4329.3707464928557</v>
      </c>
      <c r="H42" s="30"/>
      <c r="I42" s="30"/>
      <c r="J42" s="30"/>
      <c r="K42" s="30"/>
      <c r="L42" s="29"/>
      <c r="M42" s="30"/>
      <c r="N42" s="30"/>
      <c r="O42" s="30"/>
      <c r="P42" s="30"/>
      <c r="Q42" s="30"/>
      <c r="R42" s="30"/>
      <c r="S42" s="30"/>
      <c r="T42" s="30"/>
      <c r="U42" s="30"/>
      <c r="V42" s="31"/>
    </row>
    <row r="43" spans="1:22">
      <c r="A43" s="1" t="s">
        <v>64</v>
      </c>
      <c r="B43" s="29">
        <v>0</v>
      </c>
      <c r="C43" s="30">
        <v>0</v>
      </c>
      <c r="D43" s="30">
        <v>0</v>
      </c>
      <c r="E43" s="30">
        <v>0</v>
      </c>
      <c r="F43" s="30">
        <v>0</v>
      </c>
      <c r="G43" s="31">
        <f>SUM(OR_FINANCIAL)</f>
        <v>0</v>
      </c>
      <c r="H43" s="30"/>
      <c r="I43" s="30"/>
      <c r="J43" s="30"/>
      <c r="K43" s="30"/>
      <c r="L43" s="29"/>
      <c r="M43" s="30"/>
      <c r="N43" s="30"/>
      <c r="O43" s="30"/>
      <c r="P43" s="30"/>
      <c r="Q43" s="30"/>
      <c r="R43" s="30"/>
      <c r="S43" s="30"/>
      <c r="T43" s="30"/>
      <c r="U43" s="30"/>
      <c r="V43" s="31"/>
    </row>
    <row r="44" spans="1:22">
      <c r="A44" s="1" t="s">
        <v>65</v>
      </c>
      <c r="B44" s="29">
        <v>0</v>
      </c>
      <c r="C44" s="30">
        <v>0</v>
      </c>
      <c r="D44" s="30">
        <v>0</v>
      </c>
      <c r="E44" s="30">
        <v>0</v>
      </c>
      <c r="F44" s="30">
        <v>0</v>
      </c>
      <c r="G44" s="31">
        <f>SUM(PA_FINANCIAL)</f>
        <v>0</v>
      </c>
      <c r="H44" s="30"/>
      <c r="I44" s="30"/>
      <c r="J44" s="30"/>
      <c r="K44" s="30"/>
      <c r="L44" s="29"/>
      <c r="M44" s="30"/>
      <c r="N44" s="30"/>
      <c r="O44" s="30"/>
      <c r="P44" s="30"/>
      <c r="Q44" s="30"/>
      <c r="R44" s="30"/>
      <c r="S44" s="30"/>
      <c r="T44" s="30"/>
      <c r="U44" s="30"/>
      <c r="V44" s="31"/>
    </row>
    <row r="45" spans="1:22">
      <c r="A45" s="1" t="s">
        <v>66</v>
      </c>
      <c r="B45" s="29">
        <v>0</v>
      </c>
      <c r="C45" s="30">
        <v>0</v>
      </c>
      <c r="D45" s="30">
        <v>0</v>
      </c>
      <c r="E45" s="30">
        <v>0</v>
      </c>
      <c r="F45" s="30">
        <v>0</v>
      </c>
      <c r="G45" s="31">
        <f>SUM(PR_FINANCIAL)</f>
        <v>0</v>
      </c>
      <c r="H45" s="30"/>
      <c r="I45" s="30"/>
      <c r="J45" s="30"/>
      <c r="K45" s="30"/>
      <c r="L45" s="29"/>
      <c r="M45" s="30"/>
      <c r="N45" s="30"/>
      <c r="O45" s="30"/>
      <c r="P45" s="30"/>
      <c r="Q45" s="30"/>
      <c r="R45" s="30"/>
      <c r="S45" s="30"/>
      <c r="T45" s="30"/>
      <c r="U45" s="30"/>
      <c r="V45" s="31"/>
    </row>
    <row r="46" spans="1:22">
      <c r="A46" s="1" t="s">
        <v>67</v>
      </c>
      <c r="B46" s="29">
        <v>0</v>
      </c>
      <c r="C46" s="30">
        <v>0</v>
      </c>
      <c r="D46" s="30">
        <v>0</v>
      </c>
      <c r="E46" s="30">
        <v>0</v>
      </c>
      <c r="F46" s="30">
        <v>0</v>
      </c>
      <c r="G46" s="31">
        <f>SUM(RI_FINANCIAL)</f>
        <v>0</v>
      </c>
      <c r="H46" s="30"/>
      <c r="I46" s="30"/>
      <c r="J46" s="30"/>
      <c r="K46" s="30"/>
      <c r="L46" s="29"/>
      <c r="M46" s="30"/>
      <c r="N46" s="30"/>
      <c r="O46" s="30"/>
      <c r="P46" s="30"/>
      <c r="Q46" s="30"/>
      <c r="R46" s="30"/>
      <c r="S46" s="30"/>
      <c r="T46" s="30"/>
      <c r="U46" s="30"/>
      <c r="V46" s="31"/>
    </row>
    <row r="47" spans="1:22">
      <c r="A47" s="1" t="s">
        <v>68</v>
      </c>
      <c r="B47" s="29">
        <v>0</v>
      </c>
      <c r="C47" s="30">
        <v>0</v>
      </c>
      <c r="D47" s="30">
        <v>0</v>
      </c>
      <c r="E47" s="30">
        <v>0</v>
      </c>
      <c r="F47" s="30">
        <v>0</v>
      </c>
      <c r="G47" s="31">
        <f>SUM(SC_FINANCIAL)</f>
        <v>0</v>
      </c>
      <c r="H47" s="30"/>
      <c r="I47" s="30"/>
      <c r="J47" s="30"/>
      <c r="K47" s="30"/>
      <c r="L47" s="29"/>
      <c r="M47" s="30"/>
      <c r="N47" s="30"/>
      <c r="O47" s="30"/>
      <c r="P47" s="30"/>
      <c r="Q47" s="30"/>
      <c r="R47" s="30"/>
      <c r="S47" s="30"/>
      <c r="T47" s="30"/>
      <c r="U47" s="30"/>
      <c r="V47" s="31"/>
    </row>
    <row r="48" spans="1:22">
      <c r="A48" s="1" t="s">
        <v>69</v>
      </c>
      <c r="B48" s="29">
        <v>0</v>
      </c>
      <c r="C48" s="30">
        <v>0</v>
      </c>
      <c r="D48" s="30">
        <v>5.6843418860808015E-14</v>
      </c>
      <c r="E48" s="30">
        <v>0</v>
      </c>
      <c r="F48" s="30">
        <v>0</v>
      </c>
      <c r="G48" s="31">
        <f>SUM(SD_FINANCIAL)</f>
        <v>5.6843418860808015E-14</v>
      </c>
      <c r="H48" s="30"/>
      <c r="I48" s="30"/>
      <c r="J48" s="30"/>
      <c r="K48" s="30"/>
      <c r="L48" s="29"/>
      <c r="M48" s="30"/>
      <c r="N48" s="30"/>
      <c r="O48" s="30"/>
      <c r="P48" s="30"/>
      <c r="Q48" s="30"/>
      <c r="R48" s="30"/>
      <c r="S48" s="30"/>
      <c r="T48" s="30"/>
      <c r="U48" s="30"/>
      <c r="V48" s="31"/>
    </row>
    <row r="49" spans="1:22">
      <c r="A49" s="1" t="s">
        <v>70</v>
      </c>
      <c r="B49" s="29">
        <v>0</v>
      </c>
      <c r="C49" s="30">
        <v>0</v>
      </c>
      <c r="D49" s="30">
        <v>706.45911392992321</v>
      </c>
      <c r="E49" s="30">
        <v>0</v>
      </c>
      <c r="F49" s="30">
        <v>0</v>
      </c>
      <c r="G49" s="31">
        <f>SUM(TN_FINANCIAL)</f>
        <v>706.45911392992321</v>
      </c>
      <c r="H49" s="30"/>
      <c r="I49" s="30"/>
      <c r="J49" s="30"/>
      <c r="K49" s="30"/>
      <c r="L49" s="29"/>
      <c r="M49" s="30"/>
      <c r="N49" s="30"/>
      <c r="O49" s="30"/>
      <c r="P49" s="30"/>
      <c r="Q49" s="30"/>
      <c r="R49" s="30"/>
      <c r="S49" s="30"/>
      <c r="T49" s="30"/>
      <c r="U49" s="30"/>
      <c r="V49" s="31"/>
    </row>
    <row r="50" spans="1:22">
      <c r="A50" s="1" t="s">
        <v>71</v>
      </c>
      <c r="B50" s="29">
        <v>0</v>
      </c>
      <c r="C50" s="30">
        <v>0</v>
      </c>
      <c r="D50" s="30">
        <v>0</v>
      </c>
      <c r="E50" s="30">
        <v>0</v>
      </c>
      <c r="F50" s="30">
        <v>0</v>
      </c>
      <c r="G50" s="31">
        <f>SUM(TX_FINANCIAL)</f>
        <v>0</v>
      </c>
      <c r="H50" s="30"/>
      <c r="I50" s="30"/>
      <c r="J50" s="30"/>
      <c r="K50" s="30"/>
      <c r="L50" s="29"/>
      <c r="M50" s="30"/>
      <c r="N50" s="30"/>
      <c r="O50" s="30"/>
      <c r="P50" s="30"/>
      <c r="Q50" s="30"/>
      <c r="R50" s="30"/>
      <c r="S50" s="30"/>
      <c r="T50" s="30"/>
      <c r="U50" s="30"/>
      <c r="V50" s="31"/>
    </row>
    <row r="51" spans="1:22">
      <c r="A51" s="1" t="s">
        <v>72</v>
      </c>
      <c r="B51" s="29">
        <v>0</v>
      </c>
      <c r="C51" s="30">
        <v>0</v>
      </c>
      <c r="D51" s="30">
        <v>0</v>
      </c>
      <c r="E51" s="30">
        <v>0</v>
      </c>
      <c r="F51" s="30">
        <v>0</v>
      </c>
      <c r="G51" s="31">
        <f>SUM(UT_FINANCIAL)</f>
        <v>0</v>
      </c>
      <c r="H51" s="30"/>
      <c r="I51" s="30"/>
      <c r="J51" s="30"/>
      <c r="K51" s="30"/>
      <c r="L51" s="29"/>
      <c r="M51" s="30"/>
      <c r="N51" s="30"/>
      <c r="O51" s="30"/>
      <c r="P51" s="30"/>
      <c r="Q51" s="30"/>
      <c r="R51" s="30"/>
      <c r="S51" s="30"/>
      <c r="T51" s="30"/>
      <c r="U51" s="30"/>
      <c r="V51" s="31"/>
    </row>
    <row r="52" spans="1:22">
      <c r="A52" s="1" t="s">
        <v>73</v>
      </c>
      <c r="B52" s="29">
        <v>0</v>
      </c>
      <c r="C52" s="30">
        <v>0</v>
      </c>
      <c r="D52" s="30">
        <v>0</v>
      </c>
      <c r="E52" s="30">
        <v>0</v>
      </c>
      <c r="F52" s="30">
        <v>0</v>
      </c>
      <c r="G52" s="31">
        <f>SUM(VT_FINANCIAL)</f>
        <v>0</v>
      </c>
      <c r="H52" s="30"/>
      <c r="I52" s="30"/>
      <c r="J52" s="30"/>
      <c r="K52" s="30"/>
      <c r="L52" s="29"/>
      <c r="M52" s="30"/>
      <c r="N52" s="30"/>
      <c r="O52" s="30"/>
      <c r="P52" s="30"/>
      <c r="Q52" s="30"/>
      <c r="R52" s="30"/>
      <c r="S52" s="30"/>
      <c r="T52" s="30"/>
      <c r="U52" s="30"/>
      <c r="V52" s="31"/>
    </row>
    <row r="53" spans="1:22">
      <c r="A53" s="1" t="s">
        <v>74</v>
      </c>
      <c r="B53" s="29">
        <v>0</v>
      </c>
      <c r="C53" s="30">
        <v>0</v>
      </c>
      <c r="D53" s="30">
        <v>-203273.48683528221</v>
      </c>
      <c r="E53" s="30">
        <v>0</v>
      </c>
      <c r="F53" s="30">
        <v>0</v>
      </c>
      <c r="G53" s="31">
        <f>SUM(VA_FINANCIAL)</f>
        <v>-203273.48683528221</v>
      </c>
      <c r="H53" s="30"/>
      <c r="I53" s="30"/>
      <c r="J53" s="30"/>
      <c r="K53" s="30"/>
      <c r="L53" s="29"/>
      <c r="M53" s="30"/>
      <c r="N53" s="30"/>
      <c r="O53" s="30"/>
      <c r="P53" s="30"/>
      <c r="Q53" s="30"/>
      <c r="R53" s="30"/>
      <c r="S53" s="30"/>
      <c r="T53" s="30"/>
      <c r="U53" s="30"/>
      <c r="V53" s="31"/>
    </row>
    <row r="54" spans="1:22">
      <c r="A54" s="1" t="s">
        <v>75</v>
      </c>
      <c r="B54" s="29">
        <v>0</v>
      </c>
      <c r="C54" s="30">
        <v>0</v>
      </c>
      <c r="D54" s="30">
        <v>0</v>
      </c>
      <c r="E54" s="30">
        <v>0</v>
      </c>
      <c r="F54" s="30">
        <v>0</v>
      </c>
      <c r="G54" s="31">
        <f>SUM(WA_FINANCIAL)</f>
        <v>0</v>
      </c>
      <c r="H54" s="30"/>
      <c r="I54" s="30"/>
      <c r="J54" s="30"/>
      <c r="K54" s="30"/>
      <c r="L54" s="29"/>
      <c r="M54" s="30"/>
      <c r="N54" s="30"/>
      <c r="O54" s="30"/>
      <c r="P54" s="30"/>
      <c r="Q54" s="30"/>
      <c r="R54" s="30"/>
      <c r="S54" s="30"/>
      <c r="T54" s="30"/>
      <c r="U54" s="30"/>
      <c r="V54" s="31"/>
    </row>
    <row r="55" spans="1:22">
      <c r="A55" s="1" t="s">
        <v>76</v>
      </c>
      <c r="B55" s="29">
        <v>0</v>
      </c>
      <c r="C55" s="30">
        <v>0</v>
      </c>
      <c r="D55" s="30">
        <v>0</v>
      </c>
      <c r="E55" s="30">
        <v>0</v>
      </c>
      <c r="F55" s="30">
        <v>0</v>
      </c>
      <c r="G55" s="31">
        <f>SUM(WV_FINANCIAL)</f>
        <v>0</v>
      </c>
      <c r="H55" s="30"/>
      <c r="I55" s="30"/>
      <c r="J55" s="30"/>
      <c r="K55" s="30"/>
      <c r="L55" s="29"/>
      <c r="M55" s="30"/>
      <c r="N55" s="30"/>
      <c r="O55" s="30"/>
      <c r="P55" s="30"/>
      <c r="Q55" s="30"/>
      <c r="R55" s="30"/>
      <c r="S55" s="30"/>
      <c r="T55" s="30"/>
      <c r="U55" s="30"/>
      <c r="V55" s="31"/>
    </row>
    <row r="56" spans="1:22">
      <c r="A56" s="1" t="s">
        <v>77</v>
      </c>
      <c r="B56" s="29">
        <v>0</v>
      </c>
      <c r="C56" s="30">
        <v>0</v>
      </c>
      <c r="D56" s="30">
        <v>58529.808467893425</v>
      </c>
      <c r="E56" s="30">
        <v>0</v>
      </c>
      <c r="F56" s="30">
        <v>0</v>
      </c>
      <c r="G56" s="31">
        <f>SUM(WI_FINANCIAL)</f>
        <v>58529.808467893425</v>
      </c>
      <c r="H56" s="30"/>
      <c r="I56" s="30"/>
      <c r="J56" s="30"/>
      <c r="K56" s="30"/>
      <c r="L56" s="29"/>
      <c r="M56" s="30"/>
      <c r="N56" s="30"/>
      <c r="O56" s="30"/>
      <c r="P56" s="30"/>
      <c r="Q56" s="30"/>
      <c r="R56" s="30"/>
      <c r="S56" s="30"/>
      <c r="T56" s="30"/>
      <c r="U56" s="30"/>
      <c r="V56" s="31"/>
    </row>
    <row r="57" spans="1:22">
      <c r="A57" s="1" t="s">
        <v>78</v>
      </c>
      <c r="B57" s="29">
        <v>0</v>
      </c>
      <c r="C57" s="30">
        <v>0</v>
      </c>
      <c r="D57" s="30">
        <v>0</v>
      </c>
      <c r="E57" s="30">
        <v>0</v>
      </c>
      <c r="F57" s="30">
        <v>0</v>
      </c>
      <c r="G57" s="31">
        <f>SUM(WY_FINANCIAL)</f>
        <v>0</v>
      </c>
      <c r="H57" s="30"/>
      <c r="I57" s="30"/>
      <c r="J57" s="30"/>
      <c r="K57" s="30"/>
      <c r="L57" s="29"/>
      <c r="M57" s="30"/>
      <c r="N57" s="30"/>
      <c r="O57" s="30"/>
      <c r="P57" s="30"/>
      <c r="Q57" s="30"/>
      <c r="R57" s="30"/>
      <c r="S57" s="30"/>
      <c r="T57" s="30"/>
      <c r="U57" s="30"/>
      <c r="V57" s="31"/>
    </row>
    <row r="58" spans="1:22">
      <c r="A58" s="1" t="s">
        <v>79</v>
      </c>
      <c r="B58" s="29">
        <v>0</v>
      </c>
      <c r="C58" s="30">
        <v>0</v>
      </c>
      <c r="D58" s="30">
        <v>0</v>
      </c>
      <c r="E58" s="30">
        <v>0</v>
      </c>
      <c r="F58" s="30">
        <v>0</v>
      </c>
      <c r="G58" s="31">
        <f>SUM(OT_FINANCIAL)</f>
        <v>0</v>
      </c>
      <c r="H58" s="30"/>
      <c r="I58" s="30"/>
      <c r="J58" s="30"/>
      <c r="K58" s="30"/>
      <c r="L58" s="29"/>
      <c r="M58" s="30"/>
      <c r="N58" s="30"/>
      <c r="O58" s="30"/>
      <c r="P58" s="30"/>
      <c r="Q58" s="30"/>
      <c r="R58" s="30"/>
      <c r="S58" s="30"/>
      <c r="T58" s="30"/>
      <c r="U58" s="30"/>
      <c r="V58" s="31"/>
    </row>
    <row r="59" spans="1:22">
      <c r="B59" s="29"/>
      <c r="C59" s="30"/>
      <c r="D59" s="30"/>
      <c r="E59" s="30"/>
      <c r="F59" s="30"/>
      <c r="G59" s="31"/>
      <c r="H59" s="30"/>
      <c r="I59" s="30"/>
      <c r="J59" s="30"/>
      <c r="K59" s="30"/>
      <c r="L59" s="29"/>
      <c r="M59" s="30"/>
      <c r="N59" s="30"/>
      <c r="O59" s="30"/>
      <c r="P59" s="30"/>
      <c r="Q59" s="30"/>
      <c r="R59" s="30"/>
      <c r="S59" s="30"/>
      <c r="T59" s="30"/>
      <c r="U59" s="30"/>
      <c r="V59" s="31"/>
    </row>
    <row r="60" spans="1:22">
      <c r="A60" s="1" t="s">
        <v>8</v>
      </c>
      <c r="B60" s="29">
        <f>SUM(LIFE)</f>
        <v>0</v>
      </c>
      <c r="C60" s="30">
        <f>SUM(ALLOCATED)</f>
        <v>0</v>
      </c>
      <c r="D60" s="30">
        <f>SUM(HEALTH)</f>
        <v>12380466.671347052</v>
      </c>
      <c r="E60" s="30">
        <f>SUM(UNALLOCATED)</f>
        <v>0</v>
      </c>
      <c r="F60" s="30">
        <f>SUM(LTC)</f>
        <v>0</v>
      </c>
      <c r="G60" s="31">
        <f>SUM(ALL_BLOCKS)</f>
        <v>12380466.671347052</v>
      </c>
      <c r="H60" s="30"/>
      <c r="I60" s="30"/>
      <c r="J60" s="30"/>
      <c r="K60" s="30"/>
      <c r="L60" s="29">
        <f>SUM(LIFE_CALLED)</f>
        <v>0</v>
      </c>
      <c r="M60" s="30">
        <f>SUM(LIFE_REFUNDED)</f>
        <v>0</v>
      </c>
      <c r="N60" s="30"/>
      <c r="O60" s="30">
        <f>SUM(ALLOC_CALLED)</f>
        <v>0</v>
      </c>
      <c r="P60" s="30">
        <f>SUM(ALLOC_REFUNDED)</f>
        <v>0</v>
      </c>
      <c r="Q60" s="30"/>
      <c r="R60" s="30">
        <f>SUM(HEALTH_CALLED)</f>
        <v>14005894</v>
      </c>
      <c r="S60" s="30">
        <f>SUM(HEALTH_REFUNDED)</f>
        <v>500000</v>
      </c>
      <c r="T60" s="30"/>
      <c r="U60" s="30">
        <f>SUM(UNALLOC_CALLED)</f>
        <v>0</v>
      </c>
      <c r="V60" s="31">
        <f>SUM(UNALLOC_REFUNDED)</f>
        <v>0</v>
      </c>
    </row>
    <row r="61" spans="1:22" ht="5.0999999999999996" customHeight="1">
      <c r="B61" s="8"/>
      <c r="G61" s="11"/>
      <c r="L61" s="8"/>
      <c r="V61" s="11"/>
    </row>
    <row r="62" spans="1:22">
      <c r="B62" s="8"/>
      <c r="G62" s="11"/>
      <c r="L62" s="122" t="s">
        <v>80</v>
      </c>
      <c r="M62" s="123"/>
      <c r="N62" s="123"/>
      <c r="O62" s="123"/>
      <c r="P62" s="123"/>
      <c r="Q62" s="123"/>
      <c r="R62" s="123"/>
      <c r="S62" s="123"/>
      <c r="T62" s="123"/>
      <c r="U62" s="123"/>
      <c r="V62" s="124"/>
    </row>
    <row r="63" spans="1:22">
      <c r="B63" s="8"/>
      <c r="G63" s="11"/>
      <c r="L63" s="125"/>
      <c r="M63" s="123"/>
      <c r="N63" s="123"/>
      <c r="O63" s="123"/>
      <c r="P63" s="123"/>
      <c r="Q63" s="123"/>
      <c r="R63" s="123"/>
      <c r="S63" s="123"/>
      <c r="T63" s="123"/>
      <c r="U63" s="123"/>
      <c r="V63" s="124"/>
    </row>
    <row r="64" spans="1:22">
      <c r="B64" s="10"/>
      <c r="C64" s="7"/>
      <c r="D64" s="7"/>
      <c r="E64" s="7"/>
      <c r="F64" s="7"/>
      <c r="G64" s="13"/>
      <c r="L64" s="126"/>
      <c r="M64" s="127"/>
      <c r="N64" s="127"/>
      <c r="O64" s="127"/>
      <c r="P64" s="127"/>
      <c r="Q64" s="127"/>
      <c r="R64" s="127"/>
      <c r="S64" s="127"/>
      <c r="T64" s="127"/>
      <c r="U64" s="127"/>
      <c r="V64" s="128"/>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pageSetUpPr fitToPage="1"/>
  </sheetPr>
  <dimension ref="A1:V64"/>
  <sheetViews>
    <sheetView zoomScale="75" workbookViewId="0">
      <selection sqref="A1:XFD1048576"/>
    </sheetView>
  </sheetViews>
  <sheetFormatPr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129" t="s">
        <v>156</v>
      </c>
      <c r="B1" s="123"/>
      <c r="C1" s="123"/>
      <c r="D1" s="123"/>
      <c r="E1" s="123"/>
      <c r="F1" s="123"/>
      <c r="G1" s="123"/>
    </row>
    <row r="3" spans="1:22">
      <c r="B3" s="130" t="s">
        <v>1</v>
      </c>
      <c r="C3" s="131"/>
      <c r="D3" s="131"/>
      <c r="E3" s="131"/>
      <c r="F3" s="131"/>
      <c r="G3" s="132"/>
      <c r="L3" s="133" t="s">
        <v>2</v>
      </c>
      <c r="M3" s="134"/>
      <c r="N3" s="134"/>
      <c r="O3" s="134"/>
      <c r="P3" s="134"/>
      <c r="Q3" s="134"/>
      <c r="R3" s="134"/>
      <c r="S3" s="134"/>
      <c r="T3" s="134"/>
      <c r="U3" s="134"/>
      <c r="V3" s="135"/>
    </row>
    <row r="4" spans="1:22">
      <c r="B4" s="8"/>
      <c r="G4" s="11"/>
      <c r="L4" s="136" t="s">
        <v>3</v>
      </c>
      <c r="M4" s="137"/>
      <c r="N4" s="4"/>
      <c r="O4" s="138" t="s">
        <v>4</v>
      </c>
      <c r="P4" s="137"/>
      <c r="Q4" s="4"/>
      <c r="R4" s="138" t="s">
        <v>5</v>
      </c>
      <c r="S4" s="137"/>
      <c r="T4" s="4"/>
      <c r="U4" s="138" t="s">
        <v>6</v>
      </c>
      <c r="V4" s="139"/>
    </row>
    <row r="5" spans="1:22" ht="60" customHeight="1">
      <c r="B5" s="9" t="s">
        <v>3</v>
      </c>
      <c r="C5" s="5" t="s">
        <v>4</v>
      </c>
      <c r="D5" s="5" t="s">
        <v>5</v>
      </c>
      <c r="E5" s="5" t="s">
        <v>6</v>
      </c>
      <c r="F5" s="5" t="s">
        <v>7</v>
      </c>
      <c r="G5" s="12" t="s">
        <v>8</v>
      </c>
      <c r="L5" s="15" t="s">
        <v>9</v>
      </c>
      <c r="M5" s="14" t="s">
        <v>10</v>
      </c>
      <c r="N5" s="14"/>
      <c r="O5" s="14" t="s">
        <v>9</v>
      </c>
      <c r="P5" s="14" t="s">
        <v>10</v>
      </c>
      <c r="Q5" s="14"/>
      <c r="R5" s="14" t="s">
        <v>9</v>
      </c>
      <c r="S5" s="14" t="s">
        <v>10</v>
      </c>
      <c r="T5" s="14"/>
      <c r="U5" s="14" t="s">
        <v>9</v>
      </c>
      <c r="V5" s="16" t="s">
        <v>10</v>
      </c>
    </row>
    <row r="6" spans="1:22">
      <c r="A6" s="1" t="s">
        <v>11</v>
      </c>
      <c r="B6" s="29">
        <v>0</v>
      </c>
      <c r="C6" s="30">
        <v>0</v>
      </c>
      <c r="D6" s="30">
        <v>149259.25893415976</v>
      </c>
      <c r="E6" s="30">
        <v>0</v>
      </c>
      <c r="F6" s="30">
        <v>0</v>
      </c>
      <c r="G6" s="31">
        <f>SUM(AL_FINANCIAL)</f>
        <v>149259.25893415976</v>
      </c>
      <c r="H6" s="30"/>
      <c r="I6" s="30"/>
      <c r="J6" s="30"/>
      <c r="K6" s="30"/>
      <c r="L6" s="29"/>
      <c r="M6" s="30"/>
      <c r="N6" s="30"/>
      <c r="O6" s="30"/>
      <c r="P6" s="30"/>
      <c r="Q6" s="30"/>
      <c r="R6" s="30"/>
      <c r="S6" s="30"/>
      <c r="T6" s="30"/>
      <c r="U6" s="30"/>
      <c r="V6" s="31"/>
    </row>
    <row r="7" spans="1:22">
      <c r="A7" s="1" t="s">
        <v>12</v>
      </c>
      <c r="B7" s="29">
        <v>0</v>
      </c>
      <c r="C7" s="30">
        <v>0</v>
      </c>
      <c r="D7" s="30">
        <v>0</v>
      </c>
      <c r="E7" s="30">
        <v>0</v>
      </c>
      <c r="F7" s="30">
        <v>0</v>
      </c>
      <c r="G7" s="31">
        <f>SUM(AK_FINANCIAL)</f>
        <v>0</v>
      </c>
      <c r="H7" s="30"/>
      <c r="I7" s="32"/>
      <c r="J7" s="33"/>
      <c r="K7" s="30"/>
      <c r="L7" s="29"/>
      <c r="M7" s="30"/>
      <c r="N7" s="30"/>
      <c r="O7" s="30"/>
      <c r="P7" s="30"/>
      <c r="Q7" s="30"/>
      <c r="R7" s="30"/>
      <c r="S7" s="30"/>
      <c r="T7" s="30"/>
      <c r="U7" s="30"/>
      <c r="V7" s="31"/>
    </row>
    <row r="8" spans="1:22">
      <c r="A8" s="1" t="s">
        <v>13</v>
      </c>
      <c r="B8" s="29">
        <v>0</v>
      </c>
      <c r="C8" s="30">
        <v>0</v>
      </c>
      <c r="D8" s="30">
        <v>1018.242627063695</v>
      </c>
      <c r="E8" s="30">
        <v>0</v>
      </c>
      <c r="F8" s="30">
        <v>2575103.9057906424</v>
      </c>
      <c r="G8" s="31">
        <f>SUM(AZ_FINANCIAL)</f>
        <v>2576122.1484177061</v>
      </c>
      <c r="H8" s="30"/>
      <c r="I8" s="34" t="s">
        <v>14</v>
      </c>
      <c r="J8" s="35"/>
      <c r="K8" s="30"/>
      <c r="L8" s="29"/>
      <c r="M8" s="30"/>
      <c r="N8" s="30"/>
      <c r="O8" s="30"/>
      <c r="P8" s="30"/>
      <c r="Q8" s="30"/>
      <c r="R8" s="30"/>
      <c r="S8" s="30"/>
      <c r="T8" s="30"/>
      <c r="U8" s="30"/>
      <c r="V8" s="31"/>
    </row>
    <row r="9" spans="1:22">
      <c r="A9" s="1" t="s">
        <v>15</v>
      </c>
      <c r="B9" s="29">
        <v>0</v>
      </c>
      <c r="C9" s="30">
        <v>0</v>
      </c>
      <c r="D9" s="30">
        <v>0</v>
      </c>
      <c r="E9" s="30">
        <v>0</v>
      </c>
      <c r="F9" s="30">
        <v>0</v>
      </c>
      <c r="G9" s="31">
        <f>SUM(AR_FINANCIAL)</f>
        <v>0</v>
      </c>
      <c r="H9" s="30"/>
      <c r="I9" s="34"/>
      <c r="J9" s="35"/>
      <c r="K9" s="30"/>
      <c r="L9" s="29"/>
      <c r="M9" s="30"/>
      <c r="N9" s="30"/>
      <c r="O9" s="30"/>
      <c r="P9" s="30"/>
      <c r="Q9" s="30"/>
      <c r="R9" s="30"/>
      <c r="S9" s="30"/>
      <c r="T9" s="30"/>
      <c r="U9" s="30"/>
      <c r="V9" s="31"/>
    </row>
    <row r="10" spans="1:22">
      <c r="A10" s="1" t="s">
        <v>16</v>
      </c>
      <c r="B10" s="29">
        <v>0</v>
      </c>
      <c r="C10" s="30">
        <v>0</v>
      </c>
      <c r="D10" s="30">
        <v>0</v>
      </c>
      <c r="E10" s="30">
        <v>0</v>
      </c>
      <c r="F10" s="30">
        <v>0</v>
      </c>
      <c r="G10" s="31">
        <f>SUM(CA_FINANCIAL)</f>
        <v>0</v>
      </c>
      <c r="H10" s="30"/>
      <c r="I10" s="34" t="s">
        <v>17</v>
      </c>
      <c r="J10" s="35">
        <v>26993940</v>
      </c>
      <c r="K10" s="30"/>
      <c r="L10" s="29"/>
      <c r="M10" s="30"/>
      <c r="N10" s="30"/>
      <c r="O10" s="30"/>
      <c r="P10" s="30"/>
      <c r="Q10" s="30"/>
      <c r="R10" s="30"/>
      <c r="S10" s="30"/>
      <c r="T10" s="30"/>
      <c r="U10" s="30"/>
      <c r="V10" s="31"/>
    </row>
    <row r="11" spans="1:22">
      <c r="A11" s="1" t="s">
        <v>18</v>
      </c>
      <c r="B11" s="29">
        <v>0</v>
      </c>
      <c r="C11" s="30">
        <v>0</v>
      </c>
      <c r="D11" s="30">
        <v>291072.91918735742</v>
      </c>
      <c r="E11" s="30">
        <v>0</v>
      </c>
      <c r="F11" s="30">
        <v>0</v>
      </c>
      <c r="G11" s="31">
        <f>SUM(CO_FINANCIAL)</f>
        <v>291072.91918735742</v>
      </c>
      <c r="H11" s="30"/>
      <c r="I11" s="34"/>
      <c r="J11" s="35"/>
      <c r="K11" s="30"/>
      <c r="L11" s="29"/>
      <c r="M11" s="30"/>
      <c r="N11" s="30"/>
      <c r="O11" s="30"/>
      <c r="P11" s="30"/>
      <c r="Q11" s="30"/>
      <c r="R11" s="30"/>
      <c r="S11" s="30"/>
      <c r="T11" s="30"/>
      <c r="U11" s="30"/>
      <c r="V11" s="31"/>
    </row>
    <row r="12" spans="1:22">
      <c r="A12" s="1" t="s">
        <v>19</v>
      </c>
      <c r="B12" s="29">
        <v>0</v>
      </c>
      <c r="C12" s="30">
        <v>0</v>
      </c>
      <c r="D12" s="30">
        <v>0</v>
      </c>
      <c r="E12" s="30">
        <v>0</v>
      </c>
      <c r="F12" s="30">
        <v>0</v>
      </c>
      <c r="G12" s="31">
        <f>SUM(CT_FINANCIAL)</f>
        <v>0</v>
      </c>
      <c r="H12" s="30"/>
      <c r="I12" s="34" t="s">
        <v>20</v>
      </c>
      <c r="J12" s="35"/>
      <c r="K12" s="30"/>
      <c r="L12" s="29"/>
      <c r="M12" s="30"/>
      <c r="N12" s="30"/>
      <c r="O12" s="30"/>
      <c r="P12" s="30"/>
      <c r="Q12" s="30"/>
      <c r="R12" s="30"/>
      <c r="S12" s="30"/>
      <c r="T12" s="30"/>
      <c r="U12" s="30"/>
      <c r="V12" s="31"/>
    </row>
    <row r="13" spans="1:22">
      <c r="A13" s="1" t="s">
        <v>21</v>
      </c>
      <c r="B13" s="29">
        <v>0</v>
      </c>
      <c r="C13" s="30">
        <v>0</v>
      </c>
      <c r="D13" s="30">
        <v>0</v>
      </c>
      <c r="E13" s="30">
        <v>0</v>
      </c>
      <c r="F13" s="30">
        <v>0</v>
      </c>
      <c r="G13" s="31">
        <f>SUM(DE_FINANCIAL)</f>
        <v>0</v>
      </c>
      <c r="H13" s="30"/>
      <c r="I13" s="34" t="s">
        <v>22</v>
      </c>
      <c r="J13" s="35">
        <v>5641742.4670000002</v>
      </c>
      <c r="K13" s="30"/>
      <c r="L13" s="29"/>
      <c r="M13" s="30"/>
      <c r="N13" s="30"/>
      <c r="O13" s="30"/>
      <c r="P13" s="30"/>
      <c r="Q13" s="30"/>
      <c r="R13" s="30"/>
      <c r="S13" s="30"/>
      <c r="T13" s="30"/>
      <c r="U13" s="30"/>
      <c r="V13" s="31"/>
    </row>
    <row r="14" spans="1:22">
      <c r="A14" s="1" t="s">
        <v>23</v>
      </c>
      <c r="B14" s="29">
        <v>0</v>
      </c>
      <c r="C14" s="30">
        <v>0</v>
      </c>
      <c r="D14" s="30">
        <v>0</v>
      </c>
      <c r="E14" s="30">
        <v>0</v>
      </c>
      <c r="F14" s="30">
        <v>0</v>
      </c>
      <c r="G14" s="31">
        <f>SUM(DC_FINANCIAL)</f>
        <v>0</v>
      </c>
      <c r="H14" s="30"/>
      <c r="I14" s="34" t="s">
        <v>24</v>
      </c>
      <c r="J14" s="35">
        <v>2880881.2654732238</v>
      </c>
      <c r="K14" s="30"/>
      <c r="L14" s="29"/>
      <c r="M14" s="30"/>
      <c r="N14" s="30"/>
      <c r="O14" s="30"/>
      <c r="P14" s="30"/>
      <c r="Q14" s="30"/>
      <c r="R14" s="30"/>
      <c r="S14" s="30"/>
      <c r="T14" s="30"/>
      <c r="U14" s="30"/>
      <c r="V14" s="31"/>
    </row>
    <row r="15" spans="1:22">
      <c r="A15" s="1" t="s">
        <v>25</v>
      </c>
      <c r="B15" s="29">
        <v>0</v>
      </c>
      <c r="C15" s="30">
        <v>0</v>
      </c>
      <c r="D15" s="30">
        <v>0</v>
      </c>
      <c r="E15" s="30">
        <v>0</v>
      </c>
      <c r="F15" s="30">
        <v>3381030.6127293976</v>
      </c>
      <c r="G15" s="31">
        <f>SUM(FL_FINANCIAL)</f>
        <v>3381030.6127293976</v>
      </c>
      <c r="H15" s="30"/>
      <c r="I15" s="34" t="s">
        <v>26</v>
      </c>
      <c r="J15" s="35">
        <v>2096302.4274775628</v>
      </c>
      <c r="K15" s="30"/>
      <c r="L15" s="29"/>
      <c r="M15" s="30"/>
      <c r="N15" s="30"/>
      <c r="O15" s="30"/>
      <c r="P15" s="30"/>
      <c r="Q15" s="30"/>
      <c r="R15" s="30"/>
      <c r="S15" s="30"/>
      <c r="T15" s="30"/>
      <c r="U15" s="30"/>
      <c r="V15" s="31"/>
    </row>
    <row r="16" spans="1:22">
      <c r="A16" s="1" t="s">
        <v>27</v>
      </c>
      <c r="B16" s="29">
        <v>0</v>
      </c>
      <c r="C16" s="30">
        <v>0</v>
      </c>
      <c r="D16" s="30">
        <v>0</v>
      </c>
      <c r="E16" s="30">
        <v>0</v>
      </c>
      <c r="F16" s="30">
        <v>0</v>
      </c>
      <c r="G16" s="31">
        <f>SUM(GA_FINANCIAL)</f>
        <v>0</v>
      </c>
      <c r="H16" s="30"/>
      <c r="I16" s="34" t="s">
        <v>28</v>
      </c>
      <c r="J16" s="35">
        <v>21342257.533</v>
      </c>
      <c r="K16" s="30"/>
      <c r="L16" s="29"/>
      <c r="M16" s="30"/>
      <c r="N16" s="30"/>
      <c r="O16" s="30"/>
      <c r="P16" s="30"/>
      <c r="Q16" s="30"/>
      <c r="R16" s="30"/>
      <c r="S16" s="30"/>
      <c r="T16" s="30"/>
      <c r="U16" s="30"/>
      <c r="V16" s="31"/>
    </row>
    <row r="17" spans="1:22">
      <c r="A17" s="1" t="s">
        <v>29</v>
      </c>
      <c r="B17" s="29">
        <v>0</v>
      </c>
      <c r="C17" s="30">
        <v>0</v>
      </c>
      <c r="D17" s="30">
        <v>0</v>
      </c>
      <c r="E17" s="30">
        <v>0</v>
      </c>
      <c r="F17" s="30">
        <v>0</v>
      </c>
      <c r="G17" s="31">
        <f>SUM(HI_FINANCIAL)</f>
        <v>0</v>
      </c>
      <c r="H17" s="30"/>
      <c r="I17" s="34"/>
      <c r="J17" s="35"/>
      <c r="K17" s="30"/>
      <c r="L17" s="29"/>
      <c r="M17" s="30"/>
      <c r="N17" s="30"/>
      <c r="O17" s="30"/>
      <c r="P17" s="30"/>
      <c r="Q17" s="30"/>
      <c r="R17" s="30"/>
      <c r="S17" s="30"/>
      <c r="T17" s="30"/>
      <c r="U17" s="30"/>
      <c r="V17" s="31"/>
    </row>
    <row r="18" spans="1:22">
      <c r="A18" s="1" t="s">
        <v>30</v>
      </c>
      <c r="B18" s="29">
        <v>0</v>
      </c>
      <c r="C18" s="30">
        <v>0</v>
      </c>
      <c r="D18" s="30">
        <v>0</v>
      </c>
      <c r="E18" s="30">
        <v>0</v>
      </c>
      <c r="F18" s="30">
        <v>0</v>
      </c>
      <c r="G18" s="31">
        <f>SUM(ID_FINANCIAL)</f>
        <v>0</v>
      </c>
      <c r="H18" s="30"/>
      <c r="I18" s="34" t="s">
        <v>31</v>
      </c>
      <c r="J18" s="35"/>
      <c r="K18" s="30"/>
      <c r="L18" s="29"/>
      <c r="M18" s="30"/>
      <c r="N18" s="30"/>
      <c r="O18" s="30"/>
      <c r="P18" s="30"/>
      <c r="Q18" s="30"/>
      <c r="R18" s="30"/>
      <c r="S18" s="30"/>
      <c r="T18" s="30"/>
      <c r="U18" s="30"/>
      <c r="V18" s="31"/>
    </row>
    <row r="19" spans="1:22">
      <c r="A19" s="1" t="s">
        <v>32</v>
      </c>
      <c r="B19" s="29">
        <v>0</v>
      </c>
      <c r="C19" s="30">
        <v>0</v>
      </c>
      <c r="D19" s="30">
        <v>0</v>
      </c>
      <c r="E19" s="30">
        <v>0</v>
      </c>
      <c r="F19" s="30">
        <v>0</v>
      </c>
      <c r="G19" s="31">
        <f>SUM(IL_FINANCIAL)</f>
        <v>0</v>
      </c>
      <c r="H19" s="30"/>
      <c r="I19" s="34" t="s">
        <v>33</v>
      </c>
      <c r="J19" s="35">
        <v>0</v>
      </c>
      <c r="K19" s="30"/>
      <c r="L19" s="29"/>
      <c r="M19" s="30"/>
      <c r="N19" s="30"/>
      <c r="O19" s="30"/>
      <c r="P19" s="30"/>
      <c r="Q19" s="30"/>
      <c r="R19" s="30"/>
      <c r="S19" s="30"/>
      <c r="T19" s="30"/>
      <c r="U19" s="30"/>
      <c r="V19" s="31"/>
    </row>
    <row r="20" spans="1:22">
      <c r="A20" s="1" t="s">
        <v>34</v>
      </c>
      <c r="B20" s="29">
        <v>0</v>
      </c>
      <c r="C20" s="30">
        <v>0</v>
      </c>
      <c r="D20" s="30">
        <v>0</v>
      </c>
      <c r="E20" s="30">
        <v>0</v>
      </c>
      <c r="F20" s="30">
        <v>0</v>
      </c>
      <c r="G20" s="31">
        <f>SUM(IN_FINANCIAL)</f>
        <v>0</v>
      </c>
      <c r="H20" s="30"/>
      <c r="I20" s="34" t="s">
        <v>35</v>
      </c>
      <c r="J20" s="35">
        <v>26993940</v>
      </c>
      <c r="K20" s="30"/>
      <c r="L20" s="29"/>
      <c r="M20" s="30"/>
      <c r="N20" s="30"/>
      <c r="O20" s="30"/>
      <c r="P20" s="30"/>
      <c r="Q20" s="30"/>
      <c r="R20" s="30"/>
      <c r="S20" s="30"/>
      <c r="T20" s="30"/>
      <c r="U20" s="30"/>
      <c r="V20" s="31"/>
    </row>
    <row r="21" spans="1:22">
      <c r="A21" s="1" t="s">
        <v>36</v>
      </c>
      <c r="B21" s="29">
        <v>0</v>
      </c>
      <c r="C21" s="30">
        <v>0</v>
      </c>
      <c r="D21" s="30">
        <v>0</v>
      </c>
      <c r="E21" s="30">
        <v>0</v>
      </c>
      <c r="F21" s="30">
        <v>0</v>
      </c>
      <c r="G21" s="31">
        <f>SUM(IA_FINANCIAL)</f>
        <v>0</v>
      </c>
      <c r="H21" s="30"/>
      <c r="I21" s="34" t="s">
        <v>37</v>
      </c>
      <c r="J21" s="35"/>
      <c r="K21" s="30"/>
      <c r="L21" s="29"/>
      <c r="M21" s="30"/>
      <c r="N21" s="30"/>
      <c r="O21" s="30"/>
      <c r="P21" s="30"/>
      <c r="Q21" s="30"/>
      <c r="R21" s="30"/>
      <c r="S21" s="30"/>
      <c r="T21" s="30"/>
      <c r="U21" s="30"/>
      <c r="V21" s="31"/>
    </row>
    <row r="22" spans="1:22">
      <c r="A22" s="1" t="s">
        <v>38</v>
      </c>
      <c r="B22" s="29">
        <v>0</v>
      </c>
      <c r="C22" s="30">
        <v>0</v>
      </c>
      <c r="D22" s="30">
        <v>0</v>
      </c>
      <c r="E22" s="30">
        <v>0</v>
      </c>
      <c r="F22" s="30">
        <v>0</v>
      </c>
      <c r="G22" s="31">
        <f>SUM(KS_FINANCIAL)</f>
        <v>0</v>
      </c>
      <c r="H22" s="30"/>
      <c r="I22" s="34" t="s">
        <v>39</v>
      </c>
      <c r="J22" s="35">
        <v>0</v>
      </c>
      <c r="K22" s="30"/>
      <c r="L22" s="29"/>
      <c r="M22" s="30"/>
      <c r="N22" s="30"/>
      <c r="O22" s="30"/>
      <c r="P22" s="30"/>
      <c r="Q22" s="30"/>
      <c r="R22" s="30"/>
      <c r="S22" s="30"/>
      <c r="T22" s="30"/>
      <c r="U22" s="30"/>
      <c r="V22" s="31"/>
    </row>
    <row r="23" spans="1:22">
      <c r="A23" s="1" t="s">
        <v>40</v>
      </c>
      <c r="B23" s="29">
        <v>0</v>
      </c>
      <c r="C23" s="30">
        <v>0</v>
      </c>
      <c r="D23" s="30">
        <v>0</v>
      </c>
      <c r="E23" s="30">
        <v>0</v>
      </c>
      <c r="F23" s="30">
        <v>0</v>
      </c>
      <c r="G23" s="31">
        <f>SUM(KY_FINANCIAL)</f>
        <v>0</v>
      </c>
      <c r="H23" s="30"/>
      <c r="I23" s="34" t="s">
        <v>41</v>
      </c>
      <c r="J23" s="35"/>
      <c r="K23" s="30"/>
      <c r="L23" s="29"/>
      <c r="M23" s="30"/>
      <c r="N23" s="30"/>
      <c r="O23" s="30"/>
      <c r="P23" s="30"/>
      <c r="Q23" s="30"/>
      <c r="R23" s="30"/>
      <c r="S23" s="30"/>
      <c r="T23" s="30"/>
      <c r="U23" s="30"/>
      <c r="V23" s="31"/>
    </row>
    <row r="24" spans="1:22">
      <c r="A24" s="1" t="s">
        <v>42</v>
      </c>
      <c r="B24" s="29">
        <v>0</v>
      </c>
      <c r="C24" s="30">
        <v>0</v>
      </c>
      <c r="D24" s="30">
        <v>817.40831146686241</v>
      </c>
      <c r="E24" s="30">
        <v>0</v>
      </c>
      <c r="F24" s="30">
        <v>12100401.849775102</v>
      </c>
      <c r="G24" s="31">
        <f>SUM(LA_FINANCIAL)</f>
        <v>12101219.25808657</v>
      </c>
      <c r="H24" s="30"/>
      <c r="I24" s="34" t="s">
        <v>43</v>
      </c>
      <c r="J24" s="35">
        <v>884638.88733456912</v>
      </c>
      <c r="K24" s="30"/>
      <c r="L24" s="29">
        <v>841000</v>
      </c>
      <c r="M24" s="30">
        <v>0</v>
      </c>
      <c r="N24" s="30"/>
      <c r="O24" s="30">
        <v>0</v>
      </c>
      <c r="P24" s="30">
        <v>0</v>
      </c>
      <c r="Q24" s="30"/>
      <c r="R24" s="30">
        <v>2059000</v>
      </c>
      <c r="S24" s="30">
        <v>0</v>
      </c>
      <c r="T24" s="30"/>
      <c r="U24" s="30">
        <v>0</v>
      </c>
      <c r="V24" s="31">
        <v>0</v>
      </c>
    </row>
    <row r="25" spans="1:22">
      <c r="A25" s="1" t="s">
        <v>44</v>
      </c>
      <c r="B25" s="29">
        <v>0</v>
      </c>
      <c r="C25" s="30">
        <v>0</v>
      </c>
      <c r="D25" s="30">
        <v>0</v>
      </c>
      <c r="E25" s="30">
        <v>0</v>
      </c>
      <c r="F25" s="30">
        <v>0</v>
      </c>
      <c r="G25" s="31">
        <f>SUM(ME_FINANCIAL)</f>
        <v>0</v>
      </c>
      <c r="H25" s="30"/>
      <c r="I25" s="34"/>
      <c r="J25" s="35"/>
      <c r="K25" s="30"/>
      <c r="L25" s="29"/>
      <c r="M25" s="30"/>
      <c r="N25" s="30"/>
      <c r="O25" s="30"/>
      <c r="P25" s="30"/>
      <c r="Q25" s="30"/>
      <c r="R25" s="30"/>
      <c r="S25" s="30"/>
      <c r="T25" s="30"/>
      <c r="U25" s="30"/>
      <c r="V25" s="31"/>
    </row>
    <row r="26" spans="1:22">
      <c r="A26" s="1" t="s">
        <v>45</v>
      </c>
      <c r="B26" s="29">
        <v>0</v>
      </c>
      <c r="C26" s="30">
        <v>0</v>
      </c>
      <c r="D26" s="30">
        <v>31018.981226090189</v>
      </c>
      <c r="E26" s="30">
        <v>0</v>
      </c>
      <c r="F26" s="30">
        <v>0</v>
      </c>
      <c r="G26" s="31">
        <f>SUM(MD_FINANCIAL)</f>
        <v>31018.981226090189</v>
      </c>
      <c r="H26" s="30"/>
      <c r="I26" s="34" t="s">
        <v>46</v>
      </c>
      <c r="J26" s="35">
        <f>SUM(ADD_FINANCIAL)-SUM(LESS_FINANCIAL)</f>
        <v>31076544.805616215</v>
      </c>
      <c r="K26" s="30"/>
      <c r="L26" s="29"/>
      <c r="M26" s="30"/>
      <c r="N26" s="30"/>
      <c r="O26" s="30"/>
      <c r="P26" s="30"/>
      <c r="Q26" s="30"/>
      <c r="R26" s="30"/>
      <c r="S26" s="30"/>
      <c r="T26" s="30"/>
      <c r="U26" s="30"/>
      <c r="V26" s="31"/>
    </row>
    <row r="27" spans="1:22">
      <c r="A27" s="1" t="s">
        <v>47</v>
      </c>
      <c r="B27" s="29">
        <v>0</v>
      </c>
      <c r="C27" s="30">
        <v>0</v>
      </c>
      <c r="D27" s="30">
        <v>0</v>
      </c>
      <c r="E27" s="30">
        <v>0</v>
      </c>
      <c r="F27" s="30">
        <v>0</v>
      </c>
      <c r="G27" s="31">
        <f>SUM(MA_FINANCIAL)</f>
        <v>0</v>
      </c>
      <c r="H27" s="30"/>
      <c r="I27" s="34" t="s">
        <v>48</v>
      </c>
      <c r="J27" s="35">
        <f>SUM(ALL_BLOCKS)</f>
        <v>31076544.805616219</v>
      </c>
      <c r="K27" s="30"/>
      <c r="L27" s="29"/>
      <c r="M27" s="30"/>
      <c r="N27" s="30"/>
      <c r="O27" s="30"/>
      <c r="P27" s="30"/>
      <c r="Q27" s="30"/>
      <c r="R27" s="30"/>
      <c r="S27" s="30"/>
      <c r="T27" s="30"/>
      <c r="U27" s="30"/>
      <c r="V27" s="31"/>
    </row>
    <row r="28" spans="1:22">
      <c r="A28" s="1" t="s">
        <v>49</v>
      </c>
      <c r="B28" s="29">
        <v>0</v>
      </c>
      <c r="C28" s="30">
        <v>0</v>
      </c>
      <c r="D28" s="30">
        <v>0</v>
      </c>
      <c r="E28" s="30">
        <v>0</v>
      </c>
      <c r="F28" s="30">
        <v>0</v>
      </c>
      <c r="G28" s="31">
        <f>SUM(MI_FINANCIAL)</f>
        <v>0</v>
      </c>
      <c r="H28" s="30"/>
      <c r="I28" s="36"/>
      <c r="J28" s="37"/>
      <c r="K28" s="30"/>
      <c r="L28" s="29"/>
      <c r="M28" s="30"/>
      <c r="N28" s="30"/>
      <c r="O28" s="30"/>
      <c r="P28" s="30"/>
      <c r="Q28" s="30"/>
      <c r="R28" s="30"/>
      <c r="S28" s="30"/>
      <c r="T28" s="30"/>
      <c r="U28" s="30"/>
      <c r="V28" s="31"/>
    </row>
    <row r="29" spans="1:22">
      <c r="A29" s="1" t="s">
        <v>50</v>
      </c>
      <c r="B29" s="29">
        <v>0</v>
      </c>
      <c r="C29" s="30">
        <v>0</v>
      </c>
      <c r="D29" s="30">
        <v>0</v>
      </c>
      <c r="E29" s="30">
        <v>0</v>
      </c>
      <c r="F29" s="30">
        <v>0</v>
      </c>
      <c r="G29" s="31">
        <f>SUM(MN_FINANCIAL)</f>
        <v>0</v>
      </c>
      <c r="H29" s="30"/>
      <c r="I29" s="30"/>
      <c r="J29" s="30"/>
      <c r="K29" s="30"/>
      <c r="L29" s="29"/>
      <c r="M29" s="30"/>
      <c r="N29" s="30"/>
      <c r="O29" s="30"/>
      <c r="P29" s="30"/>
      <c r="Q29" s="30"/>
      <c r="R29" s="30"/>
      <c r="S29" s="30"/>
      <c r="T29" s="30"/>
      <c r="U29" s="30"/>
      <c r="V29" s="31"/>
    </row>
    <row r="30" spans="1:22">
      <c r="A30" s="1" t="s">
        <v>51</v>
      </c>
      <c r="B30" s="29">
        <v>0</v>
      </c>
      <c r="C30" s="30">
        <v>0</v>
      </c>
      <c r="D30" s="30">
        <v>9208724.6737160031</v>
      </c>
      <c r="E30" s="30">
        <v>0</v>
      </c>
      <c r="F30" s="30">
        <v>0</v>
      </c>
      <c r="G30" s="31">
        <f>SUM(MS_FINANCIAL)</f>
        <v>9208724.6737160031</v>
      </c>
      <c r="H30" s="30"/>
      <c r="I30" s="30"/>
      <c r="J30" s="30"/>
      <c r="K30" s="30"/>
      <c r="L30" s="29">
        <v>0</v>
      </c>
      <c r="M30" s="30">
        <v>0</v>
      </c>
      <c r="N30" s="30"/>
      <c r="O30" s="30">
        <v>0</v>
      </c>
      <c r="P30" s="30">
        <v>0</v>
      </c>
      <c r="Q30" s="30"/>
      <c r="R30" s="30">
        <v>0</v>
      </c>
      <c r="S30" s="30">
        <v>0</v>
      </c>
      <c r="T30" s="30"/>
      <c r="U30" s="30">
        <v>0</v>
      </c>
      <c r="V30" s="31">
        <v>0</v>
      </c>
    </row>
    <row r="31" spans="1:22">
      <c r="A31" s="1" t="s">
        <v>52</v>
      </c>
      <c r="B31" s="29">
        <v>0</v>
      </c>
      <c r="C31" s="30">
        <v>0</v>
      </c>
      <c r="D31" s="30">
        <v>0</v>
      </c>
      <c r="E31" s="30">
        <v>0</v>
      </c>
      <c r="F31" s="30">
        <v>0</v>
      </c>
      <c r="G31" s="31">
        <f>SUM(MO_FINANCIAL)</f>
        <v>0</v>
      </c>
      <c r="H31" s="30"/>
      <c r="I31" s="30"/>
      <c r="J31" s="30"/>
      <c r="K31" s="30"/>
      <c r="L31" s="29"/>
      <c r="M31" s="30"/>
      <c r="N31" s="30"/>
      <c r="O31" s="30"/>
      <c r="P31" s="30"/>
      <c r="Q31" s="30"/>
      <c r="R31" s="30"/>
      <c r="S31" s="30"/>
      <c r="T31" s="30"/>
      <c r="U31" s="30"/>
      <c r="V31" s="31"/>
    </row>
    <row r="32" spans="1:22">
      <c r="A32" s="1" t="s">
        <v>53</v>
      </c>
      <c r="B32" s="29">
        <v>0</v>
      </c>
      <c r="C32" s="30">
        <v>0</v>
      </c>
      <c r="D32" s="30">
        <v>0</v>
      </c>
      <c r="E32" s="30">
        <v>0</v>
      </c>
      <c r="F32" s="30">
        <v>0</v>
      </c>
      <c r="G32" s="31">
        <f>SUM(MT_FINANCIAL)</f>
        <v>0</v>
      </c>
      <c r="H32" s="30"/>
      <c r="I32" s="30"/>
      <c r="J32" s="30"/>
      <c r="K32" s="30"/>
      <c r="L32" s="29"/>
      <c r="M32" s="30"/>
      <c r="N32" s="30"/>
      <c r="O32" s="30"/>
      <c r="P32" s="30"/>
      <c r="Q32" s="30"/>
      <c r="R32" s="30"/>
      <c r="S32" s="30"/>
      <c r="T32" s="30"/>
      <c r="U32" s="30"/>
      <c r="V32" s="31"/>
    </row>
    <row r="33" spans="1:22">
      <c r="A33" s="1" t="s">
        <v>54</v>
      </c>
      <c r="B33" s="29">
        <v>0</v>
      </c>
      <c r="C33" s="30">
        <v>0</v>
      </c>
      <c r="D33" s="30">
        <v>0</v>
      </c>
      <c r="E33" s="30">
        <v>0</v>
      </c>
      <c r="F33" s="30">
        <v>0</v>
      </c>
      <c r="G33" s="31">
        <f>SUM(NE_FINANCIAL)</f>
        <v>0</v>
      </c>
      <c r="H33" s="30"/>
      <c r="I33" s="30"/>
      <c r="J33" s="30"/>
      <c r="K33" s="30"/>
      <c r="L33" s="29"/>
      <c r="M33" s="30"/>
      <c r="N33" s="30"/>
      <c r="O33" s="30"/>
      <c r="P33" s="30"/>
      <c r="Q33" s="30"/>
      <c r="R33" s="30"/>
      <c r="S33" s="30"/>
      <c r="T33" s="30"/>
      <c r="U33" s="30"/>
      <c r="V33" s="31"/>
    </row>
    <row r="34" spans="1:22">
      <c r="A34" s="1" t="s">
        <v>55</v>
      </c>
      <c r="B34" s="29">
        <v>0</v>
      </c>
      <c r="C34" s="30">
        <v>0</v>
      </c>
      <c r="D34" s="30">
        <v>0</v>
      </c>
      <c r="E34" s="30">
        <v>0</v>
      </c>
      <c r="F34" s="30">
        <v>0</v>
      </c>
      <c r="G34" s="31">
        <f>SUM(NV_FINANCIAL)</f>
        <v>0</v>
      </c>
      <c r="H34" s="30"/>
      <c r="I34" s="30"/>
      <c r="J34" s="30"/>
      <c r="K34" s="30"/>
      <c r="L34" s="29"/>
      <c r="M34" s="30"/>
      <c r="N34" s="30"/>
      <c r="O34" s="30"/>
      <c r="P34" s="30"/>
      <c r="Q34" s="30"/>
      <c r="R34" s="30"/>
      <c r="S34" s="30"/>
      <c r="T34" s="30"/>
      <c r="U34" s="30"/>
      <c r="V34" s="31"/>
    </row>
    <row r="35" spans="1:22">
      <c r="A35" s="1" t="s">
        <v>56</v>
      </c>
      <c r="B35" s="29">
        <v>0</v>
      </c>
      <c r="C35" s="30">
        <v>0</v>
      </c>
      <c r="D35" s="30">
        <v>0</v>
      </c>
      <c r="E35" s="30">
        <v>0</v>
      </c>
      <c r="F35" s="30">
        <v>0</v>
      </c>
      <c r="G35" s="31">
        <f>SUM(NH_FINANCIAL)</f>
        <v>0</v>
      </c>
      <c r="H35" s="30"/>
      <c r="I35" s="30"/>
      <c r="J35" s="30"/>
      <c r="K35" s="30"/>
      <c r="L35" s="29"/>
      <c r="M35" s="30"/>
      <c r="N35" s="30"/>
      <c r="O35" s="30"/>
      <c r="P35" s="30"/>
      <c r="Q35" s="30"/>
      <c r="R35" s="30"/>
      <c r="S35" s="30"/>
      <c r="T35" s="30"/>
      <c r="U35" s="30"/>
      <c r="V35" s="31"/>
    </row>
    <row r="36" spans="1:22">
      <c r="A36" s="1" t="s">
        <v>57</v>
      </c>
      <c r="B36" s="29">
        <v>0</v>
      </c>
      <c r="C36" s="30">
        <v>0</v>
      </c>
      <c r="D36" s="30">
        <v>0</v>
      </c>
      <c r="E36" s="30">
        <v>0</v>
      </c>
      <c r="F36" s="30">
        <v>0</v>
      </c>
      <c r="G36" s="31">
        <f>SUM(NJ_FINANCIAL)</f>
        <v>0</v>
      </c>
      <c r="H36" s="30"/>
      <c r="I36" s="30"/>
      <c r="J36" s="30"/>
      <c r="K36" s="30"/>
      <c r="L36" s="29"/>
      <c r="M36" s="30"/>
      <c r="N36" s="30"/>
      <c r="O36" s="30"/>
      <c r="P36" s="30"/>
      <c r="Q36" s="30"/>
      <c r="R36" s="30"/>
      <c r="S36" s="30"/>
      <c r="T36" s="30"/>
      <c r="U36" s="30"/>
      <c r="V36" s="31"/>
    </row>
    <row r="37" spans="1:22">
      <c r="A37" s="1" t="s">
        <v>58</v>
      </c>
      <c r="B37" s="29">
        <v>0</v>
      </c>
      <c r="C37" s="30">
        <v>0</v>
      </c>
      <c r="D37" s="30">
        <v>811078.2660822192</v>
      </c>
      <c r="E37" s="30">
        <v>0</v>
      </c>
      <c r="F37" s="30">
        <v>0</v>
      </c>
      <c r="G37" s="31">
        <f>SUM(NM_FINANCIAL)</f>
        <v>811078.2660822192</v>
      </c>
      <c r="H37" s="30"/>
      <c r="I37" s="30"/>
      <c r="J37" s="30"/>
      <c r="K37" s="30"/>
      <c r="L37" s="29"/>
      <c r="M37" s="30"/>
      <c r="N37" s="30"/>
      <c r="O37" s="30"/>
      <c r="P37" s="30"/>
      <c r="Q37" s="30"/>
      <c r="R37" s="30"/>
      <c r="S37" s="30"/>
      <c r="T37" s="30"/>
      <c r="U37" s="30"/>
      <c r="V37" s="31"/>
    </row>
    <row r="38" spans="1:22">
      <c r="A38" s="1" t="s">
        <v>59</v>
      </c>
      <c r="B38" s="29">
        <v>0</v>
      </c>
      <c r="C38" s="30">
        <v>0</v>
      </c>
      <c r="D38" s="30">
        <v>0</v>
      </c>
      <c r="E38" s="30">
        <v>0</v>
      </c>
      <c r="F38" s="30">
        <v>0</v>
      </c>
      <c r="G38" s="31">
        <f>SUM(NY_FINANCIAL)</f>
        <v>0</v>
      </c>
      <c r="H38" s="30"/>
      <c r="I38" s="30"/>
      <c r="J38" s="30"/>
      <c r="K38" s="30"/>
      <c r="L38" s="29"/>
      <c r="M38" s="30"/>
      <c r="N38" s="30"/>
      <c r="O38" s="30"/>
      <c r="P38" s="30"/>
      <c r="Q38" s="30"/>
      <c r="R38" s="30"/>
      <c r="S38" s="30"/>
      <c r="T38" s="30"/>
      <c r="U38" s="30"/>
      <c r="V38" s="31"/>
    </row>
    <row r="39" spans="1:22">
      <c r="A39" s="1" t="s">
        <v>60</v>
      </c>
      <c r="B39" s="29">
        <v>0</v>
      </c>
      <c r="C39" s="30">
        <v>0</v>
      </c>
      <c r="D39" s="30">
        <v>0</v>
      </c>
      <c r="E39" s="30">
        <v>0</v>
      </c>
      <c r="F39" s="30">
        <v>0</v>
      </c>
      <c r="G39" s="31">
        <f>SUM(NC_FINANCIAL)</f>
        <v>0</v>
      </c>
      <c r="H39" s="30"/>
      <c r="I39" s="30"/>
      <c r="J39" s="30"/>
      <c r="K39" s="30"/>
      <c r="L39" s="29"/>
      <c r="M39" s="30"/>
      <c r="N39" s="30"/>
      <c r="O39" s="30"/>
      <c r="P39" s="30"/>
      <c r="Q39" s="30"/>
      <c r="R39" s="30"/>
      <c r="S39" s="30"/>
      <c r="T39" s="30"/>
      <c r="U39" s="30"/>
      <c r="V39" s="31"/>
    </row>
    <row r="40" spans="1:22">
      <c r="A40" s="1" t="s">
        <v>61</v>
      </c>
      <c r="B40" s="29">
        <v>0</v>
      </c>
      <c r="C40" s="30">
        <v>0</v>
      </c>
      <c r="D40" s="30">
        <v>0</v>
      </c>
      <c r="E40" s="30">
        <v>0</v>
      </c>
      <c r="F40" s="30">
        <v>0</v>
      </c>
      <c r="G40" s="31">
        <f>SUM(ND_FINANCIAL)</f>
        <v>0</v>
      </c>
      <c r="H40" s="30"/>
      <c r="I40" s="30"/>
      <c r="J40" s="30"/>
      <c r="K40" s="30"/>
      <c r="L40" s="29"/>
      <c r="M40" s="30"/>
      <c r="N40" s="30"/>
      <c r="O40" s="30"/>
      <c r="P40" s="30"/>
      <c r="Q40" s="30"/>
      <c r="R40" s="30"/>
      <c r="S40" s="30"/>
      <c r="T40" s="30"/>
      <c r="U40" s="30"/>
      <c r="V40" s="31"/>
    </row>
    <row r="41" spans="1:22">
      <c r="A41" s="1" t="s">
        <v>62</v>
      </c>
      <c r="B41" s="29">
        <v>0</v>
      </c>
      <c r="C41" s="30">
        <v>0</v>
      </c>
      <c r="D41" s="30">
        <v>0</v>
      </c>
      <c r="E41" s="30">
        <v>0</v>
      </c>
      <c r="F41" s="30">
        <v>0</v>
      </c>
      <c r="G41" s="31">
        <f>SUM(OH_FINANCIAL)</f>
        <v>0</v>
      </c>
      <c r="H41" s="30"/>
      <c r="I41" s="30"/>
      <c r="J41" s="30"/>
      <c r="K41" s="30"/>
      <c r="L41" s="29"/>
      <c r="M41" s="30"/>
      <c r="N41" s="30"/>
      <c r="O41" s="30"/>
      <c r="P41" s="30"/>
      <c r="Q41" s="30"/>
      <c r="R41" s="30"/>
      <c r="S41" s="30"/>
      <c r="T41" s="30"/>
      <c r="U41" s="30"/>
      <c r="V41" s="31"/>
    </row>
    <row r="42" spans="1:22">
      <c r="A42" s="1" t="s">
        <v>63</v>
      </c>
      <c r="B42" s="29">
        <v>0</v>
      </c>
      <c r="C42" s="30">
        <v>0</v>
      </c>
      <c r="D42" s="30">
        <v>0</v>
      </c>
      <c r="E42" s="30">
        <v>0</v>
      </c>
      <c r="F42" s="30">
        <v>0</v>
      </c>
      <c r="G42" s="31">
        <f>SUM(OK_FINANCIAL)</f>
        <v>0</v>
      </c>
      <c r="H42" s="30"/>
      <c r="I42" s="30"/>
      <c r="J42" s="30"/>
      <c r="K42" s="30"/>
      <c r="L42" s="29"/>
      <c r="M42" s="30"/>
      <c r="N42" s="30"/>
      <c r="O42" s="30"/>
      <c r="P42" s="30"/>
      <c r="Q42" s="30"/>
      <c r="R42" s="30"/>
      <c r="S42" s="30"/>
      <c r="T42" s="30"/>
      <c r="U42" s="30"/>
      <c r="V42" s="31"/>
    </row>
    <row r="43" spans="1:22">
      <c r="A43" s="1" t="s">
        <v>64</v>
      </c>
      <c r="B43" s="29">
        <v>0</v>
      </c>
      <c r="C43" s="30">
        <v>0</v>
      </c>
      <c r="D43" s="30">
        <v>0</v>
      </c>
      <c r="E43" s="30">
        <v>0</v>
      </c>
      <c r="F43" s="30">
        <v>0</v>
      </c>
      <c r="G43" s="31">
        <f>SUM(OR_FINANCIAL)</f>
        <v>0</v>
      </c>
      <c r="H43" s="30"/>
      <c r="I43" s="30"/>
      <c r="J43" s="30"/>
      <c r="K43" s="30"/>
      <c r="L43" s="29"/>
      <c r="M43" s="30"/>
      <c r="N43" s="30"/>
      <c r="O43" s="30"/>
      <c r="P43" s="30"/>
      <c r="Q43" s="30"/>
      <c r="R43" s="30"/>
      <c r="S43" s="30"/>
      <c r="T43" s="30"/>
      <c r="U43" s="30"/>
      <c r="V43" s="31"/>
    </row>
    <row r="44" spans="1:22">
      <c r="A44" s="1" t="s">
        <v>65</v>
      </c>
      <c r="B44" s="29">
        <v>0</v>
      </c>
      <c r="C44" s="30">
        <v>0</v>
      </c>
      <c r="D44" s="30">
        <v>2527018.6872367151</v>
      </c>
      <c r="E44" s="30">
        <v>0</v>
      </c>
      <c r="F44" s="30">
        <v>0</v>
      </c>
      <c r="G44" s="31">
        <f>SUM(PA_FINANCIAL)</f>
        <v>2527018.6872367151</v>
      </c>
      <c r="H44" s="30"/>
      <c r="I44" s="30"/>
      <c r="J44" s="30"/>
      <c r="K44" s="30"/>
      <c r="L44" s="29"/>
      <c r="M44" s="30"/>
      <c r="N44" s="30"/>
      <c r="O44" s="30"/>
      <c r="P44" s="30"/>
      <c r="Q44" s="30"/>
      <c r="R44" s="30"/>
      <c r="S44" s="30"/>
      <c r="T44" s="30"/>
      <c r="U44" s="30"/>
      <c r="V44" s="31"/>
    </row>
    <row r="45" spans="1:22">
      <c r="A45" s="1" t="s">
        <v>66</v>
      </c>
      <c r="B45" s="29">
        <v>0</v>
      </c>
      <c r="C45" s="30">
        <v>0</v>
      </c>
      <c r="D45" s="30">
        <v>0</v>
      </c>
      <c r="E45" s="30">
        <v>0</v>
      </c>
      <c r="F45" s="30">
        <v>0</v>
      </c>
      <c r="G45" s="31">
        <f>SUM(PR_FINANCIAL)</f>
        <v>0</v>
      </c>
      <c r="H45" s="30"/>
      <c r="I45" s="30"/>
      <c r="J45" s="30"/>
      <c r="K45" s="30"/>
      <c r="L45" s="29"/>
      <c r="M45" s="30"/>
      <c r="N45" s="30"/>
      <c r="O45" s="30"/>
      <c r="P45" s="30"/>
      <c r="Q45" s="30"/>
      <c r="R45" s="30"/>
      <c r="S45" s="30"/>
      <c r="T45" s="30"/>
      <c r="U45" s="30"/>
      <c r="V45" s="31"/>
    </row>
    <row r="46" spans="1:22">
      <c r="A46" s="1" t="s">
        <v>67</v>
      </c>
      <c r="B46" s="29">
        <v>0</v>
      </c>
      <c r="C46" s="30">
        <v>0</v>
      </c>
      <c r="D46" s="30">
        <v>0</v>
      </c>
      <c r="E46" s="30">
        <v>0</v>
      </c>
      <c r="F46" s="30">
        <v>0</v>
      </c>
      <c r="G46" s="31">
        <f>SUM(RI_FINANCIAL)</f>
        <v>0</v>
      </c>
      <c r="H46" s="30"/>
      <c r="I46" s="30"/>
      <c r="J46" s="30"/>
      <c r="K46" s="30"/>
      <c r="L46" s="29"/>
      <c r="M46" s="30"/>
      <c r="N46" s="30"/>
      <c r="O46" s="30"/>
      <c r="P46" s="30"/>
      <c r="Q46" s="30"/>
      <c r="R46" s="30"/>
      <c r="S46" s="30"/>
      <c r="T46" s="30"/>
      <c r="U46" s="30"/>
      <c r="V46" s="31"/>
    </row>
    <row r="47" spans="1:22">
      <c r="A47" s="1" t="s">
        <v>68</v>
      </c>
      <c r="B47" s="29">
        <v>0</v>
      </c>
      <c r="C47" s="30">
        <v>0</v>
      </c>
      <c r="D47" s="30">
        <v>0</v>
      </c>
      <c r="E47" s="30">
        <v>0</v>
      </c>
      <c r="F47" s="30">
        <v>0</v>
      </c>
      <c r="G47" s="31">
        <f>SUM(SC_FINANCIAL)</f>
        <v>0</v>
      </c>
      <c r="H47" s="30"/>
      <c r="I47" s="30"/>
      <c r="J47" s="30"/>
      <c r="K47" s="30"/>
      <c r="L47" s="29"/>
      <c r="M47" s="30"/>
      <c r="N47" s="30"/>
      <c r="O47" s="30"/>
      <c r="P47" s="30"/>
      <c r="Q47" s="30"/>
      <c r="R47" s="30"/>
      <c r="S47" s="30"/>
      <c r="T47" s="30"/>
      <c r="U47" s="30"/>
      <c r="V47" s="31"/>
    </row>
    <row r="48" spans="1:22">
      <c r="A48" s="1" t="s">
        <v>69</v>
      </c>
      <c r="B48" s="29">
        <v>0</v>
      </c>
      <c r="C48" s="30">
        <v>0</v>
      </c>
      <c r="D48" s="30">
        <v>0</v>
      </c>
      <c r="E48" s="30">
        <v>0</v>
      </c>
      <c r="F48" s="30">
        <v>0</v>
      </c>
      <c r="G48" s="31">
        <f>SUM(SD_FINANCIAL)</f>
        <v>0</v>
      </c>
      <c r="H48" s="30"/>
      <c r="I48" s="30"/>
      <c r="J48" s="30"/>
      <c r="K48" s="30"/>
      <c r="L48" s="29"/>
      <c r="M48" s="30"/>
      <c r="N48" s="30"/>
      <c r="O48" s="30"/>
      <c r="P48" s="30"/>
      <c r="Q48" s="30"/>
      <c r="R48" s="30"/>
      <c r="S48" s="30"/>
      <c r="T48" s="30"/>
      <c r="U48" s="30"/>
      <c r="V48" s="31"/>
    </row>
    <row r="49" spans="1:22">
      <c r="A49" s="1" t="s">
        <v>70</v>
      </c>
      <c r="B49" s="29">
        <v>0</v>
      </c>
      <c r="C49" s="30">
        <v>0</v>
      </c>
      <c r="D49" s="30">
        <v>0</v>
      </c>
      <c r="E49" s="30">
        <v>0</v>
      </c>
      <c r="F49" s="30">
        <v>0</v>
      </c>
      <c r="G49" s="31">
        <f>SUM(TN_FINANCIAL)</f>
        <v>0</v>
      </c>
      <c r="H49" s="30"/>
      <c r="I49" s="30"/>
      <c r="J49" s="30"/>
      <c r="K49" s="30"/>
      <c r="L49" s="29"/>
      <c r="M49" s="30"/>
      <c r="N49" s="30"/>
      <c r="O49" s="30"/>
      <c r="P49" s="30"/>
      <c r="Q49" s="30"/>
      <c r="R49" s="30"/>
      <c r="S49" s="30"/>
      <c r="T49" s="30"/>
      <c r="U49" s="30"/>
      <c r="V49" s="31"/>
    </row>
    <row r="50" spans="1:22">
      <c r="A50" s="1" t="s">
        <v>71</v>
      </c>
      <c r="B50" s="29">
        <v>0</v>
      </c>
      <c r="C50" s="30">
        <v>0</v>
      </c>
      <c r="D50" s="30">
        <v>0</v>
      </c>
      <c r="E50" s="30">
        <v>0</v>
      </c>
      <c r="F50" s="30">
        <v>0</v>
      </c>
      <c r="G50" s="31">
        <f>SUM(TX_FINANCIAL)</f>
        <v>0</v>
      </c>
      <c r="H50" s="30"/>
      <c r="I50" s="30"/>
      <c r="J50" s="30"/>
      <c r="K50" s="30"/>
      <c r="L50" s="29"/>
      <c r="M50" s="30"/>
      <c r="N50" s="30"/>
      <c r="O50" s="30"/>
      <c r="P50" s="30"/>
      <c r="Q50" s="30"/>
      <c r="R50" s="30"/>
      <c r="S50" s="30"/>
      <c r="T50" s="30"/>
      <c r="U50" s="30"/>
      <c r="V50" s="31"/>
    </row>
    <row r="51" spans="1:22">
      <c r="A51" s="1" t="s">
        <v>72</v>
      </c>
      <c r="B51" s="29">
        <v>0</v>
      </c>
      <c r="C51" s="30">
        <v>0</v>
      </c>
      <c r="D51" s="30">
        <v>0</v>
      </c>
      <c r="E51" s="30">
        <v>0</v>
      </c>
      <c r="F51" s="30">
        <v>0</v>
      </c>
      <c r="G51" s="31">
        <f>SUM(UT_FINANCIAL)</f>
        <v>0</v>
      </c>
      <c r="H51" s="30"/>
      <c r="I51" s="30"/>
      <c r="J51" s="30"/>
      <c r="K51" s="30"/>
      <c r="L51" s="29"/>
      <c r="M51" s="30"/>
      <c r="N51" s="30"/>
      <c r="O51" s="30"/>
      <c r="P51" s="30"/>
      <c r="Q51" s="30"/>
      <c r="R51" s="30"/>
      <c r="S51" s="30"/>
      <c r="T51" s="30"/>
      <c r="U51" s="30"/>
      <c r="V51" s="31"/>
    </row>
    <row r="52" spans="1:22">
      <c r="A52" s="1" t="s">
        <v>73</v>
      </c>
      <c r="B52" s="29">
        <v>0</v>
      </c>
      <c r="C52" s="30">
        <v>0</v>
      </c>
      <c r="D52" s="30">
        <v>0</v>
      </c>
      <c r="E52" s="30">
        <v>0</v>
      </c>
      <c r="F52" s="30">
        <v>0</v>
      </c>
      <c r="G52" s="31">
        <f>SUM(VT_FINANCIAL)</f>
        <v>0</v>
      </c>
      <c r="H52" s="30"/>
      <c r="I52" s="30"/>
      <c r="J52" s="30"/>
      <c r="K52" s="30"/>
      <c r="L52" s="29"/>
      <c r="M52" s="30"/>
      <c r="N52" s="30"/>
      <c r="O52" s="30"/>
      <c r="P52" s="30"/>
      <c r="Q52" s="30"/>
      <c r="R52" s="30"/>
      <c r="S52" s="30"/>
      <c r="T52" s="30"/>
      <c r="U52" s="30"/>
      <c r="V52" s="31"/>
    </row>
    <row r="53" spans="1:22">
      <c r="A53" s="1" t="s">
        <v>74</v>
      </c>
      <c r="B53" s="29">
        <v>0</v>
      </c>
      <c r="C53" s="30">
        <v>0</v>
      </c>
      <c r="D53" s="30">
        <v>0</v>
      </c>
      <c r="E53" s="30">
        <v>0</v>
      </c>
      <c r="F53" s="30">
        <v>0</v>
      </c>
      <c r="G53" s="31">
        <f>SUM(VA_FINANCIAL)</f>
        <v>0</v>
      </c>
      <c r="H53" s="30"/>
      <c r="I53" s="30"/>
      <c r="J53" s="30"/>
      <c r="K53" s="30"/>
      <c r="L53" s="29"/>
      <c r="M53" s="30"/>
      <c r="N53" s="30"/>
      <c r="O53" s="30"/>
      <c r="P53" s="30"/>
      <c r="Q53" s="30"/>
      <c r="R53" s="30"/>
      <c r="S53" s="30"/>
      <c r="T53" s="30"/>
      <c r="U53" s="30"/>
      <c r="V53" s="31"/>
    </row>
    <row r="54" spans="1:22">
      <c r="A54" s="1" t="s">
        <v>75</v>
      </c>
      <c r="B54" s="29">
        <v>0</v>
      </c>
      <c r="C54" s="30">
        <v>0</v>
      </c>
      <c r="D54" s="30">
        <v>0</v>
      </c>
      <c r="E54" s="30">
        <v>0</v>
      </c>
      <c r="F54" s="30">
        <v>0</v>
      </c>
      <c r="G54" s="31">
        <f>SUM(WA_FINANCIAL)</f>
        <v>0</v>
      </c>
      <c r="H54" s="30"/>
      <c r="I54" s="30"/>
      <c r="J54" s="30"/>
      <c r="K54" s="30"/>
      <c r="L54" s="29"/>
      <c r="M54" s="30"/>
      <c r="N54" s="30"/>
      <c r="O54" s="30"/>
      <c r="P54" s="30"/>
      <c r="Q54" s="30"/>
      <c r="R54" s="30"/>
      <c r="S54" s="30"/>
      <c r="T54" s="30"/>
      <c r="U54" s="30"/>
      <c r="V54" s="31"/>
    </row>
    <row r="55" spans="1:22">
      <c r="A55" s="1" t="s">
        <v>76</v>
      </c>
      <c r="B55" s="29">
        <v>0</v>
      </c>
      <c r="C55" s="30">
        <v>0</v>
      </c>
      <c r="D55" s="30">
        <v>0</v>
      </c>
      <c r="E55" s="30">
        <v>0</v>
      </c>
      <c r="F55" s="30">
        <v>0</v>
      </c>
      <c r="G55" s="31">
        <f>SUM(WV_FINANCIAL)</f>
        <v>0</v>
      </c>
      <c r="H55" s="30"/>
      <c r="I55" s="30"/>
      <c r="J55" s="30"/>
      <c r="K55" s="30"/>
      <c r="L55" s="29"/>
      <c r="M55" s="30"/>
      <c r="N55" s="30"/>
      <c r="O55" s="30"/>
      <c r="P55" s="30"/>
      <c r="Q55" s="30"/>
      <c r="R55" s="30"/>
      <c r="S55" s="30"/>
      <c r="T55" s="30"/>
      <c r="U55" s="30"/>
      <c r="V55" s="31"/>
    </row>
    <row r="56" spans="1:22">
      <c r="A56" s="1" t="s">
        <v>77</v>
      </c>
      <c r="B56" s="29">
        <v>0</v>
      </c>
      <c r="C56" s="30">
        <v>0</v>
      </c>
      <c r="D56" s="30">
        <v>0</v>
      </c>
      <c r="E56" s="30">
        <v>0</v>
      </c>
      <c r="F56" s="30">
        <v>0</v>
      </c>
      <c r="G56" s="31">
        <f>SUM(WI_FINANCIAL)</f>
        <v>0</v>
      </c>
      <c r="H56" s="30"/>
      <c r="I56" s="30"/>
      <c r="J56" s="30"/>
      <c r="K56" s="30"/>
      <c r="L56" s="29"/>
      <c r="M56" s="30"/>
      <c r="N56" s="30"/>
      <c r="O56" s="30"/>
      <c r="P56" s="30"/>
      <c r="Q56" s="30"/>
      <c r="R56" s="30"/>
      <c r="S56" s="30"/>
      <c r="T56" s="30"/>
      <c r="U56" s="30"/>
      <c r="V56" s="31"/>
    </row>
    <row r="57" spans="1:22">
      <c r="A57" s="1" t="s">
        <v>78</v>
      </c>
      <c r="B57" s="29">
        <v>0</v>
      </c>
      <c r="C57" s="30">
        <v>0</v>
      </c>
      <c r="D57" s="30">
        <v>0</v>
      </c>
      <c r="E57" s="30">
        <v>0</v>
      </c>
      <c r="F57" s="30">
        <v>0</v>
      </c>
      <c r="G57" s="31">
        <f>SUM(WY_FINANCIAL)</f>
        <v>0</v>
      </c>
      <c r="H57" s="30"/>
      <c r="I57" s="30"/>
      <c r="J57" s="30"/>
      <c r="K57" s="30"/>
      <c r="L57" s="29"/>
      <c r="M57" s="30"/>
      <c r="N57" s="30"/>
      <c r="O57" s="30"/>
      <c r="P57" s="30"/>
      <c r="Q57" s="30"/>
      <c r="R57" s="30"/>
      <c r="S57" s="30"/>
      <c r="T57" s="30"/>
      <c r="U57" s="30"/>
      <c r="V57" s="31"/>
    </row>
    <row r="58" spans="1:22">
      <c r="A58" s="1" t="s">
        <v>79</v>
      </c>
      <c r="B58" s="29">
        <v>0</v>
      </c>
      <c r="C58" s="30">
        <v>0</v>
      </c>
      <c r="D58" s="30">
        <v>0</v>
      </c>
      <c r="E58" s="30">
        <v>0</v>
      </c>
      <c r="F58" s="30">
        <v>0</v>
      </c>
      <c r="G58" s="31">
        <f>SUM(OT_FINANCIAL)</f>
        <v>0</v>
      </c>
      <c r="H58" s="30"/>
      <c r="I58" s="30"/>
      <c r="J58" s="30"/>
      <c r="K58" s="30"/>
      <c r="L58" s="29"/>
      <c r="M58" s="30"/>
      <c r="N58" s="30"/>
      <c r="O58" s="30"/>
      <c r="P58" s="30"/>
      <c r="Q58" s="30"/>
      <c r="R58" s="30"/>
      <c r="S58" s="30"/>
      <c r="T58" s="30"/>
      <c r="U58" s="30"/>
      <c r="V58" s="31"/>
    </row>
    <row r="59" spans="1:22">
      <c r="B59" s="29"/>
      <c r="C59" s="30"/>
      <c r="D59" s="30"/>
      <c r="E59" s="30"/>
      <c r="F59" s="30"/>
      <c r="G59" s="31"/>
      <c r="H59" s="30"/>
      <c r="I59" s="30"/>
      <c r="J59" s="30"/>
      <c r="K59" s="30"/>
      <c r="L59" s="29"/>
      <c r="M59" s="30"/>
      <c r="N59" s="30"/>
      <c r="O59" s="30"/>
      <c r="P59" s="30"/>
      <c r="Q59" s="30"/>
      <c r="R59" s="30"/>
      <c r="S59" s="30"/>
      <c r="T59" s="30"/>
      <c r="U59" s="30"/>
      <c r="V59" s="31"/>
    </row>
    <row r="60" spans="1:22">
      <c r="A60" s="1" t="s">
        <v>8</v>
      </c>
      <c r="B60" s="29">
        <f>SUM(LIFE)</f>
        <v>0</v>
      </c>
      <c r="C60" s="30">
        <f>SUM(ALLOCATED)</f>
        <v>0</v>
      </c>
      <c r="D60" s="30">
        <f>SUM(HEALTH)</f>
        <v>13020008.437321076</v>
      </c>
      <c r="E60" s="30">
        <f>SUM(UNALLOCATED)</f>
        <v>0</v>
      </c>
      <c r="F60" s="30">
        <f>SUM(LTC)</f>
        <v>18056536.368295141</v>
      </c>
      <c r="G60" s="31">
        <f>SUM(ALL_BLOCKS)</f>
        <v>31076544.805616219</v>
      </c>
      <c r="H60" s="30"/>
      <c r="I60" s="30"/>
      <c r="J60" s="30"/>
      <c r="K60" s="30"/>
      <c r="L60" s="29">
        <f>SUM(LIFE_CALLED)</f>
        <v>841000</v>
      </c>
      <c r="M60" s="30">
        <f>SUM(LIFE_REFUNDED)</f>
        <v>0</v>
      </c>
      <c r="N60" s="30"/>
      <c r="O60" s="30">
        <f>SUM(ALLOC_CALLED)</f>
        <v>0</v>
      </c>
      <c r="P60" s="30">
        <f>SUM(ALLOC_REFUNDED)</f>
        <v>0</v>
      </c>
      <c r="Q60" s="30"/>
      <c r="R60" s="30">
        <f>SUM(HEALTH_CALLED)</f>
        <v>2059000</v>
      </c>
      <c r="S60" s="30">
        <f>SUM(HEALTH_REFUNDED)</f>
        <v>0</v>
      </c>
      <c r="T60" s="30"/>
      <c r="U60" s="30">
        <f>SUM(UNALLOC_CALLED)</f>
        <v>0</v>
      </c>
      <c r="V60" s="31">
        <f>SUM(UNALLOC_REFUNDED)</f>
        <v>0</v>
      </c>
    </row>
    <row r="61" spans="1:22" ht="5.0999999999999996" customHeight="1">
      <c r="B61" s="8"/>
      <c r="G61" s="11"/>
      <c r="L61" s="8"/>
      <c r="V61" s="11"/>
    </row>
    <row r="62" spans="1:22">
      <c r="B62" s="8"/>
      <c r="G62" s="11"/>
      <c r="L62" s="122" t="s">
        <v>80</v>
      </c>
      <c r="M62" s="123"/>
      <c r="N62" s="123"/>
      <c r="O62" s="123"/>
      <c r="P62" s="123"/>
      <c r="Q62" s="123"/>
      <c r="R62" s="123"/>
      <c r="S62" s="123"/>
      <c r="T62" s="123"/>
      <c r="U62" s="123"/>
      <c r="V62" s="124"/>
    </row>
    <row r="63" spans="1:22">
      <c r="B63" s="8"/>
      <c r="G63" s="11"/>
      <c r="L63" s="125"/>
      <c r="M63" s="123"/>
      <c r="N63" s="123"/>
      <c r="O63" s="123"/>
      <c r="P63" s="123"/>
      <c r="Q63" s="123"/>
      <c r="R63" s="123"/>
      <c r="S63" s="123"/>
      <c r="T63" s="123"/>
      <c r="U63" s="123"/>
      <c r="V63" s="124"/>
    </row>
    <row r="64" spans="1:22">
      <c r="B64" s="10"/>
      <c r="C64" s="7"/>
      <c r="D64" s="7"/>
      <c r="E64" s="7"/>
      <c r="F64" s="7"/>
      <c r="G64" s="13"/>
      <c r="L64" s="126"/>
      <c r="M64" s="127"/>
      <c r="N64" s="127"/>
      <c r="O64" s="127"/>
      <c r="P64" s="127"/>
      <c r="Q64" s="127"/>
      <c r="R64" s="127"/>
      <c r="S64" s="127"/>
      <c r="T64" s="127"/>
      <c r="U64" s="127"/>
      <c r="V64" s="128"/>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pageSetUpPr fitToPage="1"/>
  </sheetPr>
  <dimension ref="A1:V64"/>
  <sheetViews>
    <sheetView zoomScale="75" workbookViewId="0">
      <selection sqref="A1:XFD1048576"/>
    </sheetView>
  </sheetViews>
  <sheetFormatPr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129" t="s">
        <v>157</v>
      </c>
      <c r="B1" s="123"/>
      <c r="C1" s="123"/>
      <c r="D1" s="123"/>
      <c r="E1" s="123"/>
      <c r="F1" s="123"/>
      <c r="G1" s="123"/>
    </row>
    <row r="3" spans="1:22">
      <c r="B3" s="130" t="s">
        <v>1</v>
      </c>
      <c r="C3" s="131"/>
      <c r="D3" s="131"/>
      <c r="E3" s="131"/>
      <c r="F3" s="131"/>
      <c r="G3" s="132"/>
      <c r="L3" s="133" t="s">
        <v>2</v>
      </c>
      <c r="M3" s="134"/>
      <c r="N3" s="134"/>
      <c r="O3" s="134"/>
      <c r="P3" s="134"/>
      <c r="Q3" s="134"/>
      <c r="R3" s="134"/>
      <c r="S3" s="134"/>
      <c r="T3" s="134"/>
      <c r="U3" s="134"/>
      <c r="V3" s="135"/>
    </row>
    <row r="4" spans="1:22">
      <c r="B4" s="8"/>
      <c r="G4" s="11"/>
      <c r="L4" s="136" t="s">
        <v>3</v>
      </c>
      <c r="M4" s="137"/>
      <c r="N4" s="4"/>
      <c r="O4" s="138" t="s">
        <v>4</v>
      </c>
      <c r="P4" s="137"/>
      <c r="Q4" s="4"/>
      <c r="R4" s="138" t="s">
        <v>5</v>
      </c>
      <c r="S4" s="137"/>
      <c r="T4" s="4"/>
      <c r="U4" s="138" t="s">
        <v>6</v>
      </c>
      <c r="V4" s="139"/>
    </row>
    <row r="5" spans="1:22" ht="60" customHeight="1">
      <c r="B5" s="9" t="s">
        <v>3</v>
      </c>
      <c r="C5" s="5" t="s">
        <v>4</v>
      </c>
      <c r="D5" s="5" t="s">
        <v>5</v>
      </c>
      <c r="E5" s="5" t="s">
        <v>6</v>
      </c>
      <c r="F5" s="5" t="s">
        <v>7</v>
      </c>
      <c r="G5" s="12" t="s">
        <v>8</v>
      </c>
      <c r="L5" s="15" t="s">
        <v>9</v>
      </c>
      <c r="M5" s="14" t="s">
        <v>10</v>
      </c>
      <c r="N5" s="14"/>
      <c r="O5" s="14" t="s">
        <v>9</v>
      </c>
      <c r="P5" s="14" t="s">
        <v>10</v>
      </c>
      <c r="Q5" s="14"/>
      <c r="R5" s="14" t="s">
        <v>9</v>
      </c>
      <c r="S5" s="14" t="s">
        <v>10</v>
      </c>
      <c r="T5" s="14"/>
      <c r="U5" s="14" t="s">
        <v>9</v>
      </c>
      <c r="V5" s="16" t="s">
        <v>10</v>
      </c>
    </row>
    <row r="6" spans="1:22">
      <c r="A6" s="1" t="s">
        <v>11</v>
      </c>
      <c r="B6" s="29">
        <v>0</v>
      </c>
      <c r="C6" s="30">
        <v>0</v>
      </c>
      <c r="D6" s="30">
        <v>0</v>
      </c>
      <c r="E6" s="30">
        <v>0</v>
      </c>
      <c r="F6" s="30">
        <v>0</v>
      </c>
      <c r="G6" s="31">
        <f>SUM(AL_FINANCIAL)</f>
        <v>0</v>
      </c>
      <c r="H6" s="30"/>
      <c r="I6" s="30"/>
      <c r="J6" s="30"/>
      <c r="K6" s="30"/>
      <c r="L6" s="29"/>
      <c r="M6" s="30"/>
      <c r="N6" s="30"/>
      <c r="O6" s="30"/>
      <c r="P6" s="30"/>
      <c r="Q6" s="30"/>
      <c r="R6" s="30"/>
      <c r="S6" s="30"/>
      <c r="T6" s="30"/>
      <c r="U6" s="30"/>
      <c r="V6" s="31"/>
    </row>
    <row r="7" spans="1:22">
      <c r="A7" s="1" t="s">
        <v>12</v>
      </c>
      <c r="B7" s="29">
        <v>0</v>
      </c>
      <c r="C7" s="30">
        <v>0</v>
      </c>
      <c r="D7" s="30">
        <v>0</v>
      </c>
      <c r="E7" s="30">
        <v>0</v>
      </c>
      <c r="F7" s="30">
        <v>0</v>
      </c>
      <c r="G7" s="31">
        <f>SUM(AK_FINANCIAL)</f>
        <v>0</v>
      </c>
      <c r="H7" s="30"/>
      <c r="I7" s="32"/>
      <c r="J7" s="33"/>
      <c r="K7" s="30"/>
      <c r="L7" s="29"/>
      <c r="M7" s="30"/>
      <c r="N7" s="30"/>
      <c r="O7" s="30"/>
      <c r="P7" s="30"/>
      <c r="Q7" s="30"/>
      <c r="R7" s="30"/>
      <c r="S7" s="30"/>
      <c r="T7" s="30"/>
      <c r="U7" s="30"/>
      <c r="V7" s="31"/>
    </row>
    <row r="8" spans="1:22">
      <c r="A8" s="1" t="s">
        <v>13</v>
      </c>
      <c r="B8" s="29">
        <v>0</v>
      </c>
      <c r="C8" s="30">
        <v>0</v>
      </c>
      <c r="D8" s="30">
        <v>0</v>
      </c>
      <c r="E8" s="30">
        <v>0</v>
      </c>
      <c r="F8" s="30">
        <v>0</v>
      </c>
      <c r="G8" s="31">
        <f>SUM(AZ_FINANCIAL)</f>
        <v>0</v>
      </c>
      <c r="H8" s="30"/>
      <c r="I8" s="34" t="s">
        <v>14</v>
      </c>
      <c r="J8" s="35"/>
      <c r="K8" s="30"/>
      <c r="L8" s="29"/>
      <c r="M8" s="30"/>
      <c r="N8" s="30"/>
      <c r="O8" s="30"/>
      <c r="P8" s="30"/>
      <c r="Q8" s="30"/>
      <c r="R8" s="30"/>
      <c r="S8" s="30"/>
      <c r="T8" s="30"/>
      <c r="U8" s="30"/>
      <c r="V8" s="31"/>
    </row>
    <row r="9" spans="1:22">
      <c r="A9" s="1" t="s">
        <v>15</v>
      </c>
      <c r="B9" s="29">
        <v>15.051881993896236</v>
      </c>
      <c r="C9" s="30">
        <v>0</v>
      </c>
      <c r="D9" s="30">
        <v>2.9481180061037642</v>
      </c>
      <c r="E9" s="30">
        <v>0</v>
      </c>
      <c r="F9" s="30">
        <v>0</v>
      </c>
      <c r="G9" s="31">
        <f>SUM(AR_FINANCIAL)</f>
        <v>18</v>
      </c>
      <c r="H9" s="30"/>
      <c r="I9" s="34"/>
      <c r="J9" s="35"/>
      <c r="K9" s="30"/>
      <c r="L9" s="29"/>
      <c r="M9" s="30"/>
      <c r="N9" s="30"/>
      <c r="O9" s="30"/>
      <c r="P9" s="30"/>
      <c r="Q9" s="30"/>
      <c r="R9" s="30"/>
      <c r="S9" s="30"/>
      <c r="T9" s="30"/>
      <c r="U9" s="30"/>
      <c r="V9" s="31"/>
    </row>
    <row r="10" spans="1:22">
      <c r="A10" s="1" t="s">
        <v>16</v>
      </c>
      <c r="B10" s="29">
        <v>0</v>
      </c>
      <c r="C10" s="30">
        <v>0</v>
      </c>
      <c r="D10" s="30">
        <v>0</v>
      </c>
      <c r="E10" s="30">
        <v>0</v>
      </c>
      <c r="F10" s="30">
        <v>0</v>
      </c>
      <c r="G10" s="31">
        <f>SUM(CA_FINANCIAL)</f>
        <v>0</v>
      </c>
      <c r="H10" s="30"/>
      <c r="I10" s="34" t="s">
        <v>17</v>
      </c>
      <c r="J10" s="35">
        <v>0</v>
      </c>
      <c r="K10" s="30"/>
      <c r="L10" s="29"/>
      <c r="M10" s="30"/>
      <c r="N10" s="30"/>
      <c r="O10" s="30"/>
      <c r="P10" s="30"/>
      <c r="Q10" s="30"/>
      <c r="R10" s="30"/>
      <c r="S10" s="30"/>
      <c r="T10" s="30"/>
      <c r="U10" s="30"/>
      <c r="V10" s="31"/>
    </row>
    <row r="11" spans="1:22">
      <c r="A11" s="1" t="s">
        <v>18</v>
      </c>
      <c r="B11" s="29">
        <v>0</v>
      </c>
      <c r="C11" s="30">
        <v>0</v>
      </c>
      <c r="D11" s="30">
        <v>0</v>
      </c>
      <c r="E11" s="30">
        <v>0</v>
      </c>
      <c r="F11" s="30">
        <v>0</v>
      </c>
      <c r="G11" s="31">
        <f>SUM(CO_FINANCIAL)</f>
        <v>0</v>
      </c>
      <c r="H11" s="30"/>
      <c r="I11" s="34"/>
      <c r="J11" s="35"/>
      <c r="K11" s="30"/>
      <c r="L11" s="29"/>
      <c r="M11" s="30"/>
      <c r="N11" s="30"/>
      <c r="O11" s="30"/>
      <c r="P11" s="30"/>
      <c r="Q11" s="30"/>
      <c r="R11" s="30"/>
      <c r="S11" s="30"/>
      <c r="T11" s="30"/>
      <c r="U11" s="30"/>
      <c r="V11" s="31"/>
    </row>
    <row r="12" spans="1:22">
      <c r="A12" s="1" t="s">
        <v>19</v>
      </c>
      <c r="B12" s="29">
        <v>0</v>
      </c>
      <c r="C12" s="30">
        <v>0</v>
      </c>
      <c r="D12" s="30">
        <v>0</v>
      </c>
      <c r="E12" s="30">
        <v>0</v>
      </c>
      <c r="F12" s="30">
        <v>0</v>
      </c>
      <c r="G12" s="31">
        <f>SUM(CT_FINANCIAL)</f>
        <v>0</v>
      </c>
      <c r="H12" s="30"/>
      <c r="I12" s="34" t="s">
        <v>20</v>
      </c>
      <c r="J12" s="35"/>
      <c r="K12" s="30"/>
      <c r="L12" s="29"/>
      <c r="M12" s="30"/>
      <c r="N12" s="30"/>
      <c r="O12" s="30"/>
      <c r="P12" s="30"/>
      <c r="Q12" s="30"/>
      <c r="R12" s="30"/>
      <c r="S12" s="30"/>
      <c r="T12" s="30"/>
      <c r="U12" s="30"/>
      <c r="V12" s="31"/>
    </row>
    <row r="13" spans="1:22">
      <c r="A13" s="1" t="s">
        <v>21</v>
      </c>
      <c r="B13" s="29">
        <v>26.309859154929576</v>
      </c>
      <c r="C13" s="30">
        <v>0</v>
      </c>
      <c r="D13" s="30">
        <v>1.6901408450704225</v>
      </c>
      <c r="E13" s="30">
        <v>0</v>
      </c>
      <c r="F13" s="30">
        <v>0</v>
      </c>
      <c r="G13" s="31">
        <f>SUM(DE_FINANCIAL)</f>
        <v>28</v>
      </c>
      <c r="H13" s="30"/>
      <c r="I13" s="34" t="s">
        <v>22</v>
      </c>
      <c r="J13" s="35">
        <v>0</v>
      </c>
      <c r="K13" s="30"/>
      <c r="L13" s="29"/>
      <c r="M13" s="30"/>
      <c r="N13" s="30"/>
      <c r="O13" s="30"/>
      <c r="P13" s="30"/>
      <c r="Q13" s="30"/>
      <c r="R13" s="30"/>
      <c r="S13" s="30"/>
      <c r="T13" s="30"/>
      <c r="U13" s="30"/>
      <c r="V13" s="31"/>
    </row>
    <row r="14" spans="1:22">
      <c r="A14" s="1" t="s">
        <v>23</v>
      </c>
      <c r="B14" s="29">
        <v>0</v>
      </c>
      <c r="C14" s="30">
        <v>0</v>
      </c>
      <c r="D14" s="30">
        <v>0</v>
      </c>
      <c r="E14" s="30">
        <v>0</v>
      </c>
      <c r="F14" s="30">
        <v>0</v>
      </c>
      <c r="G14" s="31">
        <f>SUM(DC_FINANCIAL)</f>
        <v>0</v>
      </c>
      <c r="H14" s="30"/>
      <c r="I14" s="34" t="s">
        <v>24</v>
      </c>
      <c r="J14" s="35">
        <v>0</v>
      </c>
      <c r="K14" s="30"/>
      <c r="L14" s="29"/>
      <c r="M14" s="30"/>
      <c r="N14" s="30"/>
      <c r="O14" s="30"/>
      <c r="P14" s="30"/>
      <c r="Q14" s="30"/>
      <c r="R14" s="30"/>
      <c r="S14" s="30"/>
      <c r="T14" s="30"/>
      <c r="U14" s="30"/>
      <c r="V14" s="31"/>
    </row>
    <row r="15" spans="1:22">
      <c r="A15" s="1" t="s">
        <v>25</v>
      </c>
      <c r="B15" s="29">
        <v>0</v>
      </c>
      <c r="C15" s="30">
        <v>0</v>
      </c>
      <c r="D15" s="30">
        <v>0</v>
      </c>
      <c r="E15" s="30">
        <v>0</v>
      </c>
      <c r="F15" s="30">
        <v>0</v>
      </c>
      <c r="G15" s="31">
        <f>SUM(FL_FINANCIAL)</f>
        <v>0</v>
      </c>
      <c r="H15" s="30"/>
      <c r="I15" s="34" t="s">
        <v>26</v>
      </c>
      <c r="J15" s="35">
        <v>127564.99999999999</v>
      </c>
      <c r="K15" s="30"/>
      <c r="L15" s="29"/>
      <c r="M15" s="30"/>
      <c r="N15" s="30"/>
      <c r="O15" s="30"/>
      <c r="P15" s="30"/>
      <c r="Q15" s="30"/>
      <c r="R15" s="30"/>
      <c r="S15" s="30"/>
      <c r="T15" s="30"/>
      <c r="U15" s="30"/>
      <c r="V15" s="31"/>
    </row>
    <row r="16" spans="1:22">
      <c r="A16" s="1" t="s">
        <v>27</v>
      </c>
      <c r="B16" s="29">
        <v>196.81253852249714</v>
      </c>
      <c r="C16" s="30">
        <v>0</v>
      </c>
      <c r="D16" s="30">
        <v>23.187461477502861</v>
      </c>
      <c r="E16" s="30">
        <v>0</v>
      </c>
      <c r="F16" s="30">
        <v>0</v>
      </c>
      <c r="G16" s="31">
        <f>SUM(GA_FINANCIAL)</f>
        <v>220</v>
      </c>
      <c r="H16" s="30"/>
      <c r="I16" s="34" t="s">
        <v>28</v>
      </c>
      <c r="J16" s="35">
        <v>0</v>
      </c>
      <c r="K16" s="30"/>
      <c r="L16" s="29"/>
      <c r="M16" s="30"/>
      <c r="N16" s="30"/>
      <c r="O16" s="30"/>
      <c r="P16" s="30"/>
      <c r="Q16" s="30"/>
      <c r="R16" s="30"/>
      <c r="S16" s="30"/>
      <c r="T16" s="30"/>
      <c r="U16" s="30"/>
      <c r="V16" s="31"/>
    </row>
    <row r="17" spans="1:22">
      <c r="A17" s="1" t="s">
        <v>29</v>
      </c>
      <c r="B17" s="29">
        <v>0</v>
      </c>
      <c r="C17" s="30">
        <v>0</v>
      </c>
      <c r="D17" s="30">
        <v>0</v>
      </c>
      <c r="E17" s="30">
        <v>0</v>
      </c>
      <c r="F17" s="30">
        <v>0</v>
      </c>
      <c r="G17" s="31">
        <f>SUM(HI_FINANCIAL)</f>
        <v>0</v>
      </c>
      <c r="H17" s="30"/>
      <c r="I17" s="34"/>
      <c r="J17" s="35"/>
      <c r="K17" s="30"/>
      <c r="L17" s="29"/>
      <c r="M17" s="30"/>
      <c r="N17" s="30"/>
      <c r="O17" s="30"/>
      <c r="P17" s="30"/>
      <c r="Q17" s="30"/>
      <c r="R17" s="30"/>
      <c r="S17" s="30"/>
      <c r="T17" s="30"/>
      <c r="U17" s="30"/>
      <c r="V17" s="31"/>
    </row>
    <row r="18" spans="1:22">
      <c r="A18" s="1" t="s">
        <v>30</v>
      </c>
      <c r="B18" s="29">
        <v>0</v>
      </c>
      <c r="C18" s="30">
        <v>0</v>
      </c>
      <c r="D18" s="30">
        <v>0</v>
      </c>
      <c r="E18" s="30">
        <v>0</v>
      </c>
      <c r="F18" s="30">
        <v>0</v>
      </c>
      <c r="G18" s="31">
        <f>SUM(ID_FINANCIAL)</f>
        <v>0</v>
      </c>
      <c r="H18" s="30"/>
      <c r="I18" s="34" t="s">
        <v>31</v>
      </c>
      <c r="J18" s="35"/>
      <c r="K18" s="30"/>
      <c r="L18" s="29"/>
      <c r="M18" s="30"/>
      <c r="N18" s="30"/>
      <c r="O18" s="30"/>
      <c r="P18" s="30"/>
      <c r="Q18" s="30"/>
      <c r="R18" s="30"/>
      <c r="S18" s="30"/>
      <c r="T18" s="30"/>
      <c r="U18" s="30"/>
      <c r="V18" s="31"/>
    </row>
    <row r="19" spans="1:22">
      <c r="A19" s="1" t="s">
        <v>32</v>
      </c>
      <c r="B19" s="29">
        <v>49</v>
      </c>
      <c r="C19" s="30">
        <v>0</v>
      </c>
      <c r="D19" s="30">
        <v>0</v>
      </c>
      <c r="E19" s="30">
        <v>0</v>
      </c>
      <c r="F19" s="30">
        <v>0</v>
      </c>
      <c r="G19" s="31">
        <f>SUM(IL_FINANCIAL)</f>
        <v>49</v>
      </c>
      <c r="H19" s="30"/>
      <c r="I19" s="34" t="s">
        <v>33</v>
      </c>
      <c r="J19" s="35">
        <v>0</v>
      </c>
      <c r="K19" s="30"/>
      <c r="L19" s="29"/>
      <c r="M19" s="30"/>
      <c r="N19" s="30"/>
      <c r="O19" s="30"/>
      <c r="P19" s="30"/>
      <c r="Q19" s="30"/>
      <c r="R19" s="30"/>
      <c r="S19" s="30"/>
      <c r="T19" s="30"/>
      <c r="U19" s="30"/>
      <c r="V19" s="31"/>
    </row>
    <row r="20" spans="1:22">
      <c r="A20" s="1" t="s">
        <v>34</v>
      </c>
      <c r="B20" s="29">
        <v>100.17907769603445</v>
      </c>
      <c r="C20" s="30">
        <v>0</v>
      </c>
      <c r="D20" s="30">
        <v>8.8209223039655473</v>
      </c>
      <c r="E20" s="30">
        <v>0</v>
      </c>
      <c r="F20" s="30">
        <v>0</v>
      </c>
      <c r="G20" s="31">
        <f>SUM(IN_FINANCIAL)</f>
        <v>109</v>
      </c>
      <c r="H20" s="30"/>
      <c r="I20" s="34" t="s">
        <v>35</v>
      </c>
      <c r="J20" s="35">
        <v>0</v>
      </c>
      <c r="K20" s="30"/>
      <c r="L20" s="29"/>
      <c r="M20" s="30"/>
      <c r="N20" s="30"/>
      <c r="O20" s="30"/>
      <c r="P20" s="30"/>
      <c r="Q20" s="30"/>
      <c r="R20" s="30"/>
      <c r="S20" s="30"/>
      <c r="T20" s="30"/>
      <c r="U20" s="30"/>
      <c r="V20" s="31"/>
    </row>
    <row r="21" spans="1:22">
      <c r="A21" s="1" t="s">
        <v>36</v>
      </c>
      <c r="B21" s="29">
        <v>0</v>
      </c>
      <c r="C21" s="30">
        <v>0</v>
      </c>
      <c r="D21" s="30">
        <v>0</v>
      </c>
      <c r="E21" s="30">
        <v>0</v>
      </c>
      <c r="F21" s="30">
        <v>0</v>
      </c>
      <c r="G21" s="31">
        <f>SUM(IA_FINANCIAL)</f>
        <v>0</v>
      </c>
      <c r="H21" s="30"/>
      <c r="I21" s="34" t="s">
        <v>37</v>
      </c>
      <c r="J21" s="35"/>
      <c r="K21" s="30"/>
      <c r="L21" s="29"/>
      <c r="M21" s="30"/>
      <c r="N21" s="30"/>
      <c r="O21" s="30"/>
      <c r="P21" s="30"/>
      <c r="Q21" s="30"/>
      <c r="R21" s="30"/>
      <c r="S21" s="30"/>
      <c r="T21" s="30"/>
      <c r="U21" s="30"/>
      <c r="V21" s="31"/>
    </row>
    <row r="22" spans="1:22">
      <c r="A22" s="1" t="s">
        <v>38</v>
      </c>
      <c r="B22" s="29">
        <v>0</v>
      </c>
      <c r="C22" s="30">
        <v>0</v>
      </c>
      <c r="D22" s="30">
        <v>0</v>
      </c>
      <c r="E22" s="30">
        <v>0</v>
      </c>
      <c r="F22" s="30">
        <v>0</v>
      </c>
      <c r="G22" s="31">
        <f>SUM(KS_FINANCIAL)</f>
        <v>0</v>
      </c>
      <c r="H22" s="30"/>
      <c r="I22" s="34" t="s">
        <v>39</v>
      </c>
      <c r="J22" s="35">
        <v>0</v>
      </c>
      <c r="K22" s="30"/>
      <c r="L22" s="29"/>
      <c r="M22" s="30"/>
      <c r="N22" s="30"/>
      <c r="O22" s="30"/>
      <c r="P22" s="30"/>
      <c r="Q22" s="30"/>
      <c r="R22" s="30"/>
      <c r="S22" s="30"/>
      <c r="T22" s="30"/>
      <c r="U22" s="30"/>
      <c r="V22" s="31"/>
    </row>
    <row r="23" spans="1:22">
      <c r="A23" s="1" t="s">
        <v>40</v>
      </c>
      <c r="B23" s="29">
        <v>1134.2397198353419</v>
      </c>
      <c r="C23" s="30">
        <v>0</v>
      </c>
      <c r="D23" s="30">
        <v>1083.7602801646581</v>
      </c>
      <c r="E23" s="30">
        <v>0</v>
      </c>
      <c r="F23" s="30">
        <v>0</v>
      </c>
      <c r="G23" s="31">
        <f>SUM(KY_FINANCIAL)</f>
        <v>2218</v>
      </c>
      <c r="H23" s="30"/>
      <c r="I23" s="34" t="s">
        <v>41</v>
      </c>
      <c r="J23" s="35"/>
      <c r="K23" s="30"/>
      <c r="L23" s="29"/>
      <c r="M23" s="30"/>
      <c r="N23" s="30"/>
      <c r="O23" s="30"/>
      <c r="P23" s="30"/>
      <c r="Q23" s="30"/>
      <c r="R23" s="30"/>
      <c r="S23" s="30"/>
      <c r="T23" s="30"/>
      <c r="U23" s="30"/>
      <c r="V23" s="31"/>
    </row>
    <row r="24" spans="1:22">
      <c r="A24" s="1" t="s">
        <v>42</v>
      </c>
      <c r="B24" s="29">
        <v>407.84463862242825</v>
      </c>
      <c r="C24" s="30">
        <v>0</v>
      </c>
      <c r="D24" s="30">
        <v>504.15536137757175</v>
      </c>
      <c r="E24" s="30">
        <v>0</v>
      </c>
      <c r="F24" s="30">
        <v>0</v>
      </c>
      <c r="G24" s="31">
        <f>SUM(LA_FINANCIAL)</f>
        <v>912</v>
      </c>
      <c r="H24" s="30"/>
      <c r="I24" s="34" t="s">
        <v>43</v>
      </c>
      <c r="J24" s="35">
        <v>0</v>
      </c>
      <c r="K24" s="30"/>
      <c r="L24" s="29"/>
      <c r="M24" s="30"/>
      <c r="N24" s="30"/>
      <c r="O24" s="30"/>
      <c r="P24" s="30"/>
      <c r="Q24" s="30"/>
      <c r="R24" s="30"/>
      <c r="S24" s="30"/>
      <c r="T24" s="30"/>
      <c r="U24" s="30"/>
      <c r="V24" s="31"/>
    </row>
    <row r="25" spans="1:22">
      <c r="A25" s="1" t="s">
        <v>44</v>
      </c>
      <c r="B25" s="29">
        <v>0</v>
      </c>
      <c r="C25" s="30">
        <v>0</v>
      </c>
      <c r="D25" s="30">
        <v>0</v>
      </c>
      <c r="E25" s="30">
        <v>0</v>
      </c>
      <c r="F25" s="30">
        <v>0</v>
      </c>
      <c r="G25" s="31">
        <f>SUM(ME_FINANCIAL)</f>
        <v>0</v>
      </c>
      <c r="H25" s="30"/>
      <c r="I25" s="34"/>
      <c r="J25" s="35"/>
      <c r="K25" s="30"/>
      <c r="L25" s="29"/>
      <c r="M25" s="30"/>
      <c r="N25" s="30"/>
      <c r="O25" s="30"/>
      <c r="P25" s="30"/>
      <c r="Q25" s="30"/>
      <c r="R25" s="30"/>
      <c r="S25" s="30"/>
      <c r="T25" s="30"/>
      <c r="U25" s="30"/>
      <c r="V25" s="31"/>
    </row>
    <row r="26" spans="1:22">
      <c r="A26" s="1" t="s">
        <v>45</v>
      </c>
      <c r="B26" s="29">
        <v>308.51986317810849</v>
      </c>
      <c r="C26" s="30">
        <v>0</v>
      </c>
      <c r="D26" s="30">
        <v>16.480136821891502</v>
      </c>
      <c r="E26" s="30">
        <v>0</v>
      </c>
      <c r="F26" s="30">
        <v>0</v>
      </c>
      <c r="G26" s="31">
        <f>SUM(MD_FINANCIAL)</f>
        <v>325</v>
      </c>
      <c r="H26" s="30"/>
      <c r="I26" s="34" t="s">
        <v>46</v>
      </c>
      <c r="J26" s="35">
        <f>SUM(ADD_FINANCIAL)-SUM(LESS_FINANCIAL)</f>
        <v>127564.99999999999</v>
      </c>
      <c r="K26" s="30"/>
      <c r="L26" s="29"/>
      <c r="M26" s="30"/>
      <c r="N26" s="30"/>
      <c r="O26" s="30"/>
      <c r="P26" s="30"/>
      <c r="Q26" s="30"/>
      <c r="R26" s="30"/>
      <c r="S26" s="30"/>
      <c r="T26" s="30"/>
      <c r="U26" s="30"/>
      <c r="V26" s="31"/>
    </row>
    <row r="27" spans="1:22">
      <c r="A27" s="1" t="s">
        <v>47</v>
      </c>
      <c r="B27" s="29">
        <v>0</v>
      </c>
      <c r="C27" s="30">
        <v>0</v>
      </c>
      <c r="D27" s="30">
        <v>0</v>
      </c>
      <c r="E27" s="30">
        <v>0</v>
      </c>
      <c r="F27" s="30">
        <v>0</v>
      </c>
      <c r="G27" s="31">
        <f>SUM(MA_FINANCIAL)</f>
        <v>0</v>
      </c>
      <c r="H27" s="30"/>
      <c r="I27" s="34" t="s">
        <v>48</v>
      </c>
      <c r="J27" s="35">
        <f>SUM(ALL_BLOCKS)</f>
        <v>127565</v>
      </c>
      <c r="K27" s="30"/>
      <c r="L27" s="29"/>
      <c r="M27" s="30"/>
      <c r="N27" s="30"/>
      <c r="O27" s="30"/>
      <c r="P27" s="30"/>
      <c r="Q27" s="30"/>
      <c r="R27" s="30"/>
      <c r="S27" s="30"/>
      <c r="T27" s="30"/>
      <c r="U27" s="30"/>
      <c r="V27" s="31"/>
    </row>
    <row r="28" spans="1:22">
      <c r="A28" s="1" t="s">
        <v>49</v>
      </c>
      <c r="B28" s="29">
        <v>0</v>
      </c>
      <c r="C28" s="30">
        <v>0</v>
      </c>
      <c r="D28" s="30">
        <v>0</v>
      </c>
      <c r="E28" s="30">
        <v>0</v>
      </c>
      <c r="F28" s="30">
        <v>0</v>
      </c>
      <c r="G28" s="31">
        <f>SUM(MI_FINANCIAL)</f>
        <v>0</v>
      </c>
      <c r="H28" s="30"/>
      <c r="I28" s="36"/>
      <c r="J28" s="37"/>
      <c r="K28" s="30"/>
      <c r="L28" s="29"/>
      <c r="M28" s="30"/>
      <c r="N28" s="30"/>
      <c r="O28" s="30"/>
      <c r="P28" s="30"/>
      <c r="Q28" s="30"/>
      <c r="R28" s="30"/>
      <c r="S28" s="30"/>
      <c r="T28" s="30"/>
      <c r="U28" s="30"/>
      <c r="V28" s="31"/>
    </row>
    <row r="29" spans="1:22">
      <c r="A29" s="1" t="s">
        <v>50</v>
      </c>
      <c r="B29" s="29">
        <v>0</v>
      </c>
      <c r="C29" s="30">
        <v>0</v>
      </c>
      <c r="D29" s="30">
        <v>0</v>
      </c>
      <c r="E29" s="30">
        <v>0</v>
      </c>
      <c r="F29" s="30">
        <v>0</v>
      </c>
      <c r="G29" s="31">
        <f>SUM(MN_FINANCIAL)</f>
        <v>0</v>
      </c>
      <c r="H29" s="30"/>
      <c r="I29" s="30"/>
      <c r="J29" s="30"/>
      <c r="K29" s="30"/>
      <c r="L29" s="29"/>
      <c r="M29" s="30"/>
      <c r="N29" s="30"/>
      <c r="O29" s="30"/>
      <c r="P29" s="30"/>
      <c r="Q29" s="30"/>
      <c r="R29" s="30"/>
      <c r="S29" s="30"/>
      <c r="T29" s="30"/>
      <c r="U29" s="30"/>
      <c r="V29" s="31"/>
    </row>
    <row r="30" spans="1:22">
      <c r="A30" s="1" t="s">
        <v>51</v>
      </c>
      <c r="B30" s="29">
        <v>16.142095914742452</v>
      </c>
      <c r="C30" s="30">
        <v>0</v>
      </c>
      <c r="D30" s="30">
        <v>15.857904085257548</v>
      </c>
      <c r="E30" s="30">
        <v>0</v>
      </c>
      <c r="F30" s="30">
        <v>0</v>
      </c>
      <c r="G30" s="31">
        <f>SUM(MS_FINANCIAL)</f>
        <v>32</v>
      </c>
      <c r="H30" s="30"/>
      <c r="I30" s="30"/>
      <c r="J30" s="30"/>
      <c r="K30" s="30"/>
      <c r="L30" s="29"/>
      <c r="M30" s="30"/>
      <c r="N30" s="30"/>
      <c r="O30" s="30"/>
      <c r="P30" s="30"/>
      <c r="Q30" s="30"/>
      <c r="R30" s="30"/>
      <c r="S30" s="30"/>
      <c r="T30" s="30"/>
      <c r="U30" s="30"/>
      <c r="V30" s="31"/>
    </row>
    <row r="31" spans="1:22">
      <c r="A31" s="1" t="s">
        <v>52</v>
      </c>
      <c r="B31" s="29">
        <v>104.94237260228863</v>
      </c>
      <c r="C31" s="30">
        <v>0</v>
      </c>
      <c r="D31" s="30">
        <v>368.05762739771137</v>
      </c>
      <c r="E31" s="30">
        <v>0</v>
      </c>
      <c r="F31" s="30">
        <v>0</v>
      </c>
      <c r="G31" s="31">
        <f>SUM(MO_FINANCIAL)</f>
        <v>473</v>
      </c>
      <c r="H31" s="30"/>
      <c r="I31" s="30"/>
      <c r="J31" s="30"/>
      <c r="K31" s="30"/>
      <c r="L31" s="29"/>
      <c r="M31" s="30"/>
      <c r="N31" s="30"/>
      <c r="O31" s="30"/>
      <c r="P31" s="30"/>
      <c r="Q31" s="30"/>
      <c r="R31" s="30"/>
      <c r="S31" s="30"/>
      <c r="T31" s="30"/>
      <c r="U31" s="30"/>
      <c r="V31" s="31"/>
    </row>
    <row r="32" spans="1:22">
      <c r="A32" s="1" t="s">
        <v>53</v>
      </c>
      <c r="B32" s="29">
        <v>0</v>
      </c>
      <c r="C32" s="30">
        <v>0</v>
      </c>
      <c r="D32" s="30">
        <v>0</v>
      </c>
      <c r="E32" s="30">
        <v>0</v>
      </c>
      <c r="F32" s="30">
        <v>0</v>
      </c>
      <c r="G32" s="31">
        <f>SUM(MT_FINANCIAL)</f>
        <v>0</v>
      </c>
      <c r="H32" s="30"/>
      <c r="I32" s="30"/>
      <c r="J32" s="30"/>
      <c r="K32" s="30"/>
      <c r="L32" s="29"/>
      <c r="M32" s="30"/>
      <c r="N32" s="30"/>
      <c r="O32" s="30"/>
      <c r="P32" s="30"/>
      <c r="Q32" s="30"/>
      <c r="R32" s="30"/>
      <c r="S32" s="30"/>
      <c r="T32" s="30"/>
      <c r="U32" s="30"/>
      <c r="V32" s="31"/>
    </row>
    <row r="33" spans="1:22">
      <c r="A33" s="1" t="s">
        <v>54</v>
      </c>
      <c r="B33" s="29">
        <v>3</v>
      </c>
      <c r="C33" s="30">
        <v>0</v>
      </c>
      <c r="D33" s="30">
        <v>0</v>
      </c>
      <c r="E33" s="30">
        <v>0</v>
      </c>
      <c r="F33" s="30">
        <v>0</v>
      </c>
      <c r="G33" s="31">
        <f>SUM(NE_FINANCIAL)</f>
        <v>3</v>
      </c>
      <c r="H33" s="30"/>
      <c r="I33" s="30"/>
      <c r="J33" s="30"/>
      <c r="K33" s="30"/>
      <c r="L33" s="29"/>
      <c r="M33" s="30"/>
      <c r="N33" s="30"/>
      <c r="O33" s="30"/>
      <c r="P33" s="30"/>
      <c r="Q33" s="30"/>
      <c r="R33" s="30"/>
      <c r="S33" s="30"/>
      <c r="T33" s="30"/>
      <c r="U33" s="30"/>
      <c r="V33" s="31"/>
    </row>
    <row r="34" spans="1:22">
      <c r="A34" s="1" t="s">
        <v>55</v>
      </c>
      <c r="B34" s="29">
        <v>0</v>
      </c>
      <c r="C34" s="30">
        <v>0</v>
      </c>
      <c r="D34" s="30">
        <v>0</v>
      </c>
      <c r="E34" s="30">
        <v>0</v>
      </c>
      <c r="F34" s="30">
        <v>0</v>
      </c>
      <c r="G34" s="31">
        <f>SUM(NV_FINANCIAL)</f>
        <v>0</v>
      </c>
      <c r="H34" s="30"/>
      <c r="I34" s="30"/>
      <c r="J34" s="30"/>
      <c r="K34" s="30"/>
      <c r="L34" s="29"/>
      <c r="M34" s="30"/>
      <c r="N34" s="30"/>
      <c r="O34" s="30"/>
      <c r="P34" s="30"/>
      <c r="Q34" s="30"/>
      <c r="R34" s="30"/>
      <c r="S34" s="30"/>
      <c r="T34" s="30"/>
      <c r="U34" s="30"/>
      <c r="V34" s="31"/>
    </row>
    <row r="35" spans="1:22">
      <c r="A35" s="1" t="s">
        <v>56</v>
      </c>
      <c r="B35" s="29">
        <v>0</v>
      </c>
      <c r="C35" s="30">
        <v>0</v>
      </c>
      <c r="D35" s="30">
        <v>0</v>
      </c>
      <c r="E35" s="30">
        <v>0</v>
      </c>
      <c r="F35" s="30">
        <v>0</v>
      </c>
      <c r="G35" s="31">
        <f>SUM(NH_FINANCIAL)</f>
        <v>0</v>
      </c>
      <c r="H35" s="30"/>
      <c r="I35" s="30"/>
      <c r="J35" s="30"/>
      <c r="K35" s="30"/>
      <c r="L35" s="29"/>
      <c r="M35" s="30"/>
      <c r="N35" s="30"/>
      <c r="O35" s="30"/>
      <c r="P35" s="30"/>
      <c r="Q35" s="30"/>
      <c r="R35" s="30"/>
      <c r="S35" s="30"/>
      <c r="T35" s="30"/>
      <c r="U35" s="30"/>
      <c r="V35" s="31"/>
    </row>
    <row r="36" spans="1:22">
      <c r="A36" s="1" t="s">
        <v>57</v>
      </c>
      <c r="B36" s="29">
        <v>0</v>
      </c>
      <c r="C36" s="30">
        <v>0</v>
      </c>
      <c r="D36" s="30">
        <v>0</v>
      </c>
      <c r="E36" s="30">
        <v>0</v>
      </c>
      <c r="F36" s="30">
        <v>0</v>
      </c>
      <c r="G36" s="31">
        <f>SUM(NJ_FINANCIAL)</f>
        <v>0</v>
      </c>
      <c r="H36" s="30"/>
      <c r="I36" s="30"/>
      <c r="J36" s="30"/>
      <c r="K36" s="30"/>
      <c r="L36" s="29"/>
      <c r="M36" s="30"/>
      <c r="N36" s="30"/>
      <c r="O36" s="30"/>
      <c r="P36" s="30"/>
      <c r="Q36" s="30"/>
      <c r="R36" s="30"/>
      <c r="S36" s="30"/>
      <c r="T36" s="30"/>
      <c r="U36" s="30"/>
      <c r="V36" s="31"/>
    </row>
    <row r="37" spans="1:22">
      <c r="A37" s="1" t="s">
        <v>58</v>
      </c>
      <c r="B37" s="29">
        <v>0</v>
      </c>
      <c r="C37" s="30">
        <v>0</v>
      </c>
      <c r="D37" s="30">
        <v>0</v>
      </c>
      <c r="E37" s="30">
        <v>0</v>
      </c>
      <c r="F37" s="30">
        <v>0</v>
      </c>
      <c r="G37" s="31">
        <f>SUM(NM_FINANCIAL)</f>
        <v>0</v>
      </c>
      <c r="H37" s="30"/>
      <c r="I37" s="30"/>
      <c r="J37" s="30"/>
      <c r="K37" s="30"/>
      <c r="L37" s="29"/>
      <c r="M37" s="30"/>
      <c r="N37" s="30"/>
      <c r="O37" s="30"/>
      <c r="P37" s="30"/>
      <c r="Q37" s="30"/>
      <c r="R37" s="30"/>
      <c r="S37" s="30"/>
      <c r="T37" s="30"/>
      <c r="U37" s="30"/>
      <c r="V37" s="31"/>
    </row>
    <row r="38" spans="1:22">
      <c r="A38" s="1" t="s">
        <v>59</v>
      </c>
      <c r="B38" s="29">
        <v>0</v>
      </c>
      <c r="C38" s="30">
        <v>0</v>
      </c>
      <c r="D38" s="30">
        <v>0</v>
      </c>
      <c r="E38" s="30">
        <v>0</v>
      </c>
      <c r="F38" s="30">
        <v>0</v>
      </c>
      <c r="G38" s="31">
        <f>SUM(NY_FINANCIAL)</f>
        <v>0</v>
      </c>
      <c r="H38" s="30"/>
      <c r="I38" s="30"/>
      <c r="J38" s="30"/>
      <c r="K38" s="30"/>
      <c r="L38" s="29"/>
      <c r="M38" s="30"/>
      <c r="N38" s="30"/>
      <c r="O38" s="30"/>
      <c r="P38" s="30"/>
      <c r="Q38" s="30"/>
      <c r="R38" s="30"/>
      <c r="S38" s="30"/>
      <c r="T38" s="30"/>
      <c r="U38" s="30"/>
      <c r="V38" s="31"/>
    </row>
    <row r="39" spans="1:22">
      <c r="A39" s="1" t="s">
        <v>60</v>
      </c>
      <c r="B39" s="29">
        <v>8658.2419994976844</v>
      </c>
      <c r="C39" s="30">
        <v>0</v>
      </c>
      <c r="D39" s="30">
        <v>5067.7580005023146</v>
      </c>
      <c r="E39" s="30">
        <v>0</v>
      </c>
      <c r="F39" s="30">
        <v>0</v>
      </c>
      <c r="G39" s="31">
        <f>SUM(NC_FINANCIAL)</f>
        <v>13726</v>
      </c>
      <c r="H39" s="30"/>
      <c r="I39" s="30"/>
      <c r="J39" s="30"/>
      <c r="K39" s="30"/>
      <c r="L39" s="29"/>
      <c r="M39" s="30"/>
      <c r="N39" s="30"/>
      <c r="O39" s="30"/>
      <c r="P39" s="30"/>
      <c r="Q39" s="30"/>
      <c r="R39" s="30"/>
      <c r="S39" s="30"/>
      <c r="T39" s="30"/>
      <c r="U39" s="30"/>
      <c r="V39" s="31"/>
    </row>
    <row r="40" spans="1:22">
      <c r="A40" s="1" t="s">
        <v>61</v>
      </c>
      <c r="B40" s="29">
        <v>1</v>
      </c>
      <c r="C40" s="30">
        <v>0</v>
      </c>
      <c r="D40" s="30">
        <v>0</v>
      </c>
      <c r="E40" s="30">
        <v>0</v>
      </c>
      <c r="F40" s="30">
        <v>0</v>
      </c>
      <c r="G40" s="31">
        <f>SUM(ND_FINANCIAL)</f>
        <v>1</v>
      </c>
      <c r="H40" s="30"/>
      <c r="I40" s="30"/>
      <c r="J40" s="30"/>
      <c r="K40" s="30"/>
      <c r="L40" s="29"/>
      <c r="M40" s="30"/>
      <c r="N40" s="30"/>
      <c r="O40" s="30"/>
      <c r="P40" s="30"/>
      <c r="Q40" s="30"/>
      <c r="R40" s="30"/>
      <c r="S40" s="30"/>
      <c r="T40" s="30"/>
      <c r="U40" s="30"/>
      <c r="V40" s="31"/>
    </row>
    <row r="41" spans="1:22">
      <c r="A41" s="1" t="s">
        <v>62</v>
      </c>
      <c r="B41" s="29">
        <v>352.31982337170791</v>
      </c>
      <c r="C41" s="30">
        <v>0</v>
      </c>
      <c r="D41" s="30">
        <v>17.680176628292067</v>
      </c>
      <c r="E41" s="30">
        <v>0</v>
      </c>
      <c r="F41" s="30">
        <v>0</v>
      </c>
      <c r="G41" s="31">
        <f>SUM(OH_FINANCIAL)</f>
        <v>370</v>
      </c>
      <c r="H41" s="30"/>
      <c r="I41" s="30"/>
      <c r="J41" s="30"/>
      <c r="K41" s="30"/>
      <c r="L41" s="29"/>
      <c r="M41" s="30"/>
      <c r="N41" s="30"/>
      <c r="O41" s="30"/>
      <c r="P41" s="30"/>
      <c r="Q41" s="30"/>
      <c r="R41" s="30"/>
      <c r="S41" s="30"/>
      <c r="T41" s="30"/>
      <c r="U41" s="30"/>
      <c r="V41" s="31"/>
    </row>
    <row r="42" spans="1:22">
      <c r="A42" s="1" t="s">
        <v>63</v>
      </c>
      <c r="B42" s="29">
        <v>0</v>
      </c>
      <c r="C42" s="30">
        <v>0</v>
      </c>
      <c r="D42" s="30">
        <v>0</v>
      </c>
      <c r="E42" s="30">
        <v>0</v>
      </c>
      <c r="F42" s="30">
        <v>0</v>
      </c>
      <c r="G42" s="31">
        <f>SUM(OK_FINANCIAL)</f>
        <v>0</v>
      </c>
      <c r="H42" s="30"/>
      <c r="I42" s="30"/>
      <c r="J42" s="30"/>
      <c r="K42" s="30"/>
      <c r="L42" s="29"/>
      <c r="M42" s="30"/>
      <c r="N42" s="30"/>
      <c r="O42" s="30"/>
      <c r="P42" s="30"/>
      <c r="Q42" s="30"/>
      <c r="R42" s="30"/>
      <c r="S42" s="30"/>
      <c r="T42" s="30"/>
      <c r="U42" s="30"/>
      <c r="V42" s="31"/>
    </row>
    <row r="43" spans="1:22">
      <c r="A43" s="1" t="s">
        <v>64</v>
      </c>
      <c r="B43" s="29">
        <v>0</v>
      </c>
      <c r="C43" s="30">
        <v>0</v>
      </c>
      <c r="D43" s="30">
        <v>0</v>
      </c>
      <c r="E43" s="30">
        <v>0</v>
      </c>
      <c r="F43" s="30">
        <v>0</v>
      </c>
      <c r="G43" s="31">
        <f>SUM(OR_FINANCIAL)</f>
        <v>0</v>
      </c>
      <c r="H43" s="30"/>
      <c r="I43" s="30"/>
      <c r="J43" s="30"/>
      <c r="K43" s="30"/>
      <c r="L43" s="29"/>
      <c r="M43" s="30"/>
      <c r="N43" s="30"/>
      <c r="O43" s="30"/>
      <c r="P43" s="30"/>
      <c r="Q43" s="30"/>
      <c r="R43" s="30"/>
      <c r="S43" s="30"/>
      <c r="T43" s="30"/>
      <c r="U43" s="30"/>
      <c r="V43" s="31"/>
    </row>
    <row r="44" spans="1:22">
      <c r="A44" s="1" t="s">
        <v>65</v>
      </c>
      <c r="B44" s="29">
        <v>0</v>
      </c>
      <c r="C44" s="30">
        <v>0</v>
      </c>
      <c r="D44" s="30">
        <v>0</v>
      </c>
      <c r="E44" s="30">
        <v>0</v>
      </c>
      <c r="F44" s="30">
        <v>0</v>
      </c>
      <c r="G44" s="31">
        <f>SUM(PA_FINANCIAL)</f>
        <v>0</v>
      </c>
      <c r="H44" s="30"/>
      <c r="I44" s="30"/>
      <c r="J44" s="30"/>
      <c r="K44" s="30"/>
      <c r="L44" s="29"/>
      <c r="M44" s="30"/>
      <c r="N44" s="30"/>
      <c r="O44" s="30"/>
      <c r="P44" s="30"/>
      <c r="Q44" s="30"/>
      <c r="R44" s="30"/>
      <c r="S44" s="30"/>
      <c r="T44" s="30"/>
      <c r="U44" s="30"/>
      <c r="V44" s="31"/>
    </row>
    <row r="45" spans="1:22">
      <c r="A45" s="1" t="s">
        <v>66</v>
      </c>
      <c r="B45" s="29">
        <v>0</v>
      </c>
      <c r="C45" s="30">
        <v>0</v>
      </c>
      <c r="D45" s="30">
        <v>0</v>
      </c>
      <c r="E45" s="30">
        <v>0</v>
      </c>
      <c r="F45" s="30">
        <v>0</v>
      </c>
      <c r="G45" s="31">
        <f>SUM(PR_FINANCIAL)</f>
        <v>0</v>
      </c>
      <c r="H45" s="30"/>
      <c r="I45" s="30"/>
      <c r="J45" s="30"/>
      <c r="K45" s="30"/>
      <c r="L45" s="29"/>
      <c r="M45" s="30"/>
      <c r="N45" s="30"/>
      <c r="O45" s="30"/>
      <c r="P45" s="30"/>
      <c r="Q45" s="30"/>
      <c r="R45" s="30"/>
      <c r="S45" s="30"/>
      <c r="T45" s="30"/>
      <c r="U45" s="30"/>
      <c r="V45" s="31"/>
    </row>
    <row r="46" spans="1:22">
      <c r="A46" s="1" t="s">
        <v>67</v>
      </c>
      <c r="B46" s="29">
        <v>0</v>
      </c>
      <c r="C46" s="30">
        <v>0</v>
      </c>
      <c r="D46" s="30">
        <v>0</v>
      </c>
      <c r="E46" s="30">
        <v>0</v>
      </c>
      <c r="F46" s="30">
        <v>0</v>
      </c>
      <c r="G46" s="31">
        <f>SUM(RI_FINANCIAL)</f>
        <v>0</v>
      </c>
      <c r="H46" s="30"/>
      <c r="I46" s="30"/>
      <c r="J46" s="30"/>
      <c r="K46" s="30"/>
      <c r="L46" s="29"/>
      <c r="M46" s="30"/>
      <c r="N46" s="30"/>
      <c r="O46" s="30"/>
      <c r="P46" s="30"/>
      <c r="Q46" s="30"/>
      <c r="R46" s="30"/>
      <c r="S46" s="30"/>
      <c r="T46" s="30"/>
      <c r="U46" s="30"/>
      <c r="V46" s="31"/>
    </row>
    <row r="47" spans="1:22">
      <c r="A47" s="1" t="s">
        <v>68</v>
      </c>
      <c r="B47" s="29">
        <v>176.99325626204239</v>
      </c>
      <c r="C47" s="30">
        <v>0</v>
      </c>
      <c r="D47" s="30">
        <v>25.00674373795761</v>
      </c>
      <c r="E47" s="30">
        <v>0</v>
      </c>
      <c r="F47" s="30">
        <v>0</v>
      </c>
      <c r="G47" s="31">
        <f>SUM(SC_FINANCIAL)</f>
        <v>202</v>
      </c>
      <c r="H47" s="30"/>
      <c r="I47" s="30"/>
      <c r="J47" s="30"/>
      <c r="K47" s="30"/>
      <c r="L47" s="29"/>
      <c r="M47" s="30"/>
      <c r="N47" s="30"/>
      <c r="O47" s="30"/>
      <c r="P47" s="30"/>
      <c r="Q47" s="30"/>
      <c r="R47" s="30"/>
      <c r="S47" s="30"/>
      <c r="T47" s="30"/>
      <c r="U47" s="30"/>
      <c r="V47" s="31"/>
    </row>
    <row r="48" spans="1:22">
      <c r="A48" s="1" t="s">
        <v>69</v>
      </c>
      <c r="B48" s="29">
        <v>0</v>
      </c>
      <c r="C48" s="30">
        <v>0</v>
      </c>
      <c r="D48" s="30">
        <v>0</v>
      </c>
      <c r="E48" s="30">
        <v>0</v>
      </c>
      <c r="F48" s="30">
        <v>0</v>
      </c>
      <c r="G48" s="31">
        <f>SUM(SD_FINANCIAL)</f>
        <v>0</v>
      </c>
      <c r="H48" s="30"/>
      <c r="I48" s="30"/>
      <c r="J48" s="30"/>
      <c r="K48" s="30"/>
      <c r="L48" s="29"/>
      <c r="M48" s="30"/>
      <c r="N48" s="30"/>
      <c r="O48" s="30"/>
      <c r="P48" s="30"/>
      <c r="Q48" s="30"/>
      <c r="R48" s="30"/>
      <c r="S48" s="30"/>
      <c r="T48" s="30"/>
      <c r="U48" s="30"/>
      <c r="V48" s="31"/>
    </row>
    <row r="49" spans="1:22">
      <c r="A49" s="1" t="s">
        <v>70</v>
      </c>
      <c r="B49" s="29">
        <v>5025.0389482047012</v>
      </c>
      <c r="C49" s="30">
        <v>0</v>
      </c>
      <c r="D49" s="30">
        <v>2009.961051795299</v>
      </c>
      <c r="E49" s="30">
        <v>0</v>
      </c>
      <c r="F49" s="30">
        <v>0</v>
      </c>
      <c r="G49" s="31">
        <f>SUM(TN_FINANCIAL)</f>
        <v>7035</v>
      </c>
      <c r="H49" s="30"/>
      <c r="I49" s="30"/>
      <c r="J49" s="30"/>
      <c r="K49" s="30"/>
      <c r="L49" s="29"/>
      <c r="M49" s="30"/>
      <c r="N49" s="30"/>
      <c r="O49" s="30"/>
      <c r="P49" s="30"/>
      <c r="Q49" s="30"/>
      <c r="R49" s="30"/>
      <c r="S49" s="30"/>
      <c r="T49" s="30"/>
      <c r="U49" s="30"/>
      <c r="V49" s="31"/>
    </row>
    <row r="50" spans="1:22">
      <c r="A50" s="1" t="s">
        <v>71</v>
      </c>
      <c r="B50" s="29">
        <v>0</v>
      </c>
      <c r="C50" s="30">
        <v>0</v>
      </c>
      <c r="D50" s="30">
        <v>0</v>
      </c>
      <c r="E50" s="30">
        <v>0</v>
      </c>
      <c r="F50" s="30">
        <v>0</v>
      </c>
      <c r="G50" s="31">
        <f>SUM(TX_FINANCIAL)</f>
        <v>0</v>
      </c>
      <c r="H50" s="30"/>
      <c r="I50" s="30"/>
      <c r="J50" s="30"/>
      <c r="K50" s="30"/>
      <c r="L50" s="29"/>
      <c r="M50" s="30"/>
      <c r="N50" s="30"/>
      <c r="O50" s="30"/>
      <c r="P50" s="30"/>
      <c r="Q50" s="30"/>
      <c r="R50" s="30"/>
      <c r="S50" s="30"/>
      <c r="T50" s="30"/>
      <c r="U50" s="30"/>
      <c r="V50" s="31"/>
    </row>
    <row r="51" spans="1:22">
      <c r="A51" s="1" t="s">
        <v>72</v>
      </c>
      <c r="B51" s="29">
        <v>0</v>
      </c>
      <c r="C51" s="30">
        <v>0</v>
      </c>
      <c r="D51" s="30">
        <v>0</v>
      </c>
      <c r="E51" s="30">
        <v>0</v>
      </c>
      <c r="F51" s="30">
        <v>0</v>
      </c>
      <c r="G51" s="31">
        <f>SUM(UT_FINANCIAL)</f>
        <v>0</v>
      </c>
      <c r="H51" s="30"/>
      <c r="I51" s="30"/>
      <c r="J51" s="30"/>
      <c r="K51" s="30"/>
      <c r="L51" s="29"/>
      <c r="M51" s="30"/>
      <c r="N51" s="30"/>
      <c r="O51" s="30"/>
      <c r="P51" s="30"/>
      <c r="Q51" s="30"/>
      <c r="R51" s="30"/>
      <c r="S51" s="30"/>
      <c r="T51" s="30"/>
      <c r="U51" s="30"/>
      <c r="V51" s="31"/>
    </row>
    <row r="52" spans="1:22">
      <c r="A52" s="1" t="s">
        <v>73</v>
      </c>
      <c r="B52" s="29">
        <v>0</v>
      </c>
      <c r="C52" s="30">
        <v>0</v>
      </c>
      <c r="D52" s="30">
        <v>0</v>
      </c>
      <c r="E52" s="30">
        <v>0</v>
      </c>
      <c r="F52" s="30">
        <v>0</v>
      </c>
      <c r="G52" s="31">
        <f>SUM(VT_FINANCIAL)</f>
        <v>0</v>
      </c>
      <c r="H52" s="30"/>
      <c r="I52" s="30"/>
      <c r="J52" s="30"/>
      <c r="K52" s="30"/>
      <c r="L52" s="29"/>
      <c r="M52" s="30"/>
      <c r="N52" s="30"/>
      <c r="O52" s="30"/>
      <c r="P52" s="30"/>
      <c r="Q52" s="30"/>
      <c r="R52" s="30"/>
      <c r="S52" s="30"/>
      <c r="T52" s="30"/>
      <c r="U52" s="30"/>
      <c r="V52" s="31"/>
    </row>
    <row r="53" spans="1:22">
      <c r="A53" s="1" t="s">
        <v>74</v>
      </c>
      <c r="B53" s="29">
        <v>83720.84661547649</v>
      </c>
      <c r="C53" s="30">
        <v>0</v>
      </c>
      <c r="D53" s="30">
        <v>17015.153384523506</v>
      </c>
      <c r="E53" s="30">
        <v>0</v>
      </c>
      <c r="F53" s="30">
        <v>0</v>
      </c>
      <c r="G53" s="31">
        <f>SUM(VA_FINANCIAL)</f>
        <v>100736</v>
      </c>
      <c r="H53" s="30"/>
      <c r="I53" s="30"/>
      <c r="J53" s="30"/>
      <c r="K53" s="30"/>
      <c r="L53" s="29">
        <v>97500</v>
      </c>
      <c r="M53" s="30">
        <v>0</v>
      </c>
      <c r="N53" s="30"/>
      <c r="O53" s="30">
        <v>0</v>
      </c>
      <c r="P53" s="30">
        <v>0</v>
      </c>
      <c r="Q53" s="30"/>
      <c r="R53" s="30">
        <v>15000</v>
      </c>
      <c r="S53" s="30">
        <v>0</v>
      </c>
      <c r="T53" s="30"/>
      <c r="U53" s="30">
        <v>0</v>
      </c>
      <c r="V53" s="31">
        <v>0</v>
      </c>
    </row>
    <row r="54" spans="1:22">
      <c r="A54" s="1" t="s">
        <v>75</v>
      </c>
      <c r="B54" s="29">
        <v>0</v>
      </c>
      <c r="C54" s="30">
        <v>0</v>
      </c>
      <c r="D54" s="30">
        <v>0</v>
      </c>
      <c r="E54" s="30">
        <v>0</v>
      </c>
      <c r="F54" s="30">
        <v>0</v>
      </c>
      <c r="G54" s="31">
        <f>SUM(WA_FINANCIAL)</f>
        <v>0</v>
      </c>
      <c r="H54" s="30"/>
      <c r="I54" s="30"/>
      <c r="J54" s="30"/>
      <c r="K54" s="30"/>
      <c r="L54" s="29"/>
      <c r="M54" s="30"/>
      <c r="N54" s="30"/>
      <c r="O54" s="30"/>
      <c r="P54" s="30"/>
      <c r="Q54" s="30"/>
      <c r="R54" s="30"/>
      <c r="S54" s="30"/>
      <c r="T54" s="30"/>
      <c r="U54" s="30"/>
      <c r="V54" s="31"/>
    </row>
    <row r="55" spans="1:22">
      <c r="A55" s="1" t="s">
        <v>76</v>
      </c>
      <c r="B55" s="29">
        <v>947.76453636507404</v>
      </c>
      <c r="C55" s="30">
        <v>0</v>
      </c>
      <c r="D55" s="30">
        <v>160.23546363492594</v>
      </c>
      <c r="E55" s="30">
        <v>0</v>
      </c>
      <c r="F55" s="30">
        <v>0</v>
      </c>
      <c r="G55" s="31">
        <f>SUM(WV_FINANCIAL)</f>
        <v>1108</v>
      </c>
      <c r="H55" s="30"/>
      <c r="I55" s="30"/>
      <c r="J55" s="30"/>
      <c r="K55" s="30"/>
      <c r="L55" s="29"/>
      <c r="M55" s="30"/>
      <c r="N55" s="30"/>
      <c r="O55" s="30"/>
      <c r="P55" s="30"/>
      <c r="Q55" s="30"/>
      <c r="R55" s="30"/>
      <c r="S55" s="30"/>
      <c r="T55" s="30"/>
      <c r="U55" s="30"/>
      <c r="V55" s="31"/>
    </row>
    <row r="56" spans="1:22">
      <c r="A56" s="1" t="s">
        <v>77</v>
      </c>
      <c r="B56" s="29">
        <v>0</v>
      </c>
      <c r="C56" s="30">
        <v>0</v>
      </c>
      <c r="D56" s="30">
        <v>0</v>
      </c>
      <c r="E56" s="30">
        <v>0</v>
      </c>
      <c r="F56" s="30">
        <v>0</v>
      </c>
      <c r="G56" s="31">
        <f>SUM(WI_FINANCIAL)</f>
        <v>0</v>
      </c>
      <c r="H56" s="30"/>
      <c r="I56" s="30"/>
      <c r="J56" s="30"/>
      <c r="K56" s="30"/>
      <c r="L56" s="29"/>
      <c r="M56" s="30"/>
      <c r="N56" s="30"/>
      <c r="O56" s="30"/>
      <c r="P56" s="30"/>
      <c r="Q56" s="30"/>
      <c r="R56" s="30"/>
      <c r="S56" s="30"/>
      <c r="T56" s="30"/>
      <c r="U56" s="30"/>
      <c r="V56" s="31"/>
    </row>
    <row r="57" spans="1:22">
      <c r="A57" s="1" t="s">
        <v>78</v>
      </c>
      <c r="B57" s="29">
        <v>0</v>
      </c>
      <c r="C57" s="30">
        <v>0</v>
      </c>
      <c r="D57" s="30">
        <v>0</v>
      </c>
      <c r="E57" s="30">
        <v>0</v>
      </c>
      <c r="F57" s="30">
        <v>0</v>
      </c>
      <c r="G57" s="31">
        <f>SUM(WY_FINANCIAL)</f>
        <v>0</v>
      </c>
      <c r="H57" s="30"/>
      <c r="I57" s="30"/>
      <c r="J57" s="30"/>
      <c r="K57" s="30"/>
      <c r="L57" s="29"/>
      <c r="M57" s="30"/>
      <c r="N57" s="30"/>
      <c r="O57" s="30"/>
      <c r="P57" s="30"/>
      <c r="Q57" s="30"/>
      <c r="R57" s="30"/>
      <c r="S57" s="30"/>
      <c r="T57" s="30"/>
      <c r="U57" s="30"/>
      <c r="V57" s="31"/>
    </row>
    <row r="58" spans="1:22">
      <c r="A58" s="1" t="s">
        <v>79</v>
      </c>
      <c r="B58" s="29">
        <v>0</v>
      </c>
      <c r="C58" s="30">
        <v>0</v>
      </c>
      <c r="D58" s="30">
        <v>0</v>
      </c>
      <c r="E58" s="30">
        <v>0</v>
      </c>
      <c r="F58" s="30">
        <v>0</v>
      </c>
      <c r="G58" s="31">
        <f>SUM(OT_FINANCIAL)</f>
        <v>0</v>
      </c>
      <c r="H58" s="30"/>
      <c r="I58" s="30"/>
      <c r="J58" s="30"/>
      <c r="K58" s="30"/>
      <c r="L58" s="29"/>
      <c r="M58" s="30"/>
      <c r="N58" s="30"/>
      <c r="O58" s="30"/>
      <c r="P58" s="30"/>
      <c r="Q58" s="30"/>
      <c r="R58" s="30"/>
      <c r="S58" s="30"/>
      <c r="T58" s="30"/>
      <c r="U58" s="30"/>
      <c r="V58" s="31"/>
    </row>
    <row r="59" spans="1:22">
      <c r="B59" s="29"/>
      <c r="C59" s="30"/>
      <c r="D59" s="30"/>
      <c r="E59" s="30"/>
      <c r="F59" s="30"/>
      <c r="G59" s="31"/>
      <c r="H59" s="30"/>
      <c r="I59" s="30"/>
      <c r="J59" s="30"/>
      <c r="K59" s="30"/>
      <c r="L59" s="29"/>
      <c r="M59" s="30"/>
      <c r="N59" s="30"/>
      <c r="O59" s="30"/>
      <c r="P59" s="30"/>
      <c r="Q59" s="30"/>
      <c r="R59" s="30"/>
      <c r="S59" s="30"/>
      <c r="T59" s="30"/>
      <c r="U59" s="30"/>
      <c r="V59" s="31"/>
    </row>
    <row r="60" spans="1:22">
      <c r="A60" s="1" t="s">
        <v>8</v>
      </c>
      <c r="B60" s="29">
        <f>SUM(LIFE)</f>
        <v>101244.24722669797</v>
      </c>
      <c r="C60" s="30">
        <f>SUM(ALLOCATED)</f>
        <v>0</v>
      </c>
      <c r="D60" s="30">
        <f>SUM(HEALTH)</f>
        <v>26320.752773302029</v>
      </c>
      <c r="E60" s="30">
        <f>SUM(UNALLOCATED)</f>
        <v>0</v>
      </c>
      <c r="F60" s="30">
        <f>SUM(LTC)</f>
        <v>0</v>
      </c>
      <c r="G60" s="31">
        <f>SUM(ALL_BLOCKS)</f>
        <v>127565</v>
      </c>
      <c r="H60" s="30"/>
      <c r="I60" s="30"/>
      <c r="J60" s="30"/>
      <c r="K60" s="30"/>
      <c r="L60" s="29">
        <f>SUM(LIFE_CALLED)</f>
        <v>97500</v>
      </c>
      <c r="M60" s="30">
        <f>SUM(LIFE_REFUNDED)</f>
        <v>0</v>
      </c>
      <c r="N60" s="30"/>
      <c r="O60" s="30">
        <f>SUM(ALLOC_CALLED)</f>
        <v>0</v>
      </c>
      <c r="P60" s="30">
        <f>SUM(ALLOC_REFUNDED)</f>
        <v>0</v>
      </c>
      <c r="Q60" s="30"/>
      <c r="R60" s="30">
        <f>SUM(HEALTH_CALLED)</f>
        <v>15000</v>
      </c>
      <c r="S60" s="30">
        <f>SUM(HEALTH_REFUNDED)</f>
        <v>0</v>
      </c>
      <c r="T60" s="30"/>
      <c r="U60" s="30">
        <f>SUM(UNALLOC_CALLED)</f>
        <v>0</v>
      </c>
      <c r="V60" s="31">
        <f>SUM(UNALLOC_REFUNDED)</f>
        <v>0</v>
      </c>
    </row>
    <row r="61" spans="1:22" ht="5.0999999999999996" customHeight="1">
      <c r="B61" s="8"/>
      <c r="G61" s="11"/>
      <c r="L61" s="8"/>
      <c r="V61" s="11"/>
    </row>
    <row r="62" spans="1:22">
      <c r="B62" s="8"/>
      <c r="G62" s="11"/>
      <c r="L62" s="122" t="s">
        <v>80</v>
      </c>
      <c r="M62" s="123"/>
      <c r="N62" s="123"/>
      <c r="O62" s="123"/>
      <c r="P62" s="123"/>
      <c r="Q62" s="123"/>
      <c r="R62" s="123"/>
      <c r="S62" s="123"/>
      <c r="T62" s="123"/>
      <c r="U62" s="123"/>
      <c r="V62" s="124"/>
    </row>
    <row r="63" spans="1:22">
      <c r="B63" s="8"/>
      <c r="G63" s="11"/>
      <c r="L63" s="125"/>
      <c r="M63" s="123"/>
      <c r="N63" s="123"/>
      <c r="O63" s="123"/>
      <c r="P63" s="123"/>
      <c r="Q63" s="123"/>
      <c r="R63" s="123"/>
      <c r="S63" s="123"/>
      <c r="T63" s="123"/>
      <c r="U63" s="123"/>
      <c r="V63" s="124"/>
    </row>
    <row r="64" spans="1:22">
      <c r="B64" s="10"/>
      <c r="C64" s="7"/>
      <c r="D64" s="7"/>
      <c r="E64" s="7"/>
      <c r="F64" s="7"/>
      <c r="G64" s="13"/>
      <c r="L64" s="126"/>
      <c r="M64" s="127"/>
      <c r="N64" s="127"/>
      <c r="O64" s="127"/>
      <c r="P64" s="127"/>
      <c r="Q64" s="127"/>
      <c r="R64" s="127"/>
      <c r="S64" s="127"/>
      <c r="T64" s="127"/>
      <c r="U64" s="127"/>
      <c r="V64" s="128"/>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pageSetUpPr fitToPage="1"/>
  </sheetPr>
  <dimension ref="A1:V64"/>
  <sheetViews>
    <sheetView zoomScale="75" workbookViewId="0">
      <selection sqref="A1:XFD1048576"/>
    </sheetView>
  </sheetViews>
  <sheetFormatPr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129" t="s">
        <v>158</v>
      </c>
      <c r="B1" s="123"/>
      <c r="C1" s="123"/>
      <c r="D1" s="123"/>
      <c r="E1" s="123"/>
      <c r="F1" s="123"/>
      <c r="G1" s="123"/>
    </row>
    <row r="3" spans="1:22">
      <c r="B3" s="130" t="s">
        <v>1</v>
      </c>
      <c r="C3" s="131"/>
      <c r="D3" s="131"/>
      <c r="E3" s="131"/>
      <c r="F3" s="131"/>
      <c r="G3" s="132"/>
      <c r="L3" s="133" t="s">
        <v>2</v>
      </c>
      <c r="M3" s="134"/>
      <c r="N3" s="134"/>
      <c r="O3" s="134"/>
      <c r="P3" s="134"/>
      <c r="Q3" s="134"/>
      <c r="R3" s="134"/>
      <c r="S3" s="134"/>
      <c r="T3" s="134"/>
      <c r="U3" s="134"/>
      <c r="V3" s="135"/>
    </row>
    <row r="4" spans="1:22">
      <c r="B4" s="8"/>
      <c r="G4" s="11"/>
      <c r="L4" s="136" t="s">
        <v>3</v>
      </c>
      <c r="M4" s="137"/>
      <c r="N4" s="4"/>
      <c r="O4" s="138" t="s">
        <v>4</v>
      </c>
      <c r="P4" s="137"/>
      <c r="Q4" s="4"/>
      <c r="R4" s="138" t="s">
        <v>5</v>
      </c>
      <c r="S4" s="137"/>
      <c r="T4" s="4"/>
      <c r="U4" s="138" t="s">
        <v>6</v>
      </c>
      <c r="V4" s="139"/>
    </row>
    <row r="5" spans="1:22" ht="60" customHeight="1">
      <c r="B5" s="9" t="s">
        <v>3</v>
      </c>
      <c r="C5" s="5" t="s">
        <v>4</v>
      </c>
      <c r="D5" s="5" t="s">
        <v>5</v>
      </c>
      <c r="E5" s="5" t="s">
        <v>6</v>
      </c>
      <c r="F5" s="5" t="s">
        <v>7</v>
      </c>
      <c r="G5" s="12" t="s">
        <v>8</v>
      </c>
      <c r="L5" s="15" t="s">
        <v>9</v>
      </c>
      <c r="M5" s="14" t="s">
        <v>10</v>
      </c>
      <c r="N5" s="14"/>
      <c r="O5" s="14" t="s">
        <v>9</v>
      </c>
      <c r="P5" s="14" t="s">
        <v>10</v>
      </c>
      <c r="Q5" s="14"/>
      <c r="R5" s="14" t="s">
        <v>9</v>
      </c>
      <c r="S5" s="14" t="s">
        <v>10</v>
      </c>
      <c r="T5" s="14"/>
      <c r="U5" s="14" t="s">
        <v>9</v>
      </c>
      <c r="V5" s="16" t="s">
        <v>10</v>
      </c>
    </row>
    <row r="6" spans="1:22">
      <c r="A6" s="1" t="s">
        <v>11</v>
      </c>
      <c r="B6" s="29">
        <v>1940.4173473183416</v>
      </c>
      <c r="C6" s="30">
        <v>1581.5406630616956</v>
      </c>
      <c r="D6" s="30">
        <v>1287.029764665376</v>
      </c>
      <c r="E6" s="30">
        <v>0</v>
      </c>
      <c r="F6" s="30">
        <v>0</v>
      </c>
      <c r="G6" s="31">
        <f>SUM(AL_FINANCIAL)</f>
        <v>4808.9877750454134</v>
      </c>
      <c r="H6" s="30"/>
      <c r="I6" s="30"/>
      <c r="J6" s="30"/>
      <c r="K6" s="30"/>
      <c r="L6" s="29"/>
      <c r="M6" s="30"/>
      <c r="N6" s="30"/>
      <c r="O6" s="30"/>
      <c r="P6" s="30"/>
      <c r="Q6" s="30"/>
      <c r="R6" s="30"/>
      <c r="S6" s="30"/>
      <c r="T6" s="30"/>
      <c r="U6" s="30"/>
      <c r="V6" s="31"/>
    </row>
    <row r="7" spans="1:22">
      <c r="A7" s="1" t="s">
        <v>12</v>
      </c>
      <c r="B7" s="29">
        <v>0</v>
      </c>
      <c r="C7" s="30">
        <v>0</v>
      </c>
      <c r="D7" s="30">
        <v>0</v>
      </c>
      <c r="E7" s="30">
        <v>0</v>
      </c>
      <c r="F7" s="30">
        <v>0</v>
      </c>
      <c r="G7" s="31">
        <f>SUM(AK_FINANCIAL)</f>
        <v>0</v>
      </c>
      <c r="H7" s="30"/>
      <c r="I7" s="32"/>
      <c r="J7" s="33"/>
      <c r="K7" s="30"/>
      <c r="L7" s="29"/>
      <c r="M7" s="30"/>
      <c r="N7" s="30"/>
      <c r="O7" s="30"/>
      <c r="P7" s="30"/>
      <c r="Q7" s="30"/>
      <c r="R7" s="30"/>
      <c r="S7" s="30"/>
      <c r="T7" s="30"/>
      <c r="U7" s="30"/>
      <c r="V7" s="31"/>
    </row>
    <row r="8" spans="1:22">
      <c r="A8" s="1" t="s">
        <v>13</v>
      </c>
      <c r="B8" s="29">
        <v>1259.3143150302649</v>
      </c>
      <c r="C8" s="30">
        <v>1026.4064066158351</v>
      </c>
      <c r="D8" s="30">
        <v>835.27134446259902</v>
      </c>
      <c r="E8" s="30">
        <v>0</v>
      </c>
      <c r="F8" s="30">
        <v>0</v>
      </c>
      <c r="G8" s="31">
        <f>SUM(AZ_FINANCIAL)</f>
        <v>3120.992066108699</v>
      </c>
      <c r="H8" s="30"/>
      <c r="I8" s="34" t="s">
        <v>14</v>
      </c>
      <c r="J8" s="35"/>
      <c r="K8" s="30"/>
      <c r="L8" s="29"/>
      <c r="M8" s="30"/>
      <c r="N8" s="30"/>
      <c r="O8" s="30"/>
      <c r="P8" s="30"/>
      <c r="Q8" s="30"/>
      <c r="R8" s="30"/>
      <c r="S8" s="30"/>
      <c r="T8" s="30"/>
      <c r="U8" s="30"/>
      <c r="V8" s="31"/>
    </row>
    <row r="9" spans="1:22">
      <c r="A9" s="1" t="s">
        <v>15</v>
      </c>
      <c r="B9" s="29">
        <v>1276.6646884831009</v>
      </c>
      <c r="C9" s="30">
        <v>1040.5478598309844</v>
      </c>
      <c r="D9" s="30">
        <v>846.77940848435219</v>
      </c>
      <c r="E9" s="30">
        <v>0</v>
      </c>
      <c r="F9" s="30">
        <v>0</v>
      </c>
      <c r="G9" s="31">
        <f>SUM(AR_FINANCIAL)</f>
        <v>3163.9919567984375</v>
      </c>
      <c r="H9" s="30"/>
      <c r="I9" s="34"/>
      <c r="J9" s="35"/>
      <c r="K9" s="30"/>
      <c r="L9" s="29"/>
      <c r="M9" s="30"/>
      <c r="N9" s="30"/>
      <c r="O9" s="30"/>
      <c r="P9" s="30"/>
      <c r="Q9" s="30"/>
      <c r="R9" s="30"/>
      <c r="S9" s="30"/>
      <c r="T9" s="30"/>
      <c r="U9" s="30"/>
      <c r="V9" s="31"/>
    </row>
    <row r="10" spans="1:22">
      <c r="A10" s="1" t="s">
        <v>16</v>
      </c>
      <c r="B10" s="29">
        <v>0</v>
      </c>
      <c r="C10" s="30">
        <v>0</v>
      </c>
      <c r="D10" s="30">
        <v>0</v>
      </c>
      <c r="E10" s="30">
        <v>0</v>
      </c>
      <c r="F10" s="30">
        <v>0</v>
      </c>
      <c r="G10" s="31">
        <f>SUM(CA_FINANCIAL)</f>
        <v>0</v>
      </c>
      <c r="H10" s="30"/>
      <c r="I10" s="34" t="s">
        <v>17</v>
      </c>
      <c r="J10" s="35">
        <v>0</v>
      </c>
      <c r="K10" s="30"/>
      <c r="L10" s="29"/>
      <c r="M10" s="30"/>
      <c r="N10" s="30"/>
      <c r="O10" s="30"/>
      <c r="P10" s="30"/>
      <c r="Q10" s="30"/>
      <c r="R10" s="30"/>
      <c r="S10" s="30"/>
      <c r="T10" s="30"/>
      <c r="U10" s="30"/>
      <c r="V10" s="31"/>
    </row>
    <row r="11" spans="1:22">
      <c r="A11" s="1" t="s">
        <v>18</v>
      </c>
      <c r="B11" s="29">
        <v>430.1278628075176</v>
      </c>
      <c r="C11" s="30">
        <v>350.57649133370086</v>
      </c>
      <c r="D11" s="30">
        <v>285.29293598113765</v>
      </c>
      <c r="E11" s="30">
        <v>0</v>
      </c>
      <c r="F11" s="30">
        <v>0</v>
      </c>
      <c r="G11" s="31">
        <f>SUM(CO_FINANCIAL)</f>
        <v>1065.9972901223562</v>
      </c>
      <c r="H11" s="30"/>
      <c r="I11" s="34"/>
      <c r="J11" s="35"/>
      <c r="K11" s="30"/>
      <c r="L11" s="29"/>
      <c r="M11" s="30"/>
      <c r="N11" s="30"/>
      <c r="O11" s="30"/>
      <c r="P11" s="30"/>
      <c r="Q11" s="30"/>
      <c r="R11" s="30"/>
      <c r="S11" s="30"/>
      <c r="T11" s="30"/>
      <c r="U11" s="30"/>
      <c r="V11" s="31"/>
    </row>
    <row r="12" spans="1:22">
      <c r="A12" s="1" t="s">
        <v>19</v>
      </c>
      <c r="B12" s="29">
        <v>0</v>
      </c>
      <c r="C12" s="30">
        <v>0</v>
      </c>
      <c r="D12" s="30">
        <v>0</v>
      </c>
      <c r="E12" s="30">
        <v>0</v>
      </c>
      <c r="F12" s="30">
        <v>0</v>
      </c>
      <c r="G12" s="31">
        <f>SUM(CT_FINANCIAL)</f>
        <v>0</v>
      </c>
      <c r="H12" s="30"/>
      <c r="I12" s="34" t="s">
        <v>20</v>
      </c>
      <c r="J12" s="35"/>
      <c r="K12" s="30"/>
      <c r="L12" s="29"/>
      <c r="M12" s="30"/>
      <c r="N12" s="30"/>
      <c r="O12" s="30"/>
      <c r="P12" s="30"/>
      <c r="Q12" s="30"/>
      <c r="R12" s="30"/>
      <c r="S12" s="30"/>
      <c r="T12" s="30"/>
      <c r="U12" s="30"/>
      <c r="V12" s="31"/>
    </row>
    <row r="13" spans="1:22">
      <c r="A13" s="1" t="s">
        <v>21</v>
      </c>
      <c r="B13" s="29">
        <v>323.20114269120222</v>
      </c>
      <c r="C13" s="30">
        <v>263.42567500778085</v>
      </c>
      <c r="D13" s="30">
        <v>214.37114607963537</v>
      </c>
      <c r="E13" s="30">
        <v>0</v>
      </c>
      <c r="F13" s="30">
        <v>0</v>
      </c>
      <c r="G13" s="31">
        <f>SUM(DE_FINANCIAL)</f>
        <v>800.99796377861844</v>
      </c>
      <c r="H13" s="30"/>
      <c r="I13" s="34" t="s">
        <v>22</v>
      </c>
      <c r="J13" s="35">
        <v>0</v>
      </c>
      <c r="K13" s="30"/>
      <c r="L13" s="29"/>
      <c r="M13" s="30"/>
      <c r="N13" s="30"/>
      <c r="O13" s="30"/>
      <c r="P13" s="30"/>
      <c r="Q13" s="30"/>
      <c r="R13" s="30"/>
      <c r="S13" s="30"/>
      <c r="T13" s="30"/>
      <c r="U13" s="30"/>
      <c r="V13" s="31"/>
    </row>
    <row r="14" spans="1:22">
      <c r="A14" s="1" t="s">
        <v>23</v>
      </c>
      <c r="B14" s="29">
        <v>518.49371829986876</v>
      </c>
      <c r="C14" s="30">
        <v>422.59924142946119</v>
      </c>
      <c r="D14" s="30">
        <v>343.90377367332263</v>
      </c>
      <c r="E14" s="30">
        <v>0</v>
      </c>
      <c r="F14" s="30">
        <v>0</v>
      </c>
      <c r="G14" s="31">
        <f>SUM(DC_FINANCIAL)</f>
        <v>1284.9967334026526</v>
      </c>
      <c r="H14" s="30"/>
      <c r="I14" s="34" t="s">
        <v>24</v>
      </c>
      <c r="J14" s="35">
        <v>0</v>
      </c>
      <c r="K14" s="30"/>
      <c r="L14" s="29"/>
      <c r="M14" s="30"/>
      <c r="N14" s="30"/>
      <c r="O14" s="30"/>
      <c r="P14" s="30"/>
      <c r="Q14" s="30"/>
      <c r="R14" s="30"/>
      <c r="S14" s="30"/>
      <c r="T14" s="30"/>
      <c r="U14" s="30"/>
      <c r="V14" s="31"/>
    </row>
    <row r="15" spans="1:22">
      <c r="A15" s="1" t="s">
        <v>25</v>
      </c>
      <c r="B15" s="29">
        <v>28858.109519693859</v>
      </c>
      <c r="C15" s="30">
        <v>23520.854277848292</v>
      </c>
      <c r="D15" s="30">
        <v>19140.854391529985</v>
      </c>
      <c r="E15" s="30">
        <v>0</v>
      </c>
      <c r="F15" s="30">
        <v>0</v>
      </c>
      <c r="G15" s="31">
        <f>SUM(FL_FINANCIAL)</f>
        <v>71519.818189072132</v>
      </c>
      <c r="H15" s="30"/>
      <c r="I15" s="34" t="s">
        <v>26</v>
      </c>
      <c r="J15" s="35">
        <v>566459.56000000006</v>
      </c>
      <c r="K15" s="30"/>
      <c r="L15" s="29"/>
      <c r="M15" s="30"/>
      <c r="N15" s="30"/>
      <c r="O15" s="30"/>
      <c r="P15" s="30"/>
      <c r="Q15" s="30"/>
      <c r="R15" s="30"/>
      <c r="S15" s="30"/>
      <c r="T15" s="30"/>
      <c r="U15" s="30"/>
      <c r="V15" s="31"/>
    </row>
    <row r="16" spans="1:22">
      <c r="A16" s="1" t="s">
        <v>27</v>
      </c>
      <c r="B16" s="29">
        <v>14736.923014370508</v>
      </c>
      <c r="C16" s="30">
        <v>12011.355715741794</v>
      </c>
      <c r="D16" s="30">
        <v>9774.6284248021493</v>
      </c>
      <c r="E16" s="30">
        <v>0</v>
      </c>
      <c r="F16" s="30">
        <v>0</v>
      </c>
      <c r="G16" s="31">
        <f>SUM(GA_FINANCIAL)</f>
        <v>36522.90715491445</v>
      </c>
      <c r="H16" s="30"/>
      <c r="I16" s="34" t="s">
        <v>28</v>
      </c>
      <c r="J16" s="35">
        <v>0</v>
      </c>
      <c r="K16" s="30"/>
      <c r="L16" s="29"/>
      <c r="M16" s="30"/>
      <c r="N16" s="30"/>
      <c r="O16" s="30"/>
      <c r="P16" s="30"/>
      <c r="Q16" s="30"/>
      <c r="R16" s="30"/>
      <c r="S16" s="30"/>
      <c r="T16" s="30"/>
      <c r="U16" s="30"/>
      <c r="V16" s="31"/>
    </row>
    <row r="17" spans="1:22">
      <c r="A17" s="1" t="s">
        <v>29</v>
      </c>
      <c r="B17" s="29">
        <v>0</v>
      </c>
      <c r="C17" s="30">
        <v>0</v>
      </c>
      <c r="D17" s="30">
        <v>0</v>
      </c>
      <c r="E17" s="30">
        <v>0</v>
      </c>
      <c r="F17" s="30">
        <v>0</v>
      </c>
      <c r="G17" s="31">
        <f>SUM(HI_FINANCIAL)</f>
        <v>0</v>
      </c>
      <c r="H17" s="30"/>
      <c r="I17" s="34"/>
      <c r="J17" s="35"/>
      <c r="K17" s="30"/>
      <c r="L17" s="29"/>
      <c r="M17" s="30"/>
      <c r="N17" s="30"/>
      <c r="O17" s="30"/>
      <c r="P17" s="30"/>
      <c r="Q17" s="30"/>
      <c r="R17" s="30"/>
      <c r="S17" s="30"/>
      <c r="T17" s="30"/>
      <c r="U17" s="30"/>
      <c r="V17" s="31"/>
    </row>
    <row r="18" spans="1:22">
      <c r="A18" s="1" t="s">
        <v>30</v>
      </c>
      <c r="B18" s="29">
        <v>0</v>
      </c>
      <c r="C18" s="30">
        <v>0</v>
      </c>
      <c r="D18" s="30">
        <v>0</v>
      </c>
      <c r="E18" s="30">
        <v>0</v>
      </c>
      <c r="F18" s="30">
        <v>0</v>
      </c>
      <c r="G18" s="31">
        <f>SUM(ID_FINANCIAL)</f>
        <v>0</v>
      </c>
      <c r="H18" s="30"/>
      <c r="I18" s="34" t="s">
        <v>31</v>
      </c>
      <c r="J18" s="35"/>
      <c r="K18" s="30"/>
      <c r="L18" s="29"/>
      <c r="M18" s="30"/>
      <c r="N18" s="30"/>
      <c r="O18" s="30"/>
      <c r="P18" s="30"/>
      <c r="Q18" s="30"/>
      <c r="R18" s="30"/>
      <c r="S18" s="30"/>
      <c r="T18" s="30"/>
      <c r="U18" s="30"/>
      <c r="V18" s="31"/>
    </row>
    <row r="19" spans="1:22">
      <c r="A19" s="1" t="s">
        <v>32</v>
      </c>
      <c r="B19" s="29">
        <v>2021.1167587268812</v>
      </c>
      <c r="C19" s="30">
        <v>1647.3148640623897</v>
      </c>
      <c r="D19" s="30">
        <v>1340.5556438363217</v>
      </c>
      <c r="E19" s="30">
        <v>0</v>
      </c>
      <c r="F19" s="30">
        <v>0</v>
      </c>
      <c r="G19" s="31">
        <f>SUM(IL_FINANCIAL)</f>
        <v>5008.9872666255924</v>
      </c>
      <c r="H19" s="30"/>
      <c r="I19" s="34" t="s">
        <v>33</v>
      </c>
      <c r="J19" s="35">
        <v>0</v>
      </c>
      <c r="K19" s="30"/>
      <c r="L19" s="29"/>
      <c r="M19" s="30"/>
      <c r="N19" s="30"/>
      <c r="O19" s="30"/>
      <c r="P19" s="30"/>
      <c r="Q19" s="30"/>
      <c r="R19" s="30"/>
      <c r="S19" s="30"/>
      <c r="T19" s="30"/>
      <c r="U19" s="30"/>
      <c r="V19" s="31"/>
    </row>
    <row r="20" spans="1:22">
      <c r="A20" s="1" t="s">
        <v>34</v>
      </c>
      <c r="B20" s="29">
        <v>4762.8792613320238</v>
      </c>
      <c r="C20" s="30">
        <v>3881.9933430609799</v>
      </c>
      <c r="D20" s="30">
        <v>3159.0973886691827</v>
      </c>
      <c r="E20" s="30">
        <v>0</v>
      </c>
      <c r="F20" s="30">
        <v>0</v>
      </c>
      <c r="G20" s="31">
        <f>SUM(IN_FINANCIAL)</f>
        <v>11803.969993062186</v>
      </c>
      <c r="H20" s="30"/>
      <c r="I20" s="34" t="s">
        <v>35</v>
      </c>
      <c r="J20" s="35">
        <v>0</v>
      </c>
      <c r="K20" s="30"/>
      <c r="L20" s="29"/>
      <c r="M20" s="30"/>
      <c r="N20" s="30"/>
      <c r="O20" s="30"/>
      <c r="P20" s="30"/>
      <c r="Q20" s="30"/>
      <c r="R20" s="30"/>
      <c r="S20" s="30"/>
      <c r="T20" s="30"/>
      <c r="U20" s="30"/>
      <c r="V20" s="31"/>
    </row>
    <row r="21" spans="1:22">
      <c r="A21" s="1" t="s">
        <v>36</v>
      </c>
      <c r="B21" s="29">
        <v>532.21261823932048</v>
      </c>
      <c r="C21" s="30">
        <v>433.78085559957913</v>
      </c>
      <c r="D21" s="30">
        <v>353.00317313238327</v>
      </c>
      <c r="E21" s="30">
        <v>0</v>
      </c>
      <c r="F21" s="30">
        <v>0</v>
      </c>
      <c r="G21" s="31">
        <f>SUM(IA_FINANCIAL)</f>
        <v>1318.9966469712829</v>
      </c>
      <c r="H21" s="30"/>
      <c r="I21" s="34" t="s">
        <v>37</v>
      </c>
      <c r="J21" s="35"/>
      <c r="K21" s="30"/>
      <c r="L21" s="29"/>
      <c r="M21" s="30"/>
      <c r="N21" s="30"/>
      <c r="O21" s="30"/>
      <c r="P21" s="30"/>
      <c r="Q21" s="30"/>
      <c r="R21" s="30"/>
      <c r="S21" s="30"/>
      <c r="T21" s="30"/>
      <c r="U21" s="30"/>
      <c r="V21" s="31"/>
    </row>
    <row r="22" spans="1:22">
      <c r="A22" s="1" t="s">
        <v>38</v>
      </c>
      <c r="B22" s="29">
        <v>358.30538665391708</v>
      </c>
      <c r="C22" s="30">
        <v>292.03745244308288</v>
      </c>
      <c r="D22" s="30">
        <v>237.65490351899643</v>
      </c>
      <c r="E22" s="30">
        <v>0</v>
      </c>
      <c r="F22" s="30">
        <v>0</v>
      </c>
      <c r="G22" s="31">
        <f>SUM(KS_FINANCIAL)</f>
        <v>887.99774261599646</v>
      </c>
      <c r="H22" s="30"/>
      <c r="I22" s="34" t="s">
        <v>39</v>
      </c>
      <c r="J22" s="35">
        <v>0</v>
      </c>
      <c r="K22" s="30"/>
      <c r="L22" s="29"/>
      <c r="M22" s="30"/>
      <c r="N22" s="30"/>
      <c r="O22" s="30"/>
      <c r="P22" s="30"/>
      <c r="Q22" s="30"/>
      <c r="R22" s="30"/>
      <c r="S22" s="30"/>
      <c r="T22" s="30"/>
      <c r="U22" s="30"/>
      <c r="V22" s="31"/>
    </row>
    <row r="23" spans="1:22">
      <c r="A23" s="1" t="s">
        <v>40</v>
      </c>
      <c r="B23" s="29">
        <v>3179.5568094964715</v>
      </c>
      <c r="C23" s="30">
        <v>2591.5035194273569</v>
      </c>
      <c r="D23" s="30">
        <v>2108.9196393352395</v>
      </c>
      <c r="E23" s="30">
        <v>0</v>
      </c>
      <c r="F23" s="30">
        <v>0</v>
      </c>
      <c r="G23" s="31">
        <f>SUM(KY_FINANCIAL)</f>
        <v>7879.9799682590674</v>
      </c>
      <c r="H23" s="30"/>
      <c r="I23" s="34" t="s">
        <v>41</v>
      </c>
      <c r="J23" s="35"/>
      <c r="K23" s="30"/>
      <c r="L23" s="29"/>
      <c r="M23" s="30"/>
      <c r="N23" s="30"/>
      <c r="O23" s="30"/>
      <c r="P23" s="30"/>
      <c r="Q23" s="30"/>
      <c r="R23" s="30"/>
      <c r="S23" s="30"/>
      <c r="T23" s="30"/>
      <c r="U23" s="30"/>
      <c r="V23" s="31"/>
    </row>
    <row r="24" spans="1:22">
      <c r="A24" s="1" t="s">
        <v>42</v>
      </c>
      <c r="B24" s="29">
        <v>8782.113446534353</v>
      </c>
      <c r="C24" s="30">
        <v>7157.8774239005625</v>
      </c>
      <c r="D24" s="30">
        <v>5824.9538007781075</v>
      </c>
      <c r="E24" s="30">
        <v>0</v>
      </c>
      <c r="F24" s="30">
        <v>0</v>
      </c>
      <c r="G24" s="31">
        <f>SUM(LA_FINANCIAL)</f>
        <v>21764.944671213023</v>
      </c>
      <c r="H24" s="30"/>
      <c r="I24" s="34" t="s">
        <v>43</v>
      </c>
      <c r="J24" s="35">
        <v>0</v>
      </c>
      <c r="K24" s="30"/>
      <c r="L24" s="29"/>
      <c r="M24" s="30"/>
      <c r="N24" s="30"/>
      <c r="O24" s="30"/>
      <c r="P24" s="30"/>
      <c r="Q24" s="30"/>
      <c r="R24" s="30"/>
      <c r="S24" s="30"/>
      <c r="T24" s="30"/>
      <c r="U24" s="30"/>
      <c r="V24" s="31"/>
    </row>
    <row r="25" spans="1:22">
      <c r="A25" s="1" t="s">
        <v>44</v>
      </c>
      <c r="B25" s="29">
        <v>0</v>
      </c>
      <c r="C25" s="30">
        <v>0</v>
      </c>
      <c r="D25" s="30">
        <v>0</v>
      </c>
      <c r="E25" s="30">
        <v>0</v>
      </c>
      <c r="F25" s="30">
        <v>0</v>
      </c>
      <c r="G25" s="31">
        <f>SUM(ME_FINANCIAL)</f>
        <v>0</v>
      </c>
      <c r="H25" s="30"/>
      <c r="I25" s="34"/>
      <c r="J25" s="35"/>
      <c r="K25" s="30"/>
      <c r="L25" s="29"/>
      <c r="M25" s="30"/>
      <c r="N25" s="30"/>
      <c r="O25" s="30"/>
      <c r="P25" s="30"/>
      <c r="Q25" s="30"/>
      <c r="R25" s="30"/>
      <c r="S25" s="30"/>
      <c r="T25" s="30"/>
      <c r="U25" s="30"/>
      <c r="V25" s="31"/>
    </row>
    <row r="26" spans="1:22">
      <c r="A26" s="1" t="s">
        <v>45</v>
      </c>
      <c r="B26" s="29">
        <v>4628.1112442797621</v>
      </c>
      <c r="C26" s="30">
        <v>3772.1504273898199</v>
      </c>
      <c r="D26" s="30">
        <v>3069.7091704537042</v>
      </c>
      <c r="E26" s="30">
        <v>0</v>
      </c>
      <c r="F26" s="30">
        <v>0</v>
      </c>
      <c r="G26" s="31">
        <f>SUM(MD_FINANCIAL)</f>
        <v>11469.970842123286</v>
      </c>
      <c r="H26" s="30"/>
      <c r="I26" s="34" t="s">
        <v>46</v>
      </c>
      <c r="J26" s="35">
        <f>SUM(ADD_FINANCIAL)-SUM(LESS_FINANCIAL)</f>
        <v>566459.56000000006</v>
      </c>
      <c r="K26" s="30"/>
      <c r="L26" s="29"/>
      <c r="M26" s="30"/>
      <c r="N26" s="30"/>
      <c r="O26" s="30"/>
      <c r="P26" s="30"/>
      <c r="Q26" s="30"/>
      <c r="R26" s="30"/>
      <c r="S26" s="30"/>
      <c r="T26" s="30"/>
      <c r="U26" s="30"/>
      <c r="V26" s="31"/>
    </row>
    <row r="27" spans="1:22">
      <c r="A27" s="1" t="s">
        <v>47</v>
      </c>
      <c r="B27" s="29">
        <v>0</v>
      </c>
      <c r="C27" s="30">
        <v>0</v>
      </c>
      <c r="D27" s="30">
        <v>0</v>
      </c>
      <c r="E27" s="30">
        <v>0</v>
      </c>
      <c r="F27" s="30">
        <v>0</v>
      </c>
      <c r="G27" s="31">
        <f>SUM(MA_FINANCIAL)</f>
        <v>0</v>
      </c>
      <c r="H27" s="30"/>
      <c r="I27" s="34" t="s">
        <v>48</v>
      </c>
      <c r="J27" s="35">
        <f>SUM(ALL_BLOCKS)</f>
        <v>566459.56000000017</v>
      </c>
      <c r="K27" s="30"/>
      <c r="L27" s="29"/>
      <c r="M27" s="30"/>
      <c r="N27" s="30"/>
      <c r="O27" s="30"/>
      <c r="P27" s="30"/>
      <c r="Q27" s="30"/>
      <c r="R27" s="30"/>
      <c r="S27" s="30"/>
      <c r="T27" s="30"/>
      <c r="U27" s="30"/>
      <c r="V27" s="31"/>
    </row>
    <row r="28" spans="1:22">
      <c r="A28" s="1" t="s">
        <v>49</v>
      </c>
      <c r="B28" s="29">
        <v>6101.2789995426574</v>
      </c>
      <c r="C28" s="30">
        <v>4972.8584666574952</v>
      </c>
      <c r="D28" s="30">
        <v>4046.8240947193081</v>
      </c>
      <c r="E28" s="30">
        <v>0</v>
      </c>
      <c r="F28" s="30">
        <v>0</v>
      </c>
      <c r="G28" s="31">
        <f>SUM(MI_FINANCIAL)</f>
        <v>15120.961560919461</v>
      </c>
      <c r="H28" s="30"/>
      <c r="I28" s="36"/>
      <c r="J28" s="37"/>
      <c r="K28" s="30"/>
      <c r="L28" s="29"/>
      <c r="M28" s="30"/>
      <c r="N28" s="30"/>
      <c r="O28" s="30"/>
      <c r="P28" s="30"/>
      <c r="Q28" s="30"/>
      <c r="R28" s="30"/>
      <c r="S28" s="30"/>
      <c r="T28" s="30"/>
      <c r="U28" s="30"/>
      <c r="V28" s="31"/>
    </row>
    <row r="29" spans="1:22">
      <c r="A29" s="1" t="s">
        <v>50</v>
      </c>
      <c r="B29" s="29">
        <v>76.260943781070196</v>
      </c>
      <c r="C29" s="30">
        <v>62.156619945656153</v>
      </c>
      <c r="D29" s="30">
        <v>50.581955816543164</v>
      </c>
      <c r="E29" s="30">
        <v>0</v>
      </c>
      <c r="F29" s="30">
        <v>0</v>
      </c>
      <c r="G29" s="31">
        <f>SUM(MN_FINANCIAL)</f>
        <v>188.99951954326951</v>
      </c>
      <c r="H29" s="30"/>
      <c r="I29" s="30"/>
      <c r="J29" s="30"/>
      <c r="K29" s="30"/>
      <c r="L29" s="29"/>
      <c r="M29" s="30"/>
      <c r="N29" s="30"/>
      <c r="O29" s="30"/>
      <c r="P29" s="30"/>
      <c r="Q29" s="30"/>
      <c r="R29" s="30"/>
      <c r="S29" s="30"/>
      <c r="T29" s="30"/>
      <c r="U29" s="30"/>
      <c r="V29" s="31"/>
    </row>
    <row r="30" spans="1:22">
      <c r="A30" s="1" t="s">
        <v>51</v>
      </c>
      <c r="B30" s="29">
        <v>2863.2151167749948</v>
      </c>
      <c r="C30" s="30">
        <v>2333.6686515046349</v>
      </c>
      <c r="D30" s="30">
        <v>1899.0981929851332</v>
      </c>
      <c r="E30" s="30">
        <v>0</v>
      </c>
      <c r="F30" s="30">
        <v>0</v>
      </c>
      <c r="G30" s="31">
        <f>SUM(MS_FINANCIAL)</f>
        <v>7095.9819612647625</v>
      </c>
      <c r="H30" s="30"/>
      <c r="I30" s="30"/>
      <c r="J30" s="30"/>
      <c r="K30" s="30"/>
      <c r="L30" s="29"/>
      <c r="M30" s="30"/>
      <c r="N30" s="30"/>
      <c r="O30" s="30"/>
      <c r="P30" s="30"/>
      <c r="Q30" s="30"/>
      <c r="R30" s="30"/>
      <c r="S30" s="30"/>
      <c r="T30" s="30"/>
      <c r="U30" s="30"/>
      <c r="V30" s="31"/>
    </row>
    <row r="31" spans="1:22">
      <c r="A31" s="1" t="s">
        <v>52</v>
      </c>
      <c r="B31" s="29">
        <v>1798.7898802963539</v>
      </c>
      <c r="C31" s="30">
        <v>1466.1069403054769</v>
      </c>
      <c r="D31" s="30">
        <v>1193.0918467203676</v>
      </c>
      <c r="E31" s="30">
        <v>0</v>
      </c>
      <c r="F31" s="30">
        <v>0</v>
      </c>
      <c r="G31" s="31">
        <f>SUM(MO_FINANCIAL)</f>
        <v>4457.9886673221981</v>
      </c>
      <c r="H31" s="30"/>
      <c r="I31" s="30"/>
      <c r="J31" s="30"/>
      <c r="K31" s="30"/>
      <c r="L31" s="29"/>
      <c r="M31" s="30"/>
      <c r="N31" s="30"/>
      <c r="O31" s="30"/>
      <c r="P31" s="30"/>
      <c r="Q31" s="30"/>
      <c r="R31" s="30"/>
      <c r="S31" s="30"/>
      <c r="T31" s="30"/>
      <c r="U31" s="30"/>
      <c r="V31" s="31"/>
    </row>
    <row r="32" spans="1:22">
      <c r="A32" s="1" t="s">
        <v>53</v>
      </c>
      <c r="B32" s="29">
        <v>0</v>
      </c>
      <c r="C32" s="30">
        <v>0</v>
      </c>
      <c r="D32" s="30">
        <v>0</v>
      </c>
      <c r="E32" s="30">
        <v>0</v>
      </c>
      <c r="F32" s="30">
        <v>0</v>
      </c>
      <c r="G32" s="31">
        <f>SUM(MT_FINANCIAL)</f>
        <v>0</v>
      </c>
      <c r="H32" s="30"/>
      <c r="I32" s="30"/>
      <c r="J32" s="30"/>
      <c r="K32" s="30"/>
      <c r="L32" s="29"/>
      <c r="M32" s="30"/>
      <c r="N32" s="30"/>
      <c r="O32" s="30"/>
      <c r="P32" s="30"/>
      <c r="Q32" s="30"/>
      <c r="R32" s="30"/>
      <c r="S32" s="30"/>
      <c r="T32" s="30"/>
      <c r="U32" s="30"/>
      <c r="V32" s="31"/>
    </row>
    <row r="33" spans="1:22">
      <c r="A33" s="1" t="s">
        <v>54</v>
      </c>
      <c r="B33" s="29">
        <v>345.79697788559344</v>
      </c>
      <c r="C33" s="30">
        <v>281.84245128797528</v>
      </c>
      <c r="D33" s="30">
        <v>229.35839224749998</v>
      </c>
      <c r="E33" s="30">
        <v>0</v>
      </c>
      <c r="F33" s="30">
        <v>0</v>
      </c>
      <c r="G33" s="31">
        <f>SUM(NE_FINANCIAL)</f>
        <v>856.99782142106869</v>
      </c>
      <c r="H33" s="30"/>
      <c r="I33" s="30"/>
      <c r="J33" s="30"/>
      <c r="K33" s="30"/>
      <c r="L33" s="29"/>
      <c r="M33" s="30"/>
      <c r="N33" s="30"/>
      <c r="O33" s="30"/>
      <c r="P33" s="30"/>
      <c r="Q33" s="30"/>
      <c r="R33" s="30"/>
      <c r="S33" s="30"/>
      <c r="T33" s="30"/>
      <c r="U33" s="30"/>
      <c r="V33" s="31"/>
    </row>
    <row r="34" spans="1:22">
      <c r="A34" s="1" t="s">
        <v>55</v>
      </c>
      <c r="B34" s="29">
        <v>0</v>
      </c>
      <c r="C34" s="30">
        <v>0</v>
      </c>
      <c r="D34" s="30">
        <v>0</v>
      </c>
      <c r="E34" s="30">
        <v>0</v>
      </c>
      <c r="F34" s="30">
        <v>0</v>
      </c>
      <c r="G34" s="31">
        <f>SUM(NV_FINANCIAL)</f>
        <v>0</v>
      </c>
      <c r="H34" s="30"/>
      <c r="I34" s="30"/>
      <c r="J34" s="30"/>
      <c r="K34" s="30"/>
      <c r="L34" s="29"/>
      <c r="M34" s="30"/>
      <c r="N34" s="30"/>
      <c r="O34" s="30"/>
      <c r="P34" s="30"/>
      <c r="Q34" s="30"/>
      <c r="R34" s="30"/>
      <c r="S34" s="30"/>
      <c r="T34" s="30"/>
      <c r="U34" s="30"/>
      <c r="V34" s="31"/>
    </row>
    <row r="35" spans="1:22">
      <c r="A35" s="1" t="s">
        <v>56</v>
      </c>
      <c r="B35" s="29">
        <v>0</v>
      </c>
      <c r="C35" s="30">
        <v>0</v>
      </c>
      <c r="D35" s="30">
        <v>0</v>
      </c>
      <c r="E35" s="30">
        <v>0</v>
      </c>
      <c r="F35" s="30">
        <v>0</v>
      </c>
      <c r="G35" s="31">
        <f>SUM(NH_FINANCIAL)</f>
        <v>0</v>
      </c>
      <c r="H35" s="30"/>
      <c r="I35" s="30"/>
      <c r="J35" s="30"/>
      <c r="K35" s="30"/>
      <c r="L35" s="29"/>
      <c r="M35" s="30"/>
      <c r="N35" s="30"/>
      <c r="O35" s="30"/>
      <c r="P35" s="30"/>
      <c r="Q35" s="30"/>
      <c r="R35" s="30"/>
      <c r="S35" s="30"/>
      <c r="T35" s="30"/>
      <c r="U35" s="30"/>
      <c r="V35" s="31"/>
    </row>
    <row r="36" spans="1:22">
      <c r="A36" s="1" t="s">
        <v>57</v>
      </c>
      <c r="B36" s="29">
        <v>466.8460949984032</v>
      </c>
      <c r="C36" s="30">
        <v>380.50375278901674</v>
      </c>
      <c r="D36" s="30">
        <v>309.64721100391762</v>
      </c>
      <c r="E36" s="30">
        <v>0</v>
      </c>
      <c r="F36" s="30">
        <v>0</v>
      </c>
      <c r="G36" s="31">
        <f>SUM(NJ_FINANCIAL)</f>
        <v>1156.9970587913376</v>
      </c>
      <c r="H36" s="30"/>
      <c r="I36" s="30"/>
      <c r="J36" s="30"/>
      <c r="K36" s="30"/>
      <c r="L36" s="29"/>
      <c r="M36" s="30"/>
      <c r="N36" s="30"/>
      <c r="O36" s="30"/>
      <c r="P36" s="30"/>
      <c r="Q36" s="30"/>
      <c r="R36" s="30"/>
      <c r="S36" s="30"/>
      <c r="T36" s="30"/>
      <c r="U36" s="30"/>
      <c r="V36" s="31"/>
    </row>
    <row r="37" spans="1:22">
      <c r="A37" s="1" t="s">
        <v>58</v>
      </c>
      <c r="B37" s="29">
        <v>369.19980719406993</v>
      </c>
      <c r="C37" s="30">
        <v>300.91696957817658</v>
      </c>
      <c r="D37" s="30">
        <v>244.88089720707399</v>
      </c>
      <c r="E37" s="30">
        <v>0</v>
      </c>
      <c r="F37" s="30">
        <v>0</v>
      </c>
      <c r="G37" s="31">
        <f>SUM(NM_FINANCIAL)</f>
        <v>914.99767397932055</v>
      </c>
      <c r="H37" s="30"/>
      <c r="I37" s="30"/>
      <c r="J37" s="30"/>
      <c r="K37" s="30"/>
      <c r="L37" s="29"/>
      <c r="M37" s="30"/>
      <c r="N37" s="30"/>
      <c r="O37" s="30"/>
      <c r="P37" s="30"/>
      <c r="Q37" s="30"/>
      <c r="R37" s="30"/>
      <c r="S37" s="30"/>
      <c r="T37" s="30"/>
      <c r="U37" s="30"/>
      <c r="V37" s="31"/>
    </row>
    <row r="38" spans="1:22">
      <c r="A38" s="1" t="s">
        <v>59</v>
      </c>
      <c r="B38" s="29">
        <v>0</v>
      </c>
      <c r="C38" s="30">
        <v>0</v>
      </c>
      <c r="D38" s="30">
        <v>0</v>
      </c>
      <c r="E38" s="30">
        <v>0</v>
      </c>
      <c r="F38" s="30">
        <v>0</v>
      </c>
      <c r="G38" s="31">
        <f>SUM(NY_FINANCIAL)</f>
        <v>0</v>
      </c>
      <c r="H38" s="30"/>
      <c r="I38" s="30"/>
      <c r="J38" s="30"/>
      <c r="K38" s="30"/>
      <c r="L38" s="29"/>
      <c r="M38" s="30"/>
      <c r="N38" s="30"/>
      <c r="O38" s="30"/>
      <c r="P38" s="30"/>
      <c r="Q38" s="30"/>
      <c r="R38" s="30"/>
      <c r="S38" s="30"/>
      <c r="T38" s="30"/>
      <c r="U38" s="30"/>
      <c r="V38" s="31"/>
    </row>
    <row r="39" spans="1:22">
      <c r="A39" s="1" t="s">
        <v>60</v>
      </c>
      <c r="B39" s="29">
        <v>34066.449532001025</v>
      </c>
      <c r="C39" s="30">
        <v>27765.921210433109</v>
      </c>
      <c r="D39" s="30">
        <v>22595.41463322279</v>
      </c>
      <c r="E39" s="30">
        <v>0</v>
      </c>
      <c r="F39" s="30">
        <v>0</v>
      </c>
      <c r="G39" s="31">
        <f>SUM(NC_FINANCIAL)</f>
        <v>84427.785375656924</v>
      </c>
      <c r="H39" s="30"/>
      <c r="I39" s="30"/>
      <c r="J39" s="30"/>
      <c r="K39" s="30"/>
      <c r="L39" s="29">
        <v>63000</v>
      </c>
      <c r="M39" s="30">
        <v>0</v>
      </c>
      <c r="N39" s="30"/>
      <c r="O39" s="30">
        <v>40500</v>
      </c>
      <c r="P39" s="30">
        <v>0</v>
      </c>
      <c r="Q39" s="30"/>
      <c r="R39" s="30">
        <v>46500</v>
      </c>
      <c r="S39" s="30">
        <v>0</v>
      </c>
      <c r="T39" s="30"/>
      <c r="U39" s="30">
        <v>0</v>
      </c>
      <c r="V39" s="31">
        <v>0</v>
      </c>
    </row>
    <row r="40" spans="1:22">
      <c r="A40" s="1" t="s">
        <v>61</v>
      </c>
      <c r="B40" s="29">
        <v>0</v>
      </c>
      <c r="C40" s="30">
        <v>0</v>
      </c>
      <c r="D40" s="30">
        <v>0</v>
      </c>
      <c r="E40" s="30">
        <v>0</v>
      </c>
      <c r="F40" s="30">
        <v>0</v>
      </c>
      <c r="G40" s="31">
        <f>SUM(ND_FINANCIAL)</f>
        <v>0</v>
      </c>
      <c r="H40" s="30"/>
      <c r="I40" s="30"/>
      <c r="J40" s="30"/>
      <c r="K40" s="30"/>
      <c r="L40" s="29"/>
      <c r="M40" s="30"/>
      <c r="N40" s="30"/>
      <c r="O40" s="30"/>
      <c r="P40" s="30"/>
      <c r="Q40" s="30"/>
      <c r="R40" s="30"/>
      <c r="S40" s="30"/>
      <c r="T40" s="30"/>
      <c r="U40" s="30"/>
      <c r="V40" s="31"/>
    </row>
    <row r="41" spans="1:22">
      <c r="A41" s="1" t="s">
        <v>62</v>
      </c>
      <c r="B41" s="29">
        <v>17996.775738218479</v>
      </c>
      <c r="C41" s="30">
        <v>14668.304565164844</v>
      </c>
      <c r="D41" s="30">
        <v>11936.806313912477</v>
      </c>
      <c r="E41" s="30">
        <v>0</v>
      </c>
      <c r="F41" s="30">
        <v>0</v>
      </c>
      <c r="G41" s="31">
        <f>SUM(OH_FINANCIAL)</f>
        <v>44601.886617295801</v>
      </c>
      <c r="H41" s="30"/>
      <c r="I41" s="30"/>
      <c r="J41" s="30"/>
      <c r="K41" s="30"/>
      <c r="L41" s="29"/>
      <c r="M41" s="30"/>
      <c r="N41" s="30"/>
      <c r="O41" s="30"/>
      <c r="P41" s="30"/>
      <c r="Q41" s="30"/>
      <c r="R41" s="30"/>
      <c r="S41" s="30"/>
      <c r="T41" s="30"/>
      <c r="U41" s="30"/>
      <c r="V41" s="31"/>
    </row>
    <row r="42" spans="1:22">
      <c r="A42" s="1" t="s">
        <v>63</v>
      </c>
      <c r="B42" s="29">
        <v>3411.9711143530658</v>
      </c>
      <c r="C42" s="30">
        <v>2780.9332183093566</v>
      </c>
      <c r="D42" s="30">
        <v>2263.0741713475609</v>
      </c>
      <c r="E42" s="30">
        <v>0</v>
      </c>
      <c r="F42" s="30">
        <v>0</v>
      </c>
      <c r="G42" s="31">
        <f>SUM(OK_FINANCIAL)</f>
        <v>8455.9785040099832</v>
      </c>
      <c r="H42" s="30"/>
      <c r="I42" s="30"/>
      <c r="J42" s="30"/>
      <c r="K42" s="30"/>
      <c r="L42" s="29"/>
      <c r="M42" s="30"/>
      <c r="N42" s="30"/>
      <c r="O42" s="30"/>
      <c r="P42" s="30"/>
      <c r="Q42" s="30"/>
      <c r="R42" s="30"/>
      <c r="S42" s="30"/>
      <c r="T42" s="30"/>
      <c r="U42" s="30"/>
      <c r="V42" s="31"/>
    </row>
    <row r="43" spans="1:22">
      <c r="A43" s="1" t="s">
        <v>64</v>
      </c>
      <c r="B43" s="29">
        <v>0</v>
      </c>
      <c r="C43" s="30">
        <v>0</v>
      </c>
      <c r="D43" s="30">
        <v>0</v>
      </c>
      <c r="E43" s="30">
        <v>0</v>
      </c>
      <c r="F43" s="30">
        <v>0</v>
      </c>
      <c r="G43" s="31">
        <f>SUM(OR_FINANCIAL)</f>
        <v>0</v>
      </c>
      <c r="H43" s="30"/>
      <c r="I43" s="30"/>
      <c r="J43" s="30"/>
      <c r="K43" s="30"/>
      <c r="L43" s="29"/>
      <c r="M43" s="30"/>
      <c r="N43" s="30"/>
      <c r="O43" s="30"/>
      <c r="P43" s="30"/>
      <c r="Q43" s="30"/>
      <c r="R43" s="30"/>
      <c r="S43" s="30"/>
      <c r="T43" s="30"/>
      <c r="U43" s="30"/>
      <c r="V43" s="31"/>
    </row>
    <row r="44" spans="1:22">
      <c r="A44" s="1" t="s">
        <v>65</v>
      </c>
      <c r="B44" s="29">
        <v>17021.523351346277</v>
      </c>
      <c r="C44" s="30">
        <v>13873.423346071455</v>
      </c>
      <c r="D44" s="30">
        <v>11289.946064131605</v>
      </c>
      <c r="E44" s="30">
        <v>0</v>
      </c>
      <c r="F44" s="30">
        <v>0</v>
      </c>
      <c r="G44" s="31">
        <f>SUM(PA_FINANCIAL)</f>
        <v>42184.892761549338</v>
      </c>
      <c r="H44" s="30"/>
      <c r="I44" s="30"/>
      <c r="J44" s="30"/>
      <c r="K44" s="30"/>
      <c r="L44" s="29"/>
      <c r="M44" s="30"/>
      <c r="N44" s="30"/>
      <c r="O44" s="30"/>
      <c r="P44" s="30"/>
      <c r="Q44" s="30"/>
      <c r="R44" s="30"/>
      <c r="S44" s="30"/>
      <c r="T44" s="30"/>
      <c r="U44" s="30"/>
      <c r="V44" s="31"/>
    </row>
    <row r="45" spans="1:22">
      <c r="A45" s="1" t="s">
        <v>66</v>
      </c>
      <c r="B45" s="29">
        <v>0</v>
      </c>
      <c r="C45" s="30">
        <v>0</v>
      </c>
      <c r="D45" s="30">
        <v>0</v>
      </c>
      <c r="E45" s="30">
        <v>0</v>
      </c>
      <c r="F45" s="30">
        <v>0</v>
      </c>
      <c r="G45" s="31">
        <f>SUM(PR_FINANCIAL)</f>
        <v>0</v>
      </c>
      <c r="H45" s="30"/>
      <c r="I45" s="30"/>
      <c r="J45" s="30"/>
      <c r="K45" s="30"/>
      <c r="L45" s="29"/>
      <c r="M45" s="30"/>
      <c r="N45" s="30"/>
      <c r="O45" s="30"/>
      <c r="P45" s="30"/>
      <c r="Q45" s="30"/>
      <c r="R45" s="30"/>
      <c r="S45" s="30"/>
      <c r="T45" s="30"/>
      <c r="U45" s="30"/>
      <c r="V45" s="31"/>
    </row>
    <row r="46" spans="1:22">
      <c r="A46" s="1" t="s">
        <v>67</v>
      </c>
      <c r="B46" s="29">
        <v>0</v>
      </c>
      <c r="C46" s="30">
        <v>0</v>
      </c>
      <c r="D46" s="30">
        <v>0</v>
      </c>
      <c r="E46" s="30">
        <v>0</v>
      </c>
      <c r="F46" s="30">
        <v>0</v>
      </c>
      <c r="G46" s="31">
        <f>SUM(RI_FINANCIAL)</f>
        <v>0</v>
      </c>
      <c r="H46" s="30"/>
      <c r="I46" s="30"/>
      <c r="J46" s="30"/>
      <c r="K46" s="30"/>
      <c r="L46" s="29"/>
      <c r="M46" s="30"/>
      <c r="N46" s="30"/>
      <c r="O46" s="30"/>
      <c r="P46" s="30"/>
      <c r="Q46" s="30"/>
      <c r="R46" s="30"/>
      <c r="S46" s="30"/>
      <c r="T46" s="30"/>
      <c r="U46" s="30"/>
      <c r="V46" s="31"/>
    </row>
    <row r="47" spans="1:22">
      <c r="A47" s="1" t="s">
        <v>68</v>
      </c>
      <c r="B47" s="29">
        <v>12017.756346959759</v>
      </c>
      <c r="C47" s="30">
        <v>9795.0940130234012</v>
      </c>
      <c r="D47" s="30">
        <v>7971.0739261371527</v>
      </c>
      <c r="E47" s="30">
        <v>0</v>
      </c>
      <c r="F47" s="30">
        <v>0</v>
      </c>
      <c r="G47" s="31">
        <f>SUM(SC_FINANCIAL)</f>
        <v>29783.924286120313</v>
      </c>
      <c r="H47" s="30"/>
      <c r="I47" s="30"/>
      <c r="J47" s="30"/>
      <c r="K47" s="30"/>
      <c r="L47" s="29"/>
      <c r="M47" s="30"/>
      <c r="N47" s="30"/>
      <c r="O47" s="30"/>
      <c r="P47" s="30"/>
      <c r="Q47" s="30"/>
      <c r="R47" s="30"/>
      <c r="S47" s="30"/>
      <c r="T47" s="30"/>
      <c r="U47" s="30"/>
      <c r="V47" s="31"/>
    </row>
    <row r="48" spans="1:22">
      <c r="A48" s="1" t="s">
        <v>69</v>
      </c>
      <c r="B48" s="29">
        <v>0</v>
      </c>
      <c r="C48" s="30">
        <v>0</v>
      </c>
      <c r="D48" s="30">
        <v>0</v>
      </c>
      <c r="E48" s="30">
        <v>0</v>
      </c>
      <c r="F48" s="30">
        <v>0</v>
      </c>
      <c r="G48" s="31">
        <f>SUM(SD_FINANCIAL)</f>
        <v>0</v>
      </c>
      <c r="H48" s="30"/>
      <c r="I48" s="30"/>
      <c r="J48" s="30"/>
      <c r="K48" s="30"/>
      <c r="L48" s="29"/>
      <c r="M48" s="30"/>
      <c r="N48" s="30"/>
      <c r="O48" s="30"/>
      <c r="P48" s="30"/>
      <c r="Q48" s="30"/>
      <c r="R48" s="30"/>
      <c r="S48" s="30"/>
      <c r="T48" s="30"/>
      <c r="U48" s="30"/>
      <c r="V48" s="31"/>
    </row>
    <row r="49" spans="1:22">
      <c r="A49" s="1" t="s">
        <v>70</v>
      </c>
      <c r="B49" s="29">
        <v>9388.166026212486</v>
      </c>
      <c r="C49" s="30">
        <v>7651.8416734157754</v>
      </c>
      <c r="D49" s="30">
        <v>6226.9331533519044</v>
      </c>
      <c r="E49" s="30">
        <v>0</v>
      </c>
      <c r="F49" s="30">
        <v>0</v>
      </c>
      <c r="G49" s="31">
        <f>SUM(TN_FINANCIAL)</f>
        <v>23266.940852980166</v>
      </c>
      <c r="H49" s="30"/>
      <c r="I49" s="30"/>
      <c r="J49" s="30"/>
      <c r="K49" s="30"/>
      <c r="L49" s="29"/>
      <c r="M49" s="30"/>
      <c r="N49" s="30"/>
      <c r="O49" s="30"/>
      <c r="P49" s="30"/>
      <c r="Q49" s="30"/>
      <c r="R49" s="30"/>
      <c r="S49" s="30"/>
      <c r="T49" s="30"/>
      <c r="U49" s="30"/>
      <c r="V49" s="31"/>
    </row>
    <row r="50" spans="1:22">
      <c r="A50" s="1" t="s">
        <v>71</v>
      </c>
      <c r="B50" s="29">
        <v>16852.861581502428</v>
      </c>
      <c r="C50" s="30">
        <v>13735.955265980003</v>
      </c>
      <c r="D50" s="30">
        <v>11178.076976664332</v>
      </c>
      <c r="E50" s="30">
        <v>0</v>
      </c>
      <c r="F50" s="30">
        <v>0</v>
      </c>
      <c r="G50" s="31">
        <f>SUM(TX_FINANCIAL)</f>
        <v>41766.893824146762</v>
      </c>
      <c r="H50" s="30"/>
      <c r="I50" s="30"/>
      <c r="J50" s="30"/>
      <c r="K50" s="30"/>
      <c r="L50" s="29"/>
      <c r="M50" s="30"/>
      <c r="N50" s="30"/>
      <c r="O50" s="30"/>
      <c r="P50" s="30"/>
      <c r="Q50" s="30"/>
      <c r="R50" s="30"/>
      <c r="S50" s="30"/>
      <c r="T50" s="30"/>
      <c r="U50" s="30"/>
      <c r="V50" s="31"/>
    </row>
    <row r="51" spans="1:22">
      <c r="A51" s="1" t="s">
        <v>72</v>
      </c>
      <c r="B51" s="29">
        <v>0</v>
      </c>
      <c r="C51" s="30">
        <v>0</v>
      </c>
      <c r="D51" s="30">
        <v>0</v>
      </c>
      <c r="E51" s="30">
        <v>0</v>
      </c>
      <c r="F51" s="30">
        <v>0</v>
      </c>
      <c r="G51" s="31">
        <f>SUM(UT_FINANCIAL)</f>
        <v>0</v>
      </c>
      <c r="H51" s="30"/>
      <c r="I51" s="30"/>
      <c r="J51" s="30"/>
      <c r="K51" s="30"/>
      <c r="L51" s="29"/>
      <c r="M51" s="30"/>
      <c r="N51" s="30"/>
      <c r="O51" s="30"/>
      <c r="P51" s="30"/>
      <c r="Q51" s="30"/>
      <c r="R51" s="30"/>
      <c r="S51" s="30"/>
      <c r="T51" s="30"/>
      <c r="U51" s="30"/>
      <c r="V51" s="31"/>
    </row>
    <row r="52" spans="1:22">
      <c r="A52" s="1" t="s">
        <v>73</v>
      </c>
      <c r="B52" s="29">
        <v>0</v>
      </c>
      <c r="C52" s="30">
        <v>0</v>
      </c>
      <c r="D52" s="30">
        <v>0</v>
      </c>
      <c r="E52" s="30">
        <v>0</v>
      </c>
      <c r="F52" s="30">
        <v>0</v>
      </c>
      <c r="G52" s="31">
        <f>SUM(VT_FINANCIAL)</f>
        <v>0</v>
      </c>
      <c r="H52" s="30"/>
      <c r="I52" s="30"/>
      <c r="J52" s="30"/>
      <c r="K52" s="30"/>
      <c r="L52" s="29"/>
      <c r="M52" s="30"/>
      <c r="N52" s="30"/>
      <c r="O52" s="30"/>
      <c r="P52" s="30"/>
      <c r="Q52" s="30"/>
      <c r="R52" s="30"/>
      <c r="S52" s="30"/>
      <c r="T52" s="30"/>
      <c r="U52" s="30"/>
      <c r="V52" s="31"/>
    </row>
    <row r="53" spans="1:22">
      <c r="A53" s="1" t="s">
        <v>74</v>
      </c>
      <c r="B53" s="29">
        <v>26782.520658266214</v>
      </c>
      <c r="C53" s="30">
        <v>21829.141828110434</v>
      </c>
      <c r="D53" s="30">
        <v>17764.168779253276</v>
      </c>
      <c r="E53" s="30">
        <v>0</v>
      </c>
      <c r="F53" s="30">
        <v>0</v>
      </c>
      <c r="G53" s="31">
        <f>SUM(VA_FINANCIAL)</f>
        <v>66375.831265629924</v>
      </c>
      <c r="H53" s="30"/>
      <c r="I53" s="30"/>
      <c r="J53" s="30"/>
      <c r="K53" s="30"/>
      <c r="L53" s="29"/>
      <c r="M53" s="30"/>
      <c r="N53" s="30"/>
      <c r="O53" s="30"/>
      <c r="P53" s="30"/>
      <c r="Q53" s="30"/>
      <c r="R53" s="30"/>
      <c r="S53" s="30"/>
      <c r="T53" s="30"/>
      <c r="U53" s="30"/>
      <c r="V53" s="31"/>
    </row>
    <row r="54" spans="1:22">
      <c r="A54" s="1" t="s">
        <v>75</v>
      </c>
      <c r="B54" s="29">
        <v>0</v>
      </c>
      <c r="C54" s="30">
        <v>0</v>
      </c>
      <c r="D54" s="30">
        <v>0</v>
      </c>
      <c r="E54" s="30">
        <v>0</v>
      </c>
      <c r="F54" s="30">
        <v>0</v>
      </c>
      <c r="G54" s="31">
        <f>SUM(WA_FINANCIAL)</f>
        <v>0</v>
      </c>
      <c r="H54" s="30"/>
      <c r="I54" s="30"/>
      <c r="J54" s="30"/>
      <c r="K54" s="30"/>
      <c r="L54" s="29"/>
      <c r="M54" s="30"/>
      <c r="N54" s="30"/>
      <c r="O54" s="30"/>
      <c r="P54" s="30"/>
      <c r="Q54" s="30"/>
      <c r="R54" s="30"/>
      <c r="S54" s="30"/>
      <c r="T54" s="30"/>
      <c r="U54" s="30"/>
      <c r="V54" s="31"/>
    </row>
    <row r="55" spans="1:22">
      <c r="A55" s="1" t="s">
        <v>76</v>
      </c>
      <c r="B55" s="29">
        <v>1667.2498397004342</v>
      </c>
      <c r="C55" s="30">
        <v>1358.8949926743451</v>
      </c>
      <c r="D55" s="30">
        <v>1105.8446636717269</v>
      </c>
      <c r="E55" s="30">
        <v>0</v>
      </c>
      <c r="F55" s="30">
        <v>0</v>
      </c>
      <c r="G55" s="31">
        <f>SUM(WV_FINANCIAL)</f>
        <v>4131.9894960465062</v>
      </c>
      <c r="H55" s="30"/>
      <c r="I55" s="30"/>
      <c r="J55" s="30"/>
      <c r="K55" s="30"/>
      <c r="L55" s="29"/>
      <c r="M55" s="30"/>
      <c r="N55" s="30"/>
      <c r="O55" s="30"/>
      <c r="P55" s="30"/>
      <c r="Q55" s="30"/>
      <c r="R55" s="30"/>
      <c r="S55" s="30"/>
      <c r="T55" s="30"/>
      <c r="U55" s="30"/>
      <c r="V55" s="31"/>
    </row>
    <row r="56" spans="1:22">
      <c r="A56" s="1" t="s">
        <v>77</v>
      </c>
      <c r="B56" s="29">
        <v>3731.1372864738414</v>
      </c>
      <c r="C56" s="30">
        <v>3041.0701832671025</v>
      </c>
      <c r="D56" s="30">
        <v>2474.7690234686493</v>
      </c>
      <c r="E56" s="30">
        <v>0</v>
      </c>
      <c r="F56" s="30">
        <v>0</v>
      </c>
      <c r="G56" s="31">
        <f>SUM(WI_FINANCIAL)</f>
        <v>9246.9764932095932</v>
      </c>
      <c r="H56" s="30"/>
      <c r="I56" s="30"/>
      <c r="J56" s="30"/>
      <c r="K56" s="30"/>
      <c r="L56" s="29"/>
      <c r="M56" s="30"/>
      <c r="N56" s="30"/>
      <c r="O56" s="30"/>
      <c r="P56" s="30"/>
      <c r="Q56" s="30"/>
      <c r="R56" s="30"/>
      <c r="S56" s="30"/>
      <c r="T56" s="30"/>
      <c r="U56" s="30"/>
      <c r="V56" s="31"/>
    </row>
    <row r="57" spans="1:22">
      <c r="A57" s="1" t="s">
        <v>78</v>
      </c>
      <c r="B57" s="29">
        <v>0</v>
      </c>
      <c r="C57" s="30">
        <v>0</v>
      </c>
      <c r="D57" s="30">
        <v>0</v>
      </c>
      <c r="E57" s="30">
        <v>0</v>
      </c>
      <c r="F57" s="30">
        <v>0</v>
      </c>
      <c r="G57" s="31">
        <f>SUM(WY_FINANCIAL)</f>
        <v>0</v>
      </c>
      <c r="H57" s="30"/>
      <c r="I57" s="30"/>
      <c r="J57" s="30"/>
      <c r="K57" s="30"/>
      <c r="L57" s="29"/>
      <c r="M57" s="30"/>
      <c r="N57" s="30"/>
      <c r="O57" s="30"/>
      <c r="P57" s="30"/>
      <c r="Q57" s="30"/>
      <c r="R57" s="30"/>
      <c r="S57" s="30"/>
      <c r="T57" s="30"/>
      <c r="U57" s="30"/>
      <c r="V57" s="31"/>
    </row>
    <row r="58" spans="1:22">
      <c r="A58" s="1" t="s">
        <v>79</v>
      </c>
      <c r="B58" s="29">
        <v>0</v>
      </c>
      <c r="C58" s="30">
        <v>0</v>
      </c>
      <c r="D58" s="30">
        <v>0</v>
      </c>
      <c r="E58" s="30">
        <v>0</v>
      </c>
      <c r="F58" s="30">
        <v>0</v>
      </c>
      <c r="G58" s="31">
        <f>SUM(OT_FINANCIAL)</f>
        <v>0</v>
      </c>
      <c r="H58" s="30"/>
      <c r="I58" s="30"/>
      <c r="J58" s="30"/>
      <c r="K58" s="30"/>
      <c r="L58" s="29"/>
      <c r="M58" s="30"/>
      <c r="N58" s="30"/>
      <c r="O58" s="30"/>
      <c r="P58" s="30"/>
      <c r="Q58" s="30"/>
      <c r="R58" s="30"/>
      <c r="S58" s="30"/>
      <c r="T58" s="30"/>
      <c r="U58" s="30"/>
      <c r="V58" s="31"/>
    </row>
    <row r="59" spans="1:22">
      <c r="B59" s="29"/>
      <c r="C59" s="30"/>
      <c r="D59" s="30"/>
      <c r="E59" s="30"/>
      <c r="F59" s="30"/>
      <c r="G59" s="31"/>
      <c r="H59" s="30"/>
      <c r="I59" s="30"/>
      <c r="J59" s="30"/>
      <c r="K59" s="30"/>
      <c r="L59" s="29"/>
      <c r="M59" s="30"/>
      <c r="N59" s="30"/>
      <c r="O59" s="30"/>
      <c r="P59" s="30"/>
      <c r="Q59" s="30"/>
      <c r="R59" s="30"/>
      <c r="S59" s="30"/>
      <c r="T59" s="30"/>
      <c r="U59" s="30"/>
      <c r="V59" s="31"/>
    </row>
    <row r="60" spans="1:22">
      <c r="A60" s="1" t="s">
        <v>8</v>
      </c>
      <c r="B60" s="29">
        <f>SUM(LIFE)</f>
        <v>228565.34642946458</v>
      </c>
      <c r="C60" s="30">
        <f>SUM(ALLOCATED)</f>
        <v>186292.59836527158</v>
      </c>
      <c r="D60" s="30">
        <f>SUM(HEALTH)</f>
        <v>151601.61520526381</v>
      </c>
      <c r="E60" s="30">
        <f>SUM(UNALLOCATED)</f>
        <v>0</v>
      </c>
      <c r="F60" s="30">
        <f>SUM(LTC)</f>
        <v>0</v>
      </c>
      <c r="G60" s="31">
        <f>SUM(ALL_BLOCKS)</f>
        <v>566459.56000000017</v>
      </c>
      <c r="H60" s="30"/>
      <c r="I60" s="30"/>
      <c r="J60" s="30"/>
      <c r="K60" s="30"/>
      <c r="L60" s="29">
        <f>SUM(LIFE_CALLED)</f>
        <v>63000</v>
      </c>
      <c r="M60" s="30">
        <f>SUM(LIFE_REFUNDED)</f>
        <v>0</v>
      </c>
      <c r="N60" s="30"/>
      <c r="O60" s="30">
        <f>SUM(ALLOC_CALLED)</f>
        <v>40500</v>
      </c>
      <c r="P60" s="30">
        <f>SUM(ALLOC_REFUNDED)</f>
        <v>0</v>
      </c>
      <c r="Q60" s="30"/>
      <c r="R60" s="30">
        <f>SUM(HEALTH_CALLED)</f>
        <v>46500</v>
      </c>
      <c r="S60" s="30">
        <f>SUM(HEALTH_REFUNDED)</f>
        <v>0</v>
      </c>
      <c r="T60" s="30"/>
      <c r="U60" s="30">
        <f>SUM(UNALLOC_CALLED)</f>
        <v>0</v>
      </c>
      <c r="V60" s="31">
        <f>SUM(UNALLOC_REFUNDED)</f>
        <v>0</v>
      </c>
    </row>
    <row r="61" spans="1:22" ht="5.0999999999999996" customHeight="1">
      <c r="B61" s="8"/>
      <c r="G61" s="11"/>
      <c r="L61" s="8"/>
      <c r="V61" s="11"/>
    </row>
    <row r="62" spans="1:22">
      <c r="B62" s="8"/>
      <c r="G62" s="11"/>
      <c r="L62" s="122" t="s">
        <v>80</v>
      </c>
      <c r="M62" s="123"/>
      <c r="N62" s="123"/>
      <c r="O62" s="123"/>
      <c r="P62" s="123"/>
      <c r="Q62" s="123"/>
      <c r="R62" s="123"/>
      <c r="S62" s="123"/>
      <c r="T62" s="123"/>
      <c r="U62" s="123"/>
      <c r="V62" s="124"/>
    </row>
    <row r="63" spans="1:22">
      <c r="B63" s="8"/>
      <c r="G63" s="11"/>
      <c r="L63" s="125"/>
      <c r="M63" s="123"/>
      <c r="N63" s="123"/>
      <c r="O63" s="123"/>
      <c r="P63" s="123"/>
      <c r="Q63" s="123"/>
      <c r="R63" s="123"/>
      <c r="S63" s="123"/>
      <c r="T63" s="123"/>
      <c r="U63" s="123"/>
      <c r="V63" s="124"/>
    </row>
    <row r="64" spans="1:22">
      <c r="B64" s="10"/>
      <c r="C64" s="7"/>
      <c r="D64" s="7"/>
      <c r="E64" s="7"/>
      <c r="F64" s="7"/>
      <c r="G64" s="13"/>
      <c r="L64" s="126"/>
      <c r="M64" s="127"/>
      <c r="N64" s="127"/>
      <c r="O64" s="127"/>
      <c r="P64" s="127"/>
      <c r="Q64" s="127"/>
      <c r="R64" s="127"/>
      <c r="S64" s="127"/>
      <c r="T64" s="127"/>
      <c r="U64" s="127"/>
      <c r="V64" s="128"/>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V64"/>
  <sheetViews>
    <sheetView zoomScale="75" workbookViewId="0">
      <selection sqref="A1:XFD1048576"/>
    </sheetView>
  </sheetViews>
  <sheetFormatPr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129" t="s">
        <v>87</v>
      </c>
      <c r="B1" s="123"/>
      <c r="C1" s="123"/>
      <c r="D1" s="123"/>
      <c r="E1" s="123"/>
      <c r="F1" s="123"/>
      <c r="G1" s="123"/>
    </row>
    <row r="3" spans="1:22">
      <c r="B3" s="130" t="s">
        <v>1</v>
      </c>
      <c r="C3" s="131"/>
      <c r="D3" s="131"/>
      <c r="E3" s="131"/>
      <c r="F3" s="131"/>
      <c r="G3" s="132"/>
      <c r="L3" s="133" t="s">
        <v>2</v>
      </c>
      <c r="M3" s="134"/>
      <c r="N3" s="134"/>
      <c r="O3" s="134"/>
      <c r="P3" s="134"/>
      <c r="Q3" s="134"/>
      <c r="R3" s="134"/>
      <c r="S3" s="134"/>
      <c r="T3" s="134"/>
      <c r="U3" s="134"/>
      <c r="V3" s="135"/>
    </row>
    <row r="4" spans="1:22">
      <c r="B4" s="8"/>
      <c r="G4" s="11"/>
      <c r="L4" s="136" t="s">
        <v>3</v>
      </c>
      <c r="M4" s="137"/>
      <c r="N4" s="4"/>
      <c r="O4" s="138" t="s">
        <v>4</v>
      </c>
      <c r="P4" s="137"/>
      <c r="Q4" s="4"/>
      <c r="R4" s="138" t="s">
        <v>5</v>
      </c>
      <c r="S4" s="137"/>
      <c r="T4" s="4"/>
      <c r="U4" s="138" t="s">
        <v>6</v>
      </c>
      <c r="V4" s="139"/>
    </row>
    <row r="5" spans="1:22" ht="60" customHeight="1">
      <c r="B5" s="9" t="s">
        <v>3</v>
      </c>
      <c r="C5" s="5" t="s">
        <v>4</v>
      </c>
      <c r="D5" s="5" t="s">
        <v>5</v>
      </c>
      <c r="E5" s="5" t="s">
        <v>6</v>
      </c>
      <c r="F5" s="5" t="s">
        <v>7</v>
      </c>
      <c r="G5" s="12" t="s">
        <v>8</v>
      </c>
      <c r="L5" s="15" t="s">
        <v>9</v>
      </c>
      <c r="M5" s="14" t="s">
        <v>10</v>
      </c>
      <c r="N5" s="14"/>
      <c r="O5" s="14" t="s">
        <v>9</v>
      </c>
      <c r="P5" s="14" t="s">
        <v>10</v>
      </c>
      <c r="Q5" s="14"/>
      <c r="R5" s="14" t="s">
        <v>9</v>
      </c>
      <c r="S5" s="14" t="s">
        <v>10</v>
      </c>
      <c r="T5" s="14"/>
      <c r="U5" s="14" t="s">
        <v>9</v>
      </c>
      <c r="V5" s="16" t="s">
        <v>10</v>
      </c>
    </row>
    <row r="6" spans="1:22">
      <c r="A6" s="1" t="s">
        <v>11</v>
      </c>
      <c r="B6" s="29">
        <v>4471.5138840532927</v>
      </c>
      <c r="C6" s="30">
        <v>0</v>
      </c>
      <c r="D6" s="30">
        <v>243.11027272026081</v>
      </c>
      <c r="E6" s="30">
        <v>0</v>
      </c>
      <c r="F6" s="30">
        <v>0</v>
      </c>
      <c r="G6" s="31">
        <f>SUM(AL_FINANCIAL)</f>
        <v>4714.6241567735533</v>
      </c>
      <c r="H6" s="30"/>
      <c r="I6" s="30"/>
      <c r="J6" s="30"/>
      <c r="K6" s="30"/>
      <c r="L6" s="29"/>
      <c r="M6" s="30"/>
      <c r="N6" s="30"/>
      <c r="O6" s="30"/>
      <c r="P6" s="30"/>
      <c r="Q6" s="30"/>
      <c r="R6" s="30"/>
      <c r="S6" s="30"/>
      <c r="T6" s="30"/>
      <c r="U6" s="30"/>
      <c r="V6" s="31"/>
    </row>
    <row r="7" spans="1:22">
      <c r="A7" s="1" t="s">
        <v>12</v>
      </c>
      <c r="B7" s="29">
        <v>2453.0758684889806</v>
      </c>
      <c r="C7" s="30">
        <v>0</v>
      </c>
      <c r="D7" s="30">
        <v>5.2622292495294403</v>
      </c>
      <c r="E7" s="30">
        <v>0</v>
      </c>
      <c r="F7" s="30">
        <v>0</v>
      </c>
      <c r="G7" s="31">
        <f>SUM(AK_FINANCIAL)</f>
        <v>2458.33809773851</v>
      </c>
      <c r="H7" s="30"/>
      <c r="I7" s="32"/>
      <c r="J7" s="33"/>
      <c r="K7" s="30"/>
      <c r="L7" s="29">
        <v>50000</v>
      </c>
      <c r="M7" s="30">
        <v>0</v>
      </c>
      <c r="N7" s="30"/>
      <c r="O7" s="30">
        <v>0</v>
      </c>
      <c r="P7" s="30">
        <v>0</v>
      </c>
      <c r="Q7" s="30"/>
      <c r="R7" s="30">
        <v>0</v>
      </c>
      <c r="S7" s="30">
        <v>0</v>
      </c>
      <c r="T7" s="30"/>
      <c r="U7" s="30">
        <v>0</v>
      </c>
      <c r="V7" s="31">
        <v>0</v>
      </c>
    </row>
    <row r="8" spans="1:22">
      <c r="A8" s="1" t="s">
        <v>13</v>
      </c>
      <c r="B8" s="29">
        <v>543096.88009524858</v>
      </c>
      <c r="C8" s="30">
        <v>271614.57342739403</v>
      </c>
      <c r="D8" s="30">
        <v>16028.356391664012</v>
      </c>
      <c r="E8" s="30">
        <v>0</v>
      </c>
      <c r="F8" s="30">
        <v>0</v>
      </c>
      <c r="G8" s="31">
        <f>SUM(AZ_FINANCIAL)</f>
        <v>830739.80991430662</v>
      </c>
      <c r="H8" s="30"/>
      <c r="I8" s="34" t="s">
        <v>14</v>
      </c>
      <c r="J8" s="35"/>
      <c r="K8" s="30"/>
      <c r="L8" s="29">
        <v>0</v>
      </c>
      <c r="M8" s="30">
        <v>0</v>
      </c>
      <c r="N8" s="30"/>
      <c r="O8" s="30">
        <v>0</v>
      </c>
      <c r="P8" s="30">
        <v>0</v>
      </c>
      <c r="Q8" s="30"/>
      <c r="R8" s="30">
        <v>0</v>
      </c>
      <c r="S8" s="30">
        <v>0</v>
      </c>
      <c r="T8" s="30"/>
      <c r="U8" s="30">
        <v>0</v>
      </c>
      <c r="V8" s="31">
        <v>0</v>
      </c>
    </row>
    <row r="9" spans="1:22">
      <c r="A9" s="1" t="s">
        <v>15</v>
      </c>
      <c r="B9" s="29">
        <v>664034.26556450804</v>
      </c>
      <c r="C9" s="30">
        <v>6753.8774351181492</v>
      </c>
      <c r="D9" s="30">
        <v>4050.7316848170231</v>
      </c>
      <c r="E9" s="30">
        <v>0</v>
      </c>
      <c r="F9" s="30">
        <v>0</v>
      </c>
      <c r="G9" s="31">
        <f>SUM(AR_FINANCIAL)</f>
        <v>674838.87468444323</v>
      </c>
      <c r="H9" s="30"/>
      <c r="I9" s="34"/>
      <c r="J9" s="35"/>
      <c r="K9" s="30"/>
      <c r="L9" s="29">
        <v>2000093</v>
      </c>
      <c r="M9" s="30">
        <v>0</v>
      </c>
      <c r="N9" s="30"/>
      <c r="O9" s="30">
        <v>0</v>
      </c>
      <c r="P9" s="30">
        <v>0</v>
      </c>
      <c r="Q9" s="30"/>
      <c r="R9" s="30">
        <v>0</v>
      </c>
      <c r="S9" s="30">
        <v>0</v>
      </c>
      <c r="T9" s="30"/>
      <c r="U9" s="30">
        <v>0</v>
      </c>
      <c r="V9" s="31">
        <v>0</v>
      </c>
    </row>
    <row r="10" spans="1:22">
      <c r="A10" s="1" t="s">
        <v>16</v>
      </c>
      <c r="B10" s="29">
        <v>0</v>
      </c>
      <c r="C10" s="30">
        <v>0</v>
      </c>
      <c r="D10" s="30">
        <v>0</v>
      </c>
      <c r="E10" s="30">
        <v>0</v>
      </c>
      <c r="F10" s="30">
        <v>0</v>
      </c>
      <c r="G10" s="31">
        <f>SUM(CA_FINANCIAL)</f>
        <v>0</v>
      </c>
      <c r="H10" s="30"/>
      <c r="I10" s="34" t="s">
        <v>17</v>
      </c>
      <c r="J10" s="35">
        <v>21461671.379999999</v>
      </c>
      <c r="K10" s="30"/>
      <c r="L10" s="29"/>
      <c r="M10" s="30"/>
      <c r="N10" s="30"/>
      <c r="O10" s="30"/>
      <c r="P10" s="30"/>
      <c r="Q10" s="30"/>
      <c r="R10" s="30"/>
      <c r="S10" s="30"/>
      <c r="T10" s="30"/>
      <c r="U10" s="30"/>
      <c r="V10" s="31"/>
    </row>
    <row r="11" spans="1:22">
      <c r="A11" s="1" t="s">
        <v>18</v>
      </c>
      <c r="B11" s="29">
        <v>28827.626645756041</v>
      </c>
      <c r="C11" s="30">
        <v>0</v>
      </c>
      <c r="D11" s="30">
        <v>0</v>
      </c>
      <c r="E11" s="30">
        <v>0</v>
      </c>
      <c r="F11" s="30">
        <v>0</v>
      </c>
      <c r="G11" s="31">
        <f>SUM(CO_FINANCIAL)</f>
        <v>28827.626645756041</v>
      </c>
      <c r="H11" s="30"/>
      <c r="I11" s="34"/>
      <c r="J11" s="35"/>
      <c r="K11" s="30"/>
      <c r="L11" s="29">
        <v>43585</v>
      </c>
      <c r="M11" s="30">
        <v>0</v>
      </c>
      <c r="N11" s="30"/>
      <c r="O11" s="30">
        <v>0</v>
      </c>
      <c r="P11" s="30">
        <v>0</v>
      </c>
      <c r="Q11" s="30"/>
      <c r="R11" s="30">
        <v>0</v>
      </c>
      <c r="S11" s="30">
        <v>0</v>
      </c>
      <c r="T11" s="30"/>
      <c r="U11" s="30">
        <v>0</v>
      </c>
      <c r="V11" s="31">
        <v>0</v>
      </c>
    </row>
    <row r="12" spans="1:22">
      <c r="A12" s="1" t="s">
        <v>19</v>
      </c>
      <c r="B12" s="29">
        <v>0</v>
      </c>
      <c r="C12" s="30">
        <v>0</v>
      </c>
      <c r="D12" s="30">
        <v>0</v>
      </c>
      <c r="E12" s="30">
        <v>0</v>
      </c>
      <c r="F12" s="30">
        <v>0</v>
      </c>
      <c r="G12" s="31">
        <f>SUM(CT_FINANCIAL)</f>
        <v>0</v>
      </c>
      <c r="H12" s="30"/>
      <c r="I12" s="34" t="s">
        <v>20</v>
      </c>
      <c r="J12" s="35"/>
      <c r="K12" s="30"/>
      <c r="L12" s="29"/>
      <c r="M12" s="30"/>
      <c r="N12" s="30"/>
      <c r="O12" s="30"/>
      <c r="P12" s="30"/>
      <c r="Q12" s="30"/>
      <c r="R12" s="30"/>
      <c r="S12" s="30"/>
      <c r="T12" s="30"/>
      <c r="U12" s="30"/>
      <c r="V12" s="31"/>
    </row>
    <row r="13" spans="1:22">
      <c r="A13" s="1" t="s">
        <v>21</v>
      </c>
      <c r="B13" s="29">
        <v>0</v>
      </c>
      <c r="C13" s="30">
        <v>0</v>
      </c>
      <c r="D13" s="30">
        <v>0</v>
      </c>
      <c r="E13" s="30">
        <v>0</v>
      </c>
      <c r="F13" s="30">
        <v>0</v>
      </c>
      <c r="G13" s="31">
        <f>SUM(DE_FINANCIAL)</f>
        <v>0</v>
      </c>
      <c r="H13" s="30"/>
      <c r="I13" s="34" t="s">
        <v>22</v>
      </c>
      <c r="J13" s="35">
        <v>137228</v>
      </c>
      <c r="K13" s="30"/>
      <c r="L13" s="29"/>
      <c r="M13" s="30"/>
      <c r="N13" s="30"/>
      <c r="O13" s="30"/>
      <c r="P13" s="30"/>
      <c r="Q13" s="30"/>
      <c r="R13" s="30"/>
      <c r="S13" s="30"/>
      <c r="T13" s="30"/>
      <c r="U13" s="30"/>
      <c r="V13" s="31"/>
    </row>
    <row r="14" spans="1:22">
      <c r="A14" s="1" t="s">
        <v>23</v>
      </c>
      <c r="B14" s="29">
        <v>0</v>
      </c>
      <c r="C14" s="30">
        <v>0</v>
      </c>
      <c r="D14" s="30">
        <v>0</v>
      </c>
      <c r="E14" s="30">
        <v>0</v>
      </c>
      <c r="F14" s="30">
        <v>0</v>
      </c>
      <c r="G14" s="31">
        <f>SUM(DC_FINANCIAL)</f>
        <v>0</v>
      </c>
      <c r="H14" s="30"/>
      <c r="I14" s="34" t="s">
        <v>24</v>
      </c>
      <c r="J14" s="35">
        <v>955571</v>
      </c>
      <c r="K14" s="30"/>
      <c r="L14" s="29"/>
      <c r="M14" s="30"/>
      <c r="N14" s="30"/>
      <c r="O14" s="30"/>
      <c r="P14" s="30"/>
      <c r="Q14" s="30"/>
      <c r="R14" s="30"/>
      <c r="S14" s="30"/>
      <c r="T14" s="30"/>
      <c r="U14" s="30"/>
      <c r="V14" s="31"/>
    </row>
    <row r="15" spans="1:22">
      <c r="A15" s="1" t="s">
        <v>25</v>
      </c>
      <c r="B15" s="29">
        <v>310569.27072684374</v>
      </c>
      <c r="C15" s="30">
        <v>0</v>
      </c>
      <c r="D15" s="30">
        <v>31612.769355519624</v>
      </c>
      <c r="E15" s="30">
        <v>0</v>
      </c>
      <c r="F15" s="30">
        <v>0</v>
      </c>
      <c r="G15" s="31">
        <f>SUM(FL_FINANCIAL)</f>
        <v>342182.04008236335</v>
      </c>
      <c r="H15" s="30"/>
      <c r="I15" s="34" t="s">
        <v>26</v>
      </c>
      <c r="J15" s="35">
        <v>1572891.0199999998</v>
      </c>
      <c r="K15" s="30"/>
      <c r="L15" s="29"/>
      <c r="M15" s="30"/>
      <c r="N15" s="30"/>
      <c r="O15" s="30"/>
      <c r="P15" s="30"/>
      <c r="Q15" s="30"/>
      <c r="R15" s="30"/>
      <c r="S15" s="30"/>
      <c r="T15" s="30"/>
      <c r="U15" s="30"/>
      <c r="V15" s="31"/>
    </row>
    <row r="16" spans="1:22">
      <c r="A16" s="1" t="s">
        <v>27</v>
      </c>
      <c r="B16" s="29">
        <v>0</v>
      </c>
      <c r="C16" s="30">
        <v>0</v>
      </c>
      <c r="D16" s="30">
        <v>0</v>
      </c>
      <c r="E16" s="30">
        <v>0</v>
      </c>
      <c r="F16" s="30">
        <v>0</v>
      </c>
      <c r="G16" s="31">
        <f>SUM(GA_FINANCIAL)</f>
        <v>0</v>
      </c>
      <c r="H16" s="30"/>
      <c r="I16" s="34" t="s">
        <v>28</v>
      </c>
      <c r="J16" s="35">
        <v>0</v>
      </c>
      <c r="K16" s="30"/>
      <c r="L16" s="29"/>
      <c r="M16" s="30"/>
      <c r="N16" s="30"/>
      <c r="O16" s="30"/>
      <c r="P16" s="30"/>
      <c r="Q16" s="30"/>
      <c r="R16" s="30"/>
      <c r="S16" s="30"/>
      <c r="T16" s="30"/>
      <c r="U16" s="30"/>
      <c r="V16" s="31"/>
    </row>
    <row r="17" spans="1:22">
      <c r="A17" s="1" t="s">
        <v>29</v>
      </c>
      <c r="B17" s="29">
        <v>42698.746794763603</v>
      </c>
      <c r="C17" s="30">
        <v>2352.5213018003142</v>
      </c>
      <c r="D17" s="30">
        <v>199.72711785449508</v>
      </c>
      <c r="E17" s="30">
        <v>0</v>
      </c>
      <c r="F17" s="30">
        <v>0</v>
      </c>
      <c r="G17" s="31">
        <f>SUM(HI_FINANCIAL)</f>
        <v>45250.995214418414</v>
      </c>
      <c r="H17" s="30"/>
      <c r="I17" s="34"/>
      <c r="J17" s="35"/>
      <c r="K17" s="30"/>
      <c r="L17" s="29">
        <v>3864</v>
      </c>
      <c r="M17" s="30">
        <v>0</v>
      </c>
      <c r="N17" s="30"/>
      <c r="O17" s="30">
        <v>0</v>
      </c>
      <c r="P17" s="30">
        <v>0</v>
      </c>
      <c r="Q17" s="30"/>
      <c r="R17" s="30">
        <v>0</v>
      </c>
      <c r="S17" s="30">
        <v>0</v>
      </c>
      <c r="T17" s="30"/>
      <c r="U17" s="30">
        <v>0</v>
      </c>
      <c r="V17" s="31">
        <v>0</v>
      </c>
    </row>
    <row r="18" spans="1:22">
      <c r="A18" s="1" t="s">
        <v>30</v>
      </c>
      <c r="B18" s="29">
        <v>0</v>
      </c>
      <c r="C18" s="30">
        <v>0</v>
      </c>
      <c r="D18" s="30">
        <v>0</v>
      </c>
      <c r="E18" s="30">
        <v>0</v>
      </c>
      <c r="F18" s="30">
        <v>0</v>
      </c>
      <c r="G18" s="31">
        <f>SUM(ID_FINANCIAL)</f>
        <v>0</v>
      </c>
      <c r="H18" s="30"/>
      <c r="I18" s="34" t="s">
        <v>31</v>
      </c>
      <c r="J18" s="35"/>
      <c r="K18" s="30"/>
      <c r="L18" s="29"/>
      <c r="M18" s="30"/>
      <c r="N18" s="30"/>
      <c r="O18" s="30"/>
      <c r="P18" s="30"/>
      <c r="Q18" s="30"/>
      <c r="R18" s="30"/>
      <c r="S18" s="30"/>
      <c r="T18" s="30"/>
      <c r="U18" s="30"/>
      <c r="V18" s="31"/>
    </row>
    <row r="19" spans="1:22">
      <c r="A19" s="1" t="s">
        <v>32</v>
      </c>
      <c r="B19" s="29">
        <v>0</v>
      </c>
      <c r="C19" s="30">
        <v>0</v>
      </c>
      <c r="D19" s="30">
        <v>0</v>
      </c>
      <c r="E19" s="30">
        <v>0</v>
      </c>
      <c r="F19" s="30">
        <v>0</v>
      </c>
      <c r="G19" s="31">
        <f>SUM(IL_FINANCIAL)</f>
        <v>0</v>
      </c>
      <c r="H19" s="30"/>
      <c r="I19" s="34" t="s">
        <v>33</v>
      </c>
      <c r="J19" s="35">
        <v>0</v>
      </c>
      <c r="K19" s="30"/>
      <c r="L19" s="29"/>
      <c r="M19" s="30"/>
      <c r="N19" s="30"/>
      <c r="O19" s="30"/>
      <c r="P19" s="30"/>
      <c r="Q19" s="30"/>
      <c r="R19" s="30"/>
      <c r="S19" s="30"/>
      <c r="T19" s="30"/>
      <c r="U19" s="30"/>
      <c r="V19" s="31"/>
    </row>
    <row r="20" spans="1:22">
      <c r="A20" s="1" t="s">
        <v>34</v>
      </c>
      <c r="B20" s="29">
        <v>7396.7651932968292</v>
      </c>
      <c r="C20" s="30">
        <v>0</v>
      </c>
      <c r="D20" s="30">
        <v>2025.1715042681335</v>
      </c>
      <c r="E20" s="30">
        <v>0</v>
      </c>
      <c r="F20" s="30">
        <v>0</v>
      </c>
      <c r="G20" s="31">
        <f>SUM(IN_FINANCIAL)</f>
        <v>9421.9366975649627</v>
      </c>
      <c r="H20" s="30"/>
      <c r="I20" s="34" t="s">
        <v>35</v>
      </c>
      <c r="J20" s="35">
        <v>-375118</v>
      </c>
      <c r="K20" s="30"/>
      <c r="L20" s="29"/>
      <c r="M20" s="30"/>
      <c r="N20" s="30"/>
      <c r="O20" s="30"/>
      <c r="P20" s="30"/>
      <c r="Q20" s="30"/>
      <c r="R20" s="30"/>
      <c r="S20" s="30"/>
      <c r="T20" s="30"/>
      <c r="U20" s="30"/>
      <c r="V20" s="31"/>
    </row>
    <row r="21" spans="1:22">
      <c r="A21" s="1" t="s">
        <v>36</v>
      </c>
      <c r="B21" s="29">
        <v>0</v>
      </c>
      <c r="C21" s="30">
        <v>0</v>
      </c>
      <c r="D21" s="30">
        <v>0</v>
      </c>
      <c r="E21" s="30">
        <v>0</v>
      </c>
      <c r="F21" s="30">
        <v>0</v>
      </c>
      <c r="G21" s="31">
        <f>SUM(IA_FINANCIAL)</f>
        <v>0</v>
      </c>
      <c r="H21" s="30"/>
      <c r="I21" s="34" t="s">
        <v>37</v>
      </c>
      <c r="J21" s="35"/>
      <c r="K21" s="30"/>
      <c r="L21" s="29"/>
      <c r="M21" s="30"/>
      <c r="N21" s="30"/>
      <c r="O21" s="30"/>
      <c r="P21" s="30"/>
      <c r="Q21" s="30"/>
      <c r="R21" s="30"/>
      <c r="S21" s="30"/>
      <c r="T21" s="30"/>
      <c r="U21" s="30"/>
      <c r="V21" s="31"/>
    </row>
    <row r="22" spans="1:22">
      <c r="A22" s="1" t="s">
        <v>38</v>
      </c>
      <c r="B22" s="29">
        <v>43368.127987657819</v>
      </c>
      <c r="C22" s="30">
        <v>3347.1593059665611</v>
      </c>
      <c r="D22" s="30">
        <v>17497.151342989717</v>
      </c>
      <c r="E22" s="30">
        <v>0</v>
      </c>
      <c r="F22" s="30">
        <v>0</v>
      </c>
      <c r="G22" s="31">
        <f>SUM(KS_FINANCIAL)</f>
        <v>64212.438636614097</v>
      </c>
      <c r="H22" s="30"/>
      <c r="I22" s="34" t="s">
        <v>39</v>
      </c>
      <c r="J22" s="35">
        <v>5635144</v>
      </c>
      <c r="K22" s="30"/>
      <c r="L22" s="29"/>
      <c r="M22" s="30"/>
      <c r="N22" s="30"/>
      <c r="O22" s="30"/>
      <c r="P22" s="30"/>
      <c r="Q22" s="30"/>
      <c r="R22" s="30"/>
      <c r="S22" s="30"/>
      <c r="T22" s="30"/>
      <c r="U22" s="30"/>
      <c r="V22" s="31"/>
    </row>
    <row r="23" spans="1:22">
      <c r="A23" s="1" t="s">
        <v>40</v>
      </c>
      <c r="B23" s="29">
        <v>0</v>
      </c>
      <c r="C23" s="30">
        <v>0</v>
      </c>
      <c r="D23" s="30">
        <v>0</v>
      </c>
      <c r="E23" s="30">
        <v>0</v>
      </c>
      <c r="F23" s="30">
        <v>0</v>
      </c>
      <c r="G23" s="31">
        <f>SUM(KY_FINANCIAL)</f>
        <v>0</v>
      </c>
      <c r="H23" s="30"/>
      <c r="I23" s="34" t="s">
        <v>41</v>
      </c>
      <c r="J23" s="35"/>
      <c r="K23" s="30"/>
      <c r="L23" s="29"/>
      <c r="M23" s="30"/>
      <c r="N23" s="30"/>
      <c r="O23" s="30"/>
      <c r="P23" s="30"/>
      <c r="Q23" s="30"/>
      <c r="R23" s="30"/>
      <c r="S23" s="30"/>
      <c r="T23" s="30"/>
      <c r="U23" s="30"/>
      <c r="V23" s="31"/>
    </row>
    <row r="24" spans="1:22">
      <c r="A24" s="1" t="s">
        <v>42</v>
      </c>
      <c r="B24" s="29">
        <v>-10220.219204661062</v>
      </c>
      <c r="C24" s="30">
        <v>0</v>
      </c>
      <c r="D24" s="30">
        <v>0</v>
      </c>
      <c r="E24" s="30">
        <v>0</v>
      </c>
      <c r="F24" s="30">
        <v>0</v>
      </c>
      <c r="G24" s="31">
        <f>SUM(LA_FINANCIAL)</f>
        <v>-10220.219204661062</v>
      </c>
      <c r="H24" s="30"/>
      <c r="I24" s="34" t="s">
        <v>43</v>
      </c>
      <c r="J24" s="35">
        <v>10390579.999999993</v>
      </c>
      <c r="K24" s="30"/>
      <c r="L24" s="29"/>
      <c r="M24" s="30"/>
      <c r="N24" s="30"/>
      <c r="O24" s="30"/>
      <c r="P24" s="30"/>
      <c r="Q24" s="30"/>
      <c r="R24" s="30"/>
      <c r="S24" s="30"/>
      <c r="T24" s="30"/>
      <c r="U24" s="30"/>
      <c r="V24" s="31"/>
    </row>
    <row r="25" spans="1:22">
      <c r="A25" s="1" t="s">
        <v>44</v>
      </c>
      <c r="B25" s="29">
        <v>0</v>
      </c>
      <c r="C25" s="30">
        <v>0</v>
      </c>
      <c r="D25" s="30">
        <v>0</v>
      </c>
      <c r="E25" s="30">
        <v>0</v>
      </c>
      <c r="F25" s="30">
        <v>0</v>
      </c>
      <c r="G25" s="31">
        <f>SUM(ME_FINANCIAL)</f>
        <v>0</v>
      </c>
      <c r="H25" s="30"/>
      <c r="I25" s="34"/>
      <c r="J25" s="35"/>
      <c r="K25" s="30"/>
      <c r="L25" s="29"/>
      <c r="M25" s="30"/>
      <c r="N25" s="30"/>
      <c r="O25" s="30"/>
      <c r="P25" s="30"/>
      <c r="Q25" s="30"/>
      <c r="R25" s="30"/>
      <c r="S25" s="30"/>
      <c r="T25" s="30"/>
      <c r="U25" s="30"/>
      <c r="V25" s="31"/>
    </row>
    <row r="26" spans="1:22">
      <c r="A26" s="1" t="s">
        <v>45</v>
      </c>
      <c r="B26" s="29">
        <v>0</v>
      </c>
      <c r="C26" s="30">
        <v>0</v>
      </c>
      <c r="D26" s="30">
        <v>0</v>
      </c>
      <c r="E26" s="30">
        <v>0</v>
      </c>
      <c r="F26" s="30">
        <v>0</v>
      </c>
      <c r="G26" s="31">
        <f>SUM(MD_FINANCIAL)</f>
        <v>0</v>
      </c>
      <c r="H26" s="30"/>
      <c r="I26" s="34" t="s">
        <v>46</v>
      </c>
      <c r="J26" s="35">
        <f>SUM(ADD_FINANCIAL)-SUM(LESS_FINANCIAL)</f>
        <v>8476755.400000006</v>
      </c>
      <c r="K26" s="30"/>
      <c r="L26" s="29"/>
      <c r="M26" s="30"/>
      <c r="N26" s="30"/>
      <c r="O26" s="30"/>
      <c r="P26" s="30"/>
      <c r="Q26" s="30"/>
      <c r="R26" s="30"/>
      <c r="S26" s="30"/>
      <c r="T26" s="30"/>
      <c r="U26" s="30"/>
      <c r="V26" s="31"/>
    </row>
    <row r="27" spans="1:22">
      <c r="A27" s="1" t="s">
        <v>47</v>
      </c>
      <c r="B27" s="29">
        <v>0</v>
      </c>
      <c r="C27" s="30">
        <v>0</v>
      </c>
      <c r="D27" s="30">
        <v>0</v>
      </c>
      <c r="E27" s="30">
        <v>0</v>
      </c>
      <c r="F27" s="30">
        <v>0</v>
      </c>
      <c r="G27" s="31">
        <f>SUM(MA_FINANCIAL)</f>
        <v>0</v>
      </c>
      <c r="H27" s="30"/>
      <c r="I27" s="34" t="s">
        <v>48</v>
      </c>
      <c r="J27" s="35">
        <f>SUM(ALL_BLOCKS)</f>
        <v>8476755.4000000004</v>
      </c>
      <c r="K27" s="30"/>
      <c r="L27" s="29"/>
      <c r="M27" s="30"/>
      <c r="N27" s="30"/>
      <c r="O27" s="30"/>
      <c r="P27" s="30"/>
      <c r="Q27" s="30"/>
      <c r="R27" s="30"/>
      <c r="S27" s="30"/>
      <c r="T27" s="30"/>
      <c r="U27" s="30"/>
      <c r="V27" s="31"/>
    </row>
    <row r="28" spans="1:22">
      <c r="A28" s="1" t="s">
        <v>49</v>
      </c>
      <c r="B28" s="29">
        <v>0</v>
      </c>
      <c r="C28" s="30">
        <v>0</v>
      </c>
      <c r="D28" s="30">
        <v>0</v>
      </c>
      <c r="E28" s="30">
        <v>0</v>
      </c>
      <c r="F28" s="30">
        <v>0</v>
      </c>
      <c r="G28" s="31">
        <f>SUM(MI_FINANCIAL)</f>
        <v>0</v>
      </c>
      <c r="H28" s="30"/>
      <c r="I28" s="36"/>
      <c r="J28" s="37"/>
      <c r="K28" s="30"/>
      <c r="L28" s="29"/>
      <c r="M28" s="30"/>
      <c r="N28" s="30"/>
      <c r="O28" s="30"/>
      <c r="P28" s="30"/>
      <c r="Q28" s="30"/>
      <c r="R28" s="30"/>
      <c r="S28" s="30"/>
      <c r="T28" s="30"/>
      <c r="U28" s="30"/>
      <c r="V28" s="31"/>
    </row>
    <row r="29" spans="1:22">
      <c r="A29" s="1" t="s">
        <v>50</v>
      </c>
      <c r="B29" s="29">
        <v>0</v>
      </c>
      <c r="C29" s="30">
        <v>0</v>
      </c>
      <c r="D29" s="30">
        <v>0</v>
      </c>
      <c r="E29" s="30">
        <v>0</v>
      </c>
      <c r="F29" s="30">
        <v>0</v>
      </c>
      <c r="G29" s="31">
        <f>SUM(MN_FINANCIAL)</f>
        <v>0</v>
      </c>
      <c r="H29" s="30"/>
      <c r="I29" s="30"/>
      <c r="J29" s="30"/>
      <c r="K29" s="30"/>
      <c r="L29" s="29"/>
      <c r="M29" s="30"/>
      <c r="N29" s="30"/>
      <c r="O29" s="30"/>
      <c r="P29" s="30"/>
      <c r="Q29" s="30"/>
      <c r="R29" s="30"/>
      <c r="S29" s="30"/>
      <c r="T29" s="30"/>
      <c r="U29" s="30"/>
      <c r="V29" s="31"/>
    </row>
    <row r="30" spans="1:22">
      <c r="A30" s="1" t="s">
        <v>51</v>
      </c>
      <c r="B30" s="29">
        <v>8190.8488022396377</v>
      </c>
      <c r="C30" s="30">
        <v>0</v>
      </c>
      <c r="D30" s="30">
        <v>1058.9203766105811</v>
      </c>
      <c r="E30" s="30">
        <v>0</v>
      </c>
      <c r="F30" s="30">
        <v>0</v>
      </c>
      <c r="G30" s="31">
        <f>SUM(MS_FINANCIAL)</f>
        <v>9249.7691788502198</v>
      </c>
      <c r="H30" s="30"/>
      <c r="I30" s="30"/>
      <c r="J30" s="30"/>
      <c r="K30" s="30"/>
      <c r="L30" s="29">
        <v>1085</v>
      </c>
      <c r="M30" s="30">
        <v>481</v>
      </c>
      <c r="N30" s="30"/>
      <c r="O30" s="30">
        <v>0</v>
      </c>
      <c r="P30" s="30">
        <v>0</v>
      </c>
      <c r="Q30" s="30"/>
      <c r="R30" s="30">
        <v>3915</v>
      </c>
      <c r="S30" s="30">
        <v>1831</v>
      </c>
      <c r="T30" s="30"/>
      <c r="U30" s="30">
        <v>0</v>
      </c>
      <c r="V30" s="31">
        <v>0</v>
      </c>
    </row>
    <row r="31" spans="1:22">
      <c r="A31" s="1" t="s">
        <v>52</v>
      </c>
      <c r="B31" s="29">
        <v>199894.48065924391</v>
      </c>
      <c r="C31" s="30">
        <v>11616.847353524678</v>
      </c>
      <c r="D31" s="30">
        <v>26355.722433309114</v>
      </c>
      <c r="E31" s="30">
        <v>0</v>
      </c>
      <c r="F31" s="30">
        <v>0</v>
      </c>
      <c r="G31" s="31">
        <f>SUM(MO_FINANCIAL)</f>
        <v>237867.05044607772</v>
      </c>
      <c r="H31" s="30"/>
      <c r="I31" s="30"/>
      <c r="J31" s="30"/>
      <c r="K31" s="30"/>
      <c r="L31" s="29"/>
      <c r="M31" s="30"/>
      <c r="N31" s="30"/>
      <c r="O31" s="30"/>
      <c r="P31" s="30"/>
      <c r="Q31" s="30"/>
      <c r="R31" s="30"/>
      <c r="S31" s="30"/>
      <c r="T31" s="30"/>
      <c r="U31" s="30"/>
      <c r="V31" s="31"/>
    </row>
    <row r="32" spans="1:22">
      <c r="A32" s="1" t="s">
        <v>53</v>
      </c>
      <c r="B32" s="29">
        <v>0</v>
      </c>
      <c r="C32" s="30">
        <v>0</v>
      </c>
      <c r="D32" s="30">
        <v>0</v>
      </c>
      <c r="E32" s="30">
        <v>0</v>
      </c>
      <c r="F32" s="30">
        <v>0</v>
      </c>
      <c r="G32" s="31">
        <f>SUM(MT_FINANCIAL)</f>
        <v>0</v>
      </c>
      <c r="H32" s="30"/>
      <c r="I32" s="30"/>
      <c r="J32" s="30"/>
      <c r="K32" s="30"/>
      <c r="L32" s="29"/>
      <c r="M32" s="30"/>
      <c r="N32" s="30"/>
      <c r="O32" s="30"/>
      <c r="P32" s="30"/>
      <c r="Q32" s="30"/>
      <c r="R32" s="30"/>
      <c r="S32" s="30"/>
      <c r="T32" s="30"/>
      <c r="U32" s="30"/>
      <c r="V32" s="31"/>
    </row>
    <row r="33" spans="1:22">
      <c r="A33" s="1" t="s">
        <v>54</v>
      </c>
      <c r="B33" s="29">
        <v>14140.720692789175</v>
      </c>
      <c r="C33" s="30">
        <v>83.822817792002922</v>
      </c>
      <c r="D33" s="30">
        <v>3753.1599284682979</v>
      </c>
      <c r="E33" s="30">
        <v>0</v>
      </c>
      <c r="F33" s="30">
        <v>0</v>
      </c>
      <c r="G33" s="31">
        <f>SUM(NE_FINANCIAL)</f>
        <v>17977.703439049474</v>
      </c>
      <c r="H33" s="30"/>
      <c r="I33" s="30"/>
      <c r="J33" s="30"/>
      <c r="K33" s="30"/>
      <c r="L33" s="29"/>
      <c r="M33" s="30"/>
      <c r="N33" s="30"/>
      <c r="O33" s="30"/>
      <c r="P33" s="30"/>
      <c r="Q33" s="30"/>
      <c r="R33" s="30"/>
      <c r="S33" s="30"/>
      <c r="T33" s="30"/>
      <c r="U33" s="30"/>
      <c r="V33" s="31"/>
    </row>
    <row r="34" spans="1:22">
      <c r="A34" s="1" t="s">
        <v>55</v>
      </c>
      <c r="B34" s="29">
        <v>13305.112649100229</v>
      </c>
      <c r="C34" s="30">
        <v>6150.4238342578865</v>
      </c>
      <c r="D34" s="30">
        <v>695.10391314377421</v>
      </c>
      <c r="E34" s="30">
        <v>0</v>
      </c>
      <c r="F34" s="30">
        <v>0</v>
      </c>
      <c r="G34" s="31">
        <f>SUM(NV_FINANCIAL)</f>
        <v>20150.640396501891</v>
      </c>
      <c r="H34" s="30"/>
      <c r="I34" s="30"/>
      <c r="J34" s="30"/>
      <c r="K34" s="30"/>
      <c r="L34" s="29"/>
      <c r="M34" s="30"/>
      <c r="N34" s="30"/>
      <c r="O34" s="30"/>
      <c r="P34" s="30"/>
      <c r="Q34" s="30"/>
      <c r="R34" s="30"/>
      <c r="S34" s="30"/>
      <c r="T34" s="30"/>
      <c r="U34" s="30"/>
      <c r="V34" s="31"/>
    </row>
    <row r="35" spans="1:22">
      <c r="A35" s="1" t="s">
        <v>56</v>
      </c>
      <c r="B35" s="29">
        <v>0</v>
      </c>
      <c r="C35" s="30">
        <v>0</v>
      </c>
      <c r="D35" s="30">
        <v>0</v>
      </c>
      <c r="E35" s="30">
        <v>0</v>
      </c>
      <c r="F35" s="30">
        <v>0</v>
      </c>
      <c r="G35" s="31">
        <f>SUM(NH_FINANCIAL)</f>
        <v>0</v>
      </c>
      <c r="H35" s="30"/>
      <c r="I35" s="30"/>
      <c r="J35" s="30"/>
      <c r="K35" s="30"/>
      <c r="L35" s="29"/>
      <c r="M35" s="30"/>
      <c r="N35" s="30"/>
      <c r="O35" s="30"/>
      <c r="P35" s="30"/>
      <c r="Q35" s="30"/>
      <c r="R35" s="30"/>
      <c r="S35" s="30"/>
      <c r="T35" s="30"/>
      <c r="U35" s="30"/>
      <c r="V35" s="31"/>
    </row>
    <row r="36" spans="1:22">
      <c r="A36" s="1" t="s">
        <v>57</v>
      </c>
      <c r="B36" s="29">
        <v>0</v>
      </c>
      <c r="C36" s="30">
        <v>0</v>
      </c>
      <c r="D36" s="30">
        <v>0</v>
      </c>
      <c r="E36" s="30">
        <v>0</v>
      </c>
      <c r="F36" s="30">
        <v>0</v>
      </c>
      <c r="G36" s="31">
        <f>SUM(NJ_FINANCIAL)</f>
        <v>0</v>
      </c>
      <c r="H36" s="30"/>
      <c r="I36" s="30"/>
      <c r="J36" s="30"/>
      <c r="K36" s="30"/>
      <c r="L36" s="29"/>
      <c r="M36" s="30"/>
      <c r="N36" s="30"/>
      <c r="O36" s="30"/>
      <c r="P36" s="30"/>
      <c r="Q36" s="30"/>
      <c r="R36" s="30"/>
      <c r="S36" s="30"/>
      <c r="T36" s="30"/>
      <c r="U36" s="30"/>
      <c r="V36" s="31"/>
    </row>
    <row r="37" spans="1:22">
      <c r="A37" s="1" t="s">
        <v>58</v>
      </c>
      <c r="B37" s="29">
        <v>106275.23857406103</v>
      </c>
      <c r="C37" s="30">
        <v>4081.7517013108659</v>
      </c>
      <c r="D37" s="30">
        <v>27937.351432715444</v>
      </c>
      <c r="E37" s="30">
        <v>0</v>
      </c>
      <c r="F37" s="30">
        <v>0</v>
      </c>
      <c r="G37" s="31">
        <f>SUM(NM_FINANCIAL)</f>
        <v>138294.34170808733</v>
      </c>
      <c r="H37" s="30"/>
      <c r="I37" s="30"/>
      <c r="J37" s="30"/>
      <c r="K37" s="30"/>
      <c r="L37" s="29">
        <v>59780</v>
      </c>
      <c r="M37" s="30">
        <v>0</v>
      </c>
      <c r="N37" s="30"/>
      <c r="O37" s="30">
        <v>0</v>
      </c>
      <c r="P37" s="30">
        <v>0</v>
      </c>
      <c r="Q37" s="30"/>
      <c r="R37" s="30">
        <v>17765</v>
      </c>
      <c r="S37" s="30">
        <v>0</v>
      </c>
      <c r="T37" s="30"/>
      <c r="U37" s="30">
        <v>0</v>
      </c>
      <c r="V37" s="31">
        <v>0</v>
      </c>
    </row>
    <row r="38" spans="1:22">
      <c r="A38" s="1" t="s">
        <v>59</v>
      </c>
      <c r="B38" s="29">
        <v>0</v>
      </c>
      <c r="C38" s="30">
        <v>0</v>
      </c>
      <c r="D38" s="30">
        <v>0</v>
      </c>
      <c r="E38" s="30">
        <v>0</v>
      </c>
      <c r="F38" s="30">
        <v>0</v>
      </c>
      <c r="G38" s="31">
        <f>SUM(NY_FINANCIAL)</f>
        <v>0</v>
      </c>
      <c r="H38" s="30"/>
      <c r="I38" s="30"/>
      <c r="J38" s="30"/>
      <c r="K38" s="30"/>
      <c r="L38" s="29"/>
      <c r="M38" s="30"/>
      <c r="N38" s="30"/>
      <c r="O38" s="30"/>
      <c r="P38" s="30"/>
      <c r="Q38" s="30"/>
      <c r="R38" s="30"/>
      <c r="S38" s="30"/>
      <c r="T38" s="30"/>
      <c r="U38" s="30"/>
      <c r="V38" s="31"/>
    </row>
    <row r="39" spans="1:22">
      <c r="A39" s="1" t="s">
        <v>60</v>
      </c>
      <c r="B39" s="29">
        <v>4130515.5533057293</v>
      </c>
      <c r="C39" s="30">
        <v>38488.690278018403</v>
      </c>
      <c r="D39" s="30">
        <v>21425.561958010549</v>
      </c>
      <c r="E39" s="30">
        <v>0</v>
      </c>
      <c r="F39" s="30">
        <v>0</v>
      </c>
      <c r="G39" s="31">
        <f>SUM(NC_FINANCIAL)</f>
        <v>4190429.8055417584</v>
      </c>
      <c r="H39" s="30"/>
      <c r="I39" s="30"/>
      <c r="J39" s="30"/>
      <c r="K39" s="30"/>
      <c r="L39" s="29">
        <v>3600000</v>
      </c>
      <c r="M39" s="30">
        <v>123750</v>
      </c>
      <c r="N39" s="30"/>
      <c r="O39" s="30">
        <v>0</v>
      </c>
      <c r="P39" s="30">
        <v>0</v>
      </c>
      <c r="Q39" s="30"/>
      <c r="R39" s="30">
        <v>0</v>
      </c>
      <c r="S39" s="30">
        <v>0</v>
      </c>
      <c r="T39" s="30"/>
      <c r="U39" s="30">
        <v>0</v>
      </c>
      <c r="V39" s="31">
        <v>0</v>
      </c>
    </row>
    <row r="40" spans="1:22">
      <c r="A40" s="1" t="s">
        <v>61</v>
      </c>
      <c r="B40" s="29">
        <v>0</v>
      </c>
      <c r="C40" s="30">
        <v>0</v>
      </c>
      <c r="D40" s="30">
        <v>0</v>
      </c>
      <c r="E40" s="30">
        <v>0</v>
      </c>
      <c r="F40" s="30">
        <v>0</v>
      </c>
      <c r="G40" s="31">
        <f>SUM(ND_FINANCIAL)</f>
        <v>0</v>
      </c>
      <c r="H40" s="30"/>
      <c r="I40" s="30"/>
      <c r="J40" s="30"/>
      <c r="K40" s="30"/>
      <c r="L40" s="29"/>
      <c r="M40" s="30"/>
      <c r="N40" s="30"/>
      <c r="O40" s="30"/>
      <c r="P40" s="30"/>
      <c r="Q40" s="30"/>
      <c r="R40" s="30"/>
      <c r="S40" s="30"/>
      <c r="T40" s="30"/>
      <c r="U40" s="30"/>
      <c r="V40" s="31"/>
    </row>
    <row r="41" spans="1:22">
      <c r="A41" s="1" t="s">
        <v>62</v>
      </c>
      <c r="B41" s="29">
        <v>25786.886396456423</v>
      </c>
      <c r="C41" s="30">
        <v>0</v>
      </c>
      <c r="D41" s="30">
        <v>9800.6584730318864</v>
      </c>
      <c r="E41" s="30">
        <v>0</v>
      </c>
      <c r="F41" s="30">
        <v>0</v>
      </c>
      <c r="G41" s="31">
        <f>SUM(OH_FINANCIAL)</f>
        <v>35587.544869488309</v>
      </c>
      <c r="H41" s="30"/>
      <c r="I41" s="30"/>
      <c r="J41" s="30"/>
      <c r="K41" s="30"/>
      <c r="L41" s="29"/>
      <c r="M41" s="30"/>
      <c r="N41" s="30"/>
      <c r="O41" s="30"/>
      <c r="P41" s="30"/>
      <c r="Q41" s="30"/>
      <c r="R41" s="30"/>
      <c r="S41" s="30"/>
      <c r="T41" s="30"/>
      <c r="U41" s="30"/>
      <c r="V41" s="31"/>
    </row>
    <row r="42" spans="1:22">
      <c r="A42" s="1" t="s">
        <v>63</v>
      </c>
      <c r="B42" s="29">
        <v>974268.65679653361</v>
      </c>
      <c r="C42" s="30">
        <v>29889.248689344546</v>
      </c>
      <c r="D42" s="30">
        <v>45072.266789603309</v>
      </c>
      <c r="E42" s="30">
        <v>0</v>
      </c>
      <c r="F42" s="30">
        <v>0</v>
      </c>
      <c r="G42" s="31">
        <f>SUM(OK_FINANCIAL)</f>
        <v>1049230.1722754815</v>
      </c>
      <c r="H42" s="30"/>
      <c r="I42" s="30"/>
      <c r="J42" s="30"/>
      <c r="K42" s="30"/>
      <c r="L42" s="29">
        <v>0</v>
      </c>
      <c r="M42" s="30">
        <v>5272500</v>
      </c>
      <c r="N42" s="30"/>
      <c r="O42" s="30">
        <v>0</v>
      </c>
      <c r="P42" s="30">
        <v>111000</v>
      </c>
      <c r="Q42" s="30"/>
      <c r="R42" s="30">
        <v>0</v>
      </c>
      <c r="S42" s="30">
        <v>166500</v>
      </c>
      <c r="T42" s="30"/>
      <c r="U42" s="30">
        <v>0</v>
      </c>
      <c r="V42" s="31">
        <v>0</v>
      </c>
    </row>
    <row r="43" spans="1:22">
      <c r="A43" s="1" t="s">
        <v>64</v>
      </c>
      <c r="B43" s="29">
        <v>34852.306127544682</v>
      </c>
      <c r="C43" s="30">
        <v>0</v>
      </c>
      <c r="D43" s="30">
        <v>2366.1340073322026</v>
      </c>
      <c r="E43" s="30">
        <v>0</v>
      </c>
      <c r="F43" s="30">
        <v>0</v>
      </c>
      <c r="G43" s="31">
        <f>SUM(OR_FINANCIAL)</f>
        <v>37218.440134876888</v>
      </c>
      <c r="H43" s="30"/>
      <c r="I43" s="30"/>
      <c r="J43" s="30"/>
      <c r="K43" s="30"/>
      <c r="L43" s="29"/>
      <c r="M43" s="30"/>
      <c r="N43" s="30"/>
      <c r="O43" s="30"/>
      <c r="P43" s="30"/>
      <c r="Q43" s="30"/>
      <c r="R43" s="30"/>
      <c r="S43" s="30"/>
      <c r="T43" s="30"/>
      <c r="U43" s="30"/>
      <c r="V43" s="31"/>
    </row>
    <row r="44" spans="1:22">
      <c r="A44" s="1" t="s">
        <v>65</v>
      </c>
      <c r="B44" s="29">
        <v>0</v>
      </c>
      <c r="C44" s="30">
        <v>0</v>
      </c>
      <c r="D44" s="30">
        <v>0</v>
      </c>
      <c r="E44" s="30">
        <v>0</v>
      </c>
      <c r="F44" s="30">
        <v>0</v>
      </c>
      <c r="G44" s="31">
        <f>SUM(PA_FINANCIAL)</f>
        <v>0</v>
      </c>
      <c r="H44" s="30"/>
      <c r="I44" s="30"/>
      <c r="J44" s="30"/>
      <c r="K44" s="30"/>
      <c r="L44" s="29"/>
      <c r="M44" s="30"/>
      <c r="N44" s="30"/>
      <c r="O44" s="30"/>
      <c r="P44" s="30"/>
      <c r="Q44" s="30"/>
      <c r="R44" s="30"/>
      <c r="S44" s="30"/>
      <c r="T44" s="30"/>
      <c r="U44" s="30"/>
      <c r="V44" s="31"/>
    </row>
    <row r="45" spans="1:22">
      <c r="A45" s="1" t="s">
        <v>66</v>
      </c>
      <c r="B45" s="29">
        <v>0</v>
      </c>
      <c r="C45" s="30">
        <v>0</v>
      </c>
      <c r="D45" s="30">
        <v>0</v>
      </c>
      <c r="E45" s="30">
        <v>0</v>
      </c>
      <c r="F45" s="30">
        <v>0</v>
      </c>
      <c r="G45" s="31">
        <f>SUM(PR_FINANCIAL)</f>
        <v>0</v>
      </c>
      <c r="H45" s="30"/>
      <c r="I45" s="30"/>
      <c r="J45" s="30"/>
      <c r="K45" s="30"/>
      <c r="L45" s="29"/>
      <c r="M45" s="30"/>
      <c r="N45" s="30"/>
      <c r="O45" s="30"/>
      <c r="P45" s="30"/>
      <c r="Q45" s="30"/>
      <c r="R45" s="30"/>
      <c r="S45" s="30"/>
      <c r="T45" s="30"/>
      <c r="U45" s="30"/>
      <c r="V45" s="31"/>
    </row>
    <row r="46" spans="1:22">
      <c r="A46" s="1" t="s">
        <v>67</v>
      </c>
      <c r="B46" s="29">
        <v>0</v>
      </c>
      <c r="C46" s="30">
        <v>0</v>
      </c>
      <c r="D46" s="30">
        <v>0</v>
      </c>
      <c r="E46" s="30">
        <v>0</v>
      </c>
      <c r="F46" s="30">
        <v>0</v>
      </c>
      <c r="G46" s="31">
        <f>SUM(RI_FINANCIAL)</f>
        <v>0</v>
      </c>
      <c r="H46" s="30"/>
      <c r="I46" s="30"/>
      <c r="J46" s="30"/>
      <c r="K46" s="30"/>
      <c r="L46" s="29"/>
      <c r="M46" s="30"/>
      <c r="N46" s="30"/>
      <c r="O46" s="30"/>
      <c r="P46" s="30"/>
      <c r="Q46" s="30"/>
      <c r="R46" s="30"/>
      <c r="S46" s="30"/>
      <c r="T46" s="30"/>
      <c r="U46" s="30"/>
      <c r="V46" s="31"/>
    </row>
    <row r="47" spans="1:22">
      <c r="A47" s="1" t="s">
        <v>68</v>
      </c>
      <c r="B47" s="29">
        <v>250783.13392911945</v>
      </c>
      <c r="C47" s="30">
        <v>0</v>
      </c>
      <c r="D47" s="30">
        <v>18889.429843882401</v>
      </c>
      <c r="E47" s="30">
        <v>0</v>
      </c>
      <c r="F47" s="30">
        <v>0</v>
      </c>
      <c r="G47" s="31">
        <f>SUM(SC_FINANCIAL)</f>
        <v>269672.56377300184</v>
      </c>
      <c r="H47" s="30"/>
      <c r="I47" s="30"/>
      <c r="J47" s="30"/>
      <c r="K47" s="30"/>
      <c r="L47" s="29"/>
      <c r="M47" s="30"/>
      <c r="N47" s="30"/>
      <c r="O47" s="30"/>
      <c r="P47" s="30"/>
      <c r="Q47" s="30"/>
      <c r="R47" s="30"/>
      <c r="S47" s="30"/>
      <c r="T47" s="30"/>
      <c r="U47" s="30"/>
      <c r="V47" s="31"/>
    </row>
    <row r="48" spans="1:22">
      <c r="A48" s="1" t="s">
        <v>69</v>
      </c>
      <c r="B48" s="29">
        <v>0</v>
      </c>
      <c r="C48" s="30">
        <v>0</v>
      </c>
      <c r="D48" s="30">
        <v>0</v>
      </c>
      <c r="E48" s="30">
        <v>0</v>
      </c>
      <c r="F48" s="30">
        <v>0</v>
      </c>
      <c r="G48" s="31">
        <f>SUM(SD_FINANCIAL)</f>
        <v>0</v>
      </c>
      <c r="H48" s="30"/>
      <c r="I48" s="30"/>
      <c r="J48" s="30"/>
      <c r="K48" s="30"/>
      <c r="L48" s="29"/>
      <c r="M48" s="30"/>
      <c r="N48" s="30"/>
      <c r="O48" s="30"/>
      <c r="P48" s="30"/>
      <c r="Q48" s="30"/>
      <c r="R48" s="30"/>
      <c r="S48" s="30"/>
      <c r="T48" s="30"/>
      <c r="U48" s="30"/>
      <c r="V48" s="31"/>
    </row>
    <row r="49" spans="1:22">
      <c r="A49" s="1" t="s">
        <v>70</v>
      </c>
      <c r="B49" s="29">
        <v>0</v>
      </c>
      <c r="C49" s="30">
        <v>0</v>
      </c>
      <c r="D49" s="30">
        <v>0</v>
      </c>
      <c r="E49" s="30">
        <v>0</v>
      </c>
      <c r="F49" s="30">
        <v>0</v>
      </c>
      <c r="G49" s="31">
        <f>SUM(TN_FINANCIAL)</f>
        <v>0</v>
      </c>
      <c r="H49" s="30"/>
      <c r="I49" s="30"/>
      <c r="J49" s="30"/>
      <c r="K49" s="30"/>
      <c r="L49" s="29"/>
      <c r="M49" s="30"/>
      <c r="N49" s="30"/>
      <c r="O49" s="30"/>
      <c r="P49" s="30"/>
      <c r="Q49" s="30"/>
      <c r="R49" s="30"/>
      <c r="S49" s="30"/>
      <c r="T49" s="30"/>
      <c r="U49" s="30"/>
      <c r="V49" s="31"/>
    </row>
    <row r="50" spans="1:22">
      <c r="A50" s="1" t="s">
        <v>71</v>
      </c>
      <c r="B50" s="29">
        <v>177511.62838851602</v>
      </c>
      <c r="C50" s="30">
        <v>53085.234310386353</v>
      </c>
      <c r="D50" s="30">
        <v>188277.47307577572</v>
      </c>
      <c r="E50" s="30">
        <v>0</v>
      </c>
      <c r="F50" s="30">
        <v>0</v>
      </c>
      <c r="G50" s="31">
        <f>SUM(TX_FINANCIAL)</f>
        <v>418874.3357746781</v>
      </c>
      <c r="H50" s="30"/>
      <c r="I50" s="30"/>
      <c r="J50" s="30"/>
      <c r="K50" s="30"/>
      <c r="L50" s="29">
        <v>195526</v>
      </c>
      <c r="M50" s="30">
        <v>77092.183000000005</v>
      </c>
      <c r="N50" s="30"/>
      <c r="O50" s="30">
        <v>0</v>
      </c>
      <c r="P50" s="30">
        <v>0</v>
      </c>
      <c r="Q50" s="30"/>
      <c r="R50" s="30">
        <v>1247265</v>
      </c>
      <c r="S50" s="30">
        <v>491853.81700000004</v>
      </c>
      <c r="T50" s="30"/>
      <c r="U50" s="30">
        <v>0</v>
      </c>
      <c r="V50" s="31">
        <v>0</v>
      </c>
    </row>
    <row r="51" spans="1:22">
      <c r="A51" s="1" t="s">
        <v>72</v>
      </c>
      <c r="B51" s="29">
        <v>28724.150225014055</v>
      </c>
      <c r="C51" s="30">
        <v>986.07785001729303</v>
      </c>
      <c r="D51" s="30">
        <v>928.65669411369163</v>
      </c>
      <c r="E51" s="30">
        <v>0</v>
      </c>
      <c r="F51" s="30">
        <v>0</v>
      </c>
      <c r="G51" s="31">
        <f>SUM(UT_FINANCIAL)</f>
        <v>30638.884769145039</v>
      </c>
      <c r="H51" s="30"/>
      <c r="I51" s="30"/>
      <c r="J51" s="30"/>
      <c r="K51" s="30"/>
      <c r="L51" s="29">
        <v>105000</v>
      </c>
      <c r="M51" s="30">
        <v>0</v>
      </c>
      <c r="N51" s="30"/>
      <c r="O51" s="30">
        <v>0</v>
      </c>
      <c r="P51" s="30">
        <v>0</v>
      </c>
      <c r="Q51" s="30"/>
      <c r="R51" s="30">
        <v>0</v>
      </c>
      <c r="S51" s="30">
        <v>0</v>
      </c>
      <c r="T51" s="30"/>
      <c r="U51" s="30">
        <v>0</v>
      </c>
      <c r="V51" s="31">
        <v>0</v>
      </c>
    </row>
    <row r="52" spans="1:22">
      <c r="A52" s="1" t="s">
        <v>73</v>
      </c>
      <c r="B52" s="29">
        <v>0</v>
      </c>
      <c r="C52" s="30">
        <v>0</v>
      </c>
      <c r="D52" s="30">
        <v>0</v>
      </c>
      <c r="E52" s="30">
        <v>0</v>
      </c>
      <c r="F52" s="30">
        <v>0</v>
      </c>
      <c r="G52" s="31">
        <f>SUM(VT_FINANCIAL)</f>
        <v>0</v>
      </c>
      <c r="H52" s="30"/>
      <c r="I52" s="30"/>
      <c r="J52" s="30"/>
      <c r="K52" s="30"/>
      <c r="L52" s="29"/>
      <c r="M52" s="30"/>
      <c r="N52" s="30"/>
      <c r="O52" s="30"/>
      <c r="P52" s="30"/>
      <c r="Q52" s="30"/>
      <c r="R52" s="30"/>
      <c r="S52" s="30"/>
      <c r="T52" s="30"/>
      <c r="U52" s="30"/>
      <c r="V52" s="31"/>
    </row>
    <row r="53" spans="1:22">
      <c r="A53" s="1" t="s">
        <v>74</v>
      </c>
      <c r="B53" s="29">
        <v>0</v>
      </c>
      <c r="C53" s="30">
        <v>0</v>
      </c>
      <c r="D53" s="30">
        <v>0</v>
      </c>
      <c r="E53" s="30">
        <v>0</v>
      </c>
      <c r="F53" s="30">
        <v>0</v>
      </c>
      <c r="G53" s="31">
        <f>SUM(VA_FINANCIAL)</f>
        <v>0</v>
      </c>
      <c r="H53" s="30"/>
      <c r="I53" s="30"/>
      <c r="J53" s="30"/>
      <c r="K53" s="30"/>
      <c r="L53" s="29"/>
      <c r="M53" s="30"/>
      <c r="N53" s="30"/>
      <c r="O53" s="30"/>
      <c r="P53" s="30"/>
      <c r="Q53" s="30"/>
      <c r="R53" s="30"/>
      <c r="S53" s="30"/>
      <c r="T53" s="30"/>
      <c r="U53" s="30"/>
      <c r="V53" s="31"/>
    </row>
    <row r="54" spans="1:22">
      <c r="A54" s="1" t="s">
        <v>75</v>
      </c>
      <c r="B54" s="29">
        <v>21648.477135741443</v>
      </c>
      <c r="C54" s="30">
        <v>3974.7281176356046</v>
      </c>
      <c r="D54" s="30">
        <v>4538.880293629034</v>
      </c>
      <c r="E54" s="30">
        <v>0</v>
      </c>
      <c r="F54" s="30">
        <v>0</v>
      </c>
      <c r="G54" s="31">
        <f>SUM(WA_FINANCIAL)</f>
        <v>30162.085547006081</v>
      </c>
      <c r="H54" s="30"/>
      <c r="I54" s="30"/>
      <c r="J54" s="30"/>
      <c r="K54" s="30"/>
      <c r="L54" s="29">
        <v>50139</v>
      </c>
      <c r="M54" s="30">
        <v>0</v>
      </c>
      <c r="N54" s="30"/>
      <c r="O54" s="30">
        <v>10343</v>
      </c>
      <c r="P54" s="30">
        <v>0</v>
      </c>
      <c r="Q54" s="30"/>
      <c r="R54" s="30">
        <v>11516</v>
      </c>
      <c r="S54" s="30">
        <v>0</v>
      </c>
      <c r="T54" s="30"/>
      <c r="U54" s="30">
        <v>0</v>
      </c>
      <c r="V54" s="31">
        <v>0</v>
      </c>
    </row>
    <row r="55" spans="1:22">
      <c r="A55" s="1" t="s">
        <v>76</v>
      </c>
      <c r="B55" s="29">
        <v>0</v>
      </c>
      <c r="C55" s="30">
        <v>0</v>
      </c>
      <c r="D55" s="30">
        <v>0</v>
      </c>
      <c r="E55" s="30">
        <v>0</v>
      </c>
      <c r="F55" s="30">
        <v>0</v>
      </c>
      <c r="G55" s="31">
        <f>SUM(WV_FINANCIAL)</f>
        <v>0</v>
      </c>
      <c r="H55" s="30"/>
      <c r="I55" s="30"/>
      <c r="J55" s="30"/>
      <c r="K55" s="30"/>
      <c r="L55" s="29"/>
      <c r="M55" s="30"/>
      <c r="N55" s="30"/>
      <c r="O55" s="30"/>
      <c r="P55" s="30"/>
      <c r="Q55" s="30"/>
      <c r="R55" s="30"/>
      <c r="S55" s="30"/>
      <c r="T55" s="30"/>
      <c r="U55" s="30"/>
      <c r="V55" s="31"/>
    </row>
    <row r="56" spans="1:22">
      <c r="A56" s="1" t="s">
        <v>77</v>
      </c>
      <c r="B56" s="29">
        <v>0</v>
      </c>
      <c r="C56" s="30">
        <v>0</v>
      </c>
      <c r="D56" s="30">
        <v>0</v>
      </c>
      <c r="E56" s="30">
        <v>0</v>
      </c>
      <c r="F56" s="30">
        <v>0</v>
      </c>
      <c r="G56" s="31">
        <f>SUM(WI_FINANCIAL)</f>
        <v>0</v>
      </c>
      <c r="H56" s="30"/>
      <c r="I56" s="30"/>
      <c r="J56" s="30"/>
      <c r="K56" s="30"/>
      <c r="L56" s="29"/>
      <c r="M56" s="30"/>
      <c r="N56" s="30"/>
      <c r="O56" s="30"/>
      <c r="P56" s="30"/>
      <c r="Q56" s="30"/>
      <c r="R56" s="30"/>
      <c r="S56" s="30"/>
      <c r="T56" s="30"/>
      <c r="U56" s="30"/>
      <c r="V56" s="31"/>
    </row>
    <row r="57" spans="1:22">
      <c r="A57" s="1" t="s">
        <v>78</v>
      </c>
      <c r="B57" s="29">
        <v>-1005.0718832933489</v>
      </c>
      <c r="C57" s="30">
        <v>-4.8495627661922924</v>
      </c>
      <c r="D57" s="30">
        <v>-14.481333260157555</v>
      </c>
      <c r="E57" s="30">
        <v>0</v>
      </c>
      <c r="F57" s="30">
        <v>0</v>
      </c>
      <c r="G57" s="31">
        <f>SUM(WY_FINANCIAL)</f>
        <v>-1024.4027793196988</v>
      </c>
      <c r="H57" s="30"/>
      <c r="I57" s="30"/>
      <c r="J57" s="30"/>
      <c r="K57" s="30"/>
      <c r="L57" s="29">
        <v>30000</v>
      </c>
      <c r="M57" s="30">
        <v>0</v>
      </c>
      <c r="N57" s="30"/>
      <c r="O57" s="30">
        <v>0</v>
      </c>
      <c r="P57" s="30">
        <v>0</v>
      </c>
      <c r="Q57" s="30"/>
      <c r="R57" s="30">
        <v>0</v>
      </c>
      <c r="S57" s="30">
        <v>0</v>
      </c>
      <c r="T57" s="30"/>
      <c r="U57" s="30">
        <v>0</v>
      </c>
      <c r="V57" s="31">
        <v>0</v>
      </c>
    </row>
    <row r="58" spans="1:22">
      <c r="A58" s="1" t="s">
        <v>79</v>
      </c>
      <c r="B58" s="29">
        <v>0</v>
      </c>
      <c r="C58" s="30">
        <v>0</v>
      </c>
      <c r="D58" s="30">
        <v>0</v>
      </c>
      <c r="E58" s="30">
        <v>0</v>
      </c>
      <c r="F58" s="30">
        <v>0</v>
      </c>
      <c r="G58" s="31">
        <f>SUM(OT_FINANCIAL)</f>
        <v>0</v>
      </c>
      <c r="H58" s="30"/>
      <c r="I58" s="30"/>
      <c r="J58" s="30"/>
      <c r="K58" s="30"/>
      <c r="L58" s="29"/>
      <c r="M58" s="30"/>
      <c r="N58" s="30"/>
      <c r="O58" s="30"/>
      <c r="P58" s="30"/>
      <c r="Q58" s="30"/>
      <c r="R58" s="30"/>
      <c r="S58" s="30"/>
      <c r="T58" s="30"/>
      <c r="U58" s="30"/>
      <c r="V58" s="31"/>
    </row>
    <row r="59" spans="1:22">
      <c r="B59" s="29"/>
      <c r="C59" s="30"/>
      <c r="D59" s="30"/>
      <c r="E59" s="30"/>
      <c r="F59" s="30"/>
      <c r="G59" s="31"/>
      <c r="H59" s="30"/>
      <c r="I59" s="30"/>
      <c r="J59" s="30"/>
      <c r="K59" s="30"/>
      <c r="L59" s="29"/>
      <c r="M59" s="30"/>
      <c r="N59" s="30"/>
      <c r="O59" s="30"/>
      <c r="P59" s="30"/>
      <c r="Q59" s="30"/>
      <c r="R59" s="30"/>
      <c r="S59" s="30"/>
      <c r="T59" s="30"/>
      <c r="U59" s="30"/>
      <c r="V59" s="31"/>
    </row>
    <row r="60" spans="1:22">
      <c r="A60" s="1" t="s">
        <v>8</v>
      </c>
      <c r="B60" s="29">
        <f>SUM(LIFE)</f>
        <v>7621588.1753547508</v>
      </c>
      <c r="C60" s="30">
        <f>SUM(ALLOCATED)</f>
        <v>432420.10685980052</v>
      </c>
      <c r="D60" s="30">
        <f>SUM(HEALTH)</f>
        <v>422747.11778544862</v>
      </c>
      <c r="E60" s="30">
        <f>SUM(UNALLOCATED)</f>
        <v>0</v>
      </c>
      <c r="F60" s="30">
        <f>SUM(LTC)</f>
        <v>0</v>
      </c>
      <c r="G60" s="31">
        <f>SUM(ALL_BLOCKS)</f>
        <v>8476755.4000000004</v>
      </c>
      <c r="H60" s="30"/>
      <c r="I60" s="30"/>
      <c r="J60" s="30"/>
      <c r="K60" s="30"/>
      <c r="L60" s="29">
        <f>SUM(LIFE_CALLED)</f>
        <v>6139072</v>
      </c>
      <c r="M60" s="30">
        <f>SUM(LIFE_REFUNDED)</f>
        <v>5473823.1830000002</v>
      </c>
      <c r="N60" s="30"/>
      <c r="O60" s="30">
        <f>SUM(ALLOC_CALLED)</f>
        <v>10343</v>
      </c>
      <c r="P60" s="30">
        <f>SUM(ALLOC_REFUNDED)</f>
        <v>111000</v>
      </c>
      <c r="Q60" s="30"/>
      <c r="R60" s="30">
        <f>SUM(HEALTH_CALLED)</f>
        <v>1280461</v>
      </c>
      <c r="S60" s="30">
        <f>SUM(HEALTH_REFUNDED)</f>
        <v>660184.81700000004</v>
      </c>
      <c r="T60" s="30"/>
      <c r="U60" s="30">
        <f>SUM(UNALLOC_CALLED)</f>
        <v>0</v>
      </c>
      <c r="V60" s="31">
        <f>SUM(UNALLOC_REFUNDED)</f>
        <v>0</v>
      </c>
    </row>
    <row r="61" spans="1:22" ht="5.0999999999999996" customHeight="1">
      <c r="B61" s="8"/>
      <c r="G61" s="11"/>
      <c r="L61" s="8"/>
      <c r="V61" s="11"/>
    </row>
    <row r="62" spans="1:22">
      <c r="B62" s="8"/>
      <c r="G62" s="11"/>
      <c r="L62" s="122" t="s">
        <v>80</v>
      </c>
      <c r="M62" s="123"/>
      <c r="N62" s="123"/>
      <c r="O62" s="123"/>
      <c r="P62" s="123"/>
      <c r="Q62" s="123"/>
      <c r="R62" s="123"/>
      <c r="S62" s="123"/>
      <c r="T62" s="123"/>
      <c r="U62" s="123"/>
      <c r="V62" s="124"/>
    </row>
    <row r="63" spans="1:22">
      <c r="B63" s="8"/>
      <c r="G63" s="11"/>
      <c r="L63" s="125"/>
      <c r="M63" s="123"/>
      <c r="N63" s="123"/>
      <c r="O63" s="123"/>
      <c r="P63" s="123"/>
      <c r="Q63" s="123"/>
      <c r="R63" s="123"/>
      <c r="S63" s="123"/>
      <c r="T63" s="123"/>
      <c r="U63" s="123"/>
      <c r="V63" s="124"/>
    </row>
    <row r="64" spans="1:22">
      <c r="B64" s="10"/>
      <c r="C64" s="7"/>
      <c r="D64" s="7"/>
      <c r="E64" s="7"/>
      <c r="F64" s="7"/>
      <c r="G64" s="13"/>
      <c r="L64" s="126"/>
      <c r="M64" s="127"/>
      <c r="N64" s="127"/>
      <c r="O64" s="127"/>
      <c r="P64" s="127"/>
      <c r="Q64" s="127"/>
      <c r="R64" s="127"/>
      <c r="S64" s="127"/>
      <c r="T64" s="127"/>
      <c r="U64" s="127"/>
      <c r="V64" s="128"/>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pageSetUpPr fitToPage="1"/>
  </sheetPr>
  <dimension ref="A1:V64"/>
  <sheetViews>
    <sheetView zoomScale="75" workbookViewId="0">
      <selection sqref="A1:XFD1048576"/>
    </sheetView>
  </sheetViews>
  <sheetFormatPr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129" t="s">
        <v>159</v>
      </c>
      <c r="B1" s="123"/>
      <c r="C1" s="123"/>
      <c r="D1" s="123"/>
      <c r="E1" s="123"/>
      <c r="F1" s="123"/>
      <c r="G1" s="123"/>
    </row>
    <row r="3" spans="1:22">
      <c r="B3" s="130" t="s">
        <v>1</v>
      </c>
      <c r="C3" s="131"/>
      <c r="D3" s="131"/>
      <c r="E3" s="131"/>
      <c r="F3" s="131"/>
      <c r="G3" s="132"/>
      <c r="L3" s="133" t="s">
        <v>2</v>
      </c>
      <c r="M3" s="134"/>
      <c r="N3" s="134"/>
      <c r="O3" s="134"/>
      <c r="P3" s="134"/>
      <c r="Q3" s="134"/>
      <c r="R3" s="134"/>
      <c r="S3" s="134"/>
      <c r="T3" s="134"/>
      <c r="U3" s="134"/>
      <c r="V3" s="135"/>
    </row>
    <row r="4" spans="1:22">
      <c r="B4" s="8"/>
      <c r="G4" s="11"/>
      <c r="L4" s="136" t="s">
        <v>3</v>
      </c>
      <c r="M4" s="137"/>
      <c r="N4" s="4"/>
      <c r="O4" s="138" t="s">
        <v>4</v>
      </c>
      <c r="P4" s="137"/>
      <c r="Q4" s="4"/>
      <c r="R4" s="138" t="s">
        <v>5</v>
      </c>
      <c r="S4" s="137"/>
      <c r="T4" s="4"/>
      <c r="U4" s="138" t="s">
        <v>6</v>
      </c>
      <c r="V4" s="139"/>
    </row>
    <row r="5" spans="1:22" ht="60" customHeight="1">
      <c r="B5" s="9" t="s">
        <v>3</v>
      </c>
      <c r="C5" s="5" t="s">
        <v>4</v>
      </c>
      <c r="D5" s="5" t="s">
        <v>5</v>
      </c>
      <c r="E5" s="5" t="s">
        <v>6</v>
      </c>
      <c r="F5" s="5" t="s">
        <v>7</v>
      </c>
      <c r="G5" s="12" t="s">
        <v>8</v>
      </c>
      <c r="L5" s="15" t="s">
        <v>9</v>
      </c>
      <c r="M5" s="14" t="s">
        <v>10</v>
      </c>
      <c r="N5" s="14"/>
      <c r="O5" s="14" t="s">
        <v>9</v>
      </c>
      <c r="P5" s="14" t="s">
        <v>10</v>
      </c>
      <c r="Q5" s="14"/>
      <c r="R5" s="14" t="s">
        <v>9</v>
      </c>
      <c r="S5" s="14" t="s">
        <v>10</v>
      </c>
      <c r="T5" s="14"/>
      <c r="U5" s="14" t="s">
        <v>9</v>
      </c>
      <c r="V5" s="16" t="s">
        <v>10</v>
      </c>
    </row>
    <row r="6" spans="1:22">
      <c r="A6" s="1" t="s">
        <v>11</v>
      </c>
      <c r="B6" s="29">
        <v>0</v>
      </c>
      <c r="C6" s="30">
        <v>40414.998633997246</v>
      </c>
      <c r="D6" s="30">
        <v>0</v>
      </c>
      <c r="E6" s="30">
        <v>0</v>
      </c>
      <c r="F6" s="30">
        <v>0</v>
      </c>
      <c r="G6" s="31">
        <f>SUM(AL_FINANCIAL)</f>
        <v>40414.998633997246</v>
      </c>
      <c r="H6" s="30"/>
      <c r="I6" s="30"/>
      <c r="J6" s="30"/>
      <c r="K6" s="30"/>
      <c r="L6" s="29"/>
      <c r="M6" s="30"/>
      <c r="N6" s="30"/>
      <c r="O6" s="30"/>
      <c r="P6" s="30"/>
      <c r="Q6" s="30"/>
      <c r="R6" s="30"/>
      <c r="S6" s="30"/>
      <c r="T6" s="30"/>
      <c r="U6" s="30"/>
      <c r="V6" s="31"/>
    </row>
    <row r="7" spans="1:22">
      <c r="A7" s="1" t="s">
        <v>12</v>
      </c>
      <c r="B7" s="29">
        <v>0</v>
      </c>
      <c r="C7" s="30">
        <v>98.999996653859398</v>
      </c>
      <c r="D7" s="30">
        <v>0</v>
      </c>
      <c r="E7" s="30">
        <v>0</v>
      </c>
      <c r="F7" s="30">
        <v>0</v>
      </c>
      <c r="G7" s="31">
        <f>SUM(AK_FINANCIAL)</f>
        <v>98.999996653859398</v>
      </c>
      <c r="H7" s="30"/>
      <c r="I7" s="32"/>
      <c r="J7" s="33"/>
      <c r="K7" s="30"/>
      <c r="L7" s="29"/>
      <c r="M7" s="30"/>
      <c r="N7" s="30"/>
      <c r="O7" s="30"/>
      <c r="P7" s="30"/>
      <c r="Q7" s="30"/>
      <c r="R7" s="30"/>
      <c r="S7" s="30"/>
      <c r="T7" s="30"/>
      <c r="U7" s="30"/>
      <c r="V7" s="31"/>
    </row>
    <row r="8" spans="1:22">
      <c r="A8" s="1" t="s">
        <v>13</v>
      </c>
      <c r="B8" s="29">
        <v>0</v>
      </c>
      <c r="C8" s="30">
        <v>86870.99706381232</v>
      </c>
      <c r="D8" s="30">
        <v>0</v>
      </c>
      <c r="E8" s="30">
        <v>0</v>
      </c>
      <c r="F8" s="30">
        <v>0</v>
      </c>
      <c r="G8" s="31">
        <f>SUM(AZ_FINANCIAL)</f>
        <v>86870.99706381232</v>
      </c>
      <c r="H8" s="30"/>
      <c r="I8" s="34" t="s">
        <v>14</v>
      </c>
      <c r="J8" s="35"/>
      <c r="K8" s="30"/>
      <c r="L8" s="29"/>
      <c r="M8" s="30"/>
      <c r="N8" s="30"/>
      <c r="O8" s="30"/>
      <c r="P8" s="30"/>
      <c r="Q8" s="30"/>
      <c r="R8" s="30"/>
      <c r="S8" s="30"/>
      <c r="T8" s="30"/>
      <c r="U8" s="30"/>
      <c r="V8" s="31"/>
    </row>
    <row r="9" spans="1:22">
      <c r="A9" s="1" t="s">
        <v>15</v>
      </c>
      <c r="B9" s="29">
        <v>0</v>
      </c>
      <c r="C9" s="30">
        <v>7671.9997406910034</v>
      </c>
      <c r="D9" s="30">
        <v>0</v>
      </c>
      <c r="E9" s="30">
        <v>0</v>
      </c>
      <c r="F9" s="30">
        <v>0</v>
      </c>
      <c r="G9" s="31">
        <f>SUM(AR_FINANCIAL)</f>
        <v>7671.9997406910034</v>
      </c>
      <c r="H9" s="30"/>
      <c r="I9" s="34"/>
      <c r="J9" s="35"/>
      <c r="K9" s="30"/>
      <c r="L9" s="29"/>
      <c r="M9" s="30"/>
      <c r="N9" s="30"/>
      <c r="O9" s="30"/>
      <c r="P9" s="30"/>
      <c r="Q9" s="30"/>
      <c r="R9" s="30"/>
      <c r="S9" s="30"/>
      <c r="T9" s="30"/>
      <c r="U9" s="30"/>
      <c r="V9" s="31"/>
    </row>
    <row r="10" spans="1:22">
      <c r="A10" s="1" t="s">
        <v>16</v>
      </c>
      <c r="B10" s="29">
        <v>0</v>
      </c>
      <c r="C10" s="30">
        <v>526264.98221255874</v>
      </c>
      <c r="D10" s="30">
        <v>0</v>
      </c>
      <c r="E10" s="30">
        <v>0</v>
      </c>
      <c r="F10" s="30">
        <v>0</v>
      </c>
      <c r="G10" s="31">
        <f>SUM(CA_FINANCIAL)</f>
        <v>526264.98221255874</v>
      </c>
      <c r="H10" s="30"/>
      <c r="I10" s="34" t="s">
        <v>17</v>
      </c>
      <c r="J10" s="35">
        <v>1173666777</v>
      </c>
      <c r="K10" s="30"/>
      <c r="L10" s="29"/>
      <c r="M10" s="30"/>
      <c r="N10" s="30"/>
      <c r="O10" s="30"/>
      <c r="P10" s="30"/>
      <c r="Q10" s="30"/>
      <c r="R10" s="30"/>
      <c r="S10" s="30"/>
      <c r="T10" s="30"/>
      <c r="U10" s="30"/>
      <c r="V10" s="31"/>
    </row>
    <row r="11" spans="1:22">
      <c r="A11" s="1" t="s">
        <v>18</v>
      </c>
      <c r="B11" s="29">
        <v>0</v>
      </c>
      <c r="C11" s="30">
        <v>18491.999374981493</v>
      </c>
      <c r="D11" s="30">
        <v>0</v>
      </c>
      <c r="E11" s="30">
        <v>0</v>
      </c>
      <c r="F11" s="30">
        <v>0</v>
      </c>
      <c r="G11" s="31">
        <f>SUM(CO_FINANCIAL)</f>
        <v>18491.999374981493</v>
      </c>
      <c r="H11" s="30"/>
      <c r="I11" s="34"/>
      <c r="J11" s="35"/>
      <c r="K11" s="30"/>
      <c r="L11" s="29">
        <v>0</v>
      </c>
      <c r="M11" s="30">
        <v>0</v>
      </c>
      <c r="N11" s="30"/>
      <c r="O11" s="30">
        <v>40000</v>
      </c>
      <c r="P11" s="30">
        <v>0</v>
      </c>
      <c r="Q11" s="30"/>
      <c r="R11" s="30">
        <v>0</v>
      </c>
      <c r="S11" s="30">
        <v>0</v>
      </c>
      <c r="T11" s="30"/>
      <c r="U11" s="30">
        <v>0</v>
      </c>
      <c r="V11" s="31">
        <v>0</v>
      </c>
    </row>
    <row r="12" spans="1:22">
      <c r="A12" s="1" t="s">
        <v>19</v>
      </c>
      <c r="B12" s="29">
        <v>0</v>
      </c>
      <c r="C12" s="30">
        <v>51466.998260446278</v>
      </c>
      <c r="D12" s="30">
        <v>0</v>
      </c>
      <c r="E12" s="30">
        <v>0</v>
      </c>
      <c r="F12" s="30">
        <v>0</v>
      </c>
      <c r="G12" s="31">
        <f>SUM(CT_FINANCIAL)</f>
        <v>51466.998260446278</v>
      </c>
      <c r="H12" s="30"/>
      <c r="I12" s="34" t="s">
        <v>20</v>
      </c>
      <c r="J12" s="35"/>
      <c r="K12" s="30"/>
      <c r="L12" s="29"/>
      <c r="M12" s="30"/>
      <c r="N12" s="30"/>
      <c r="O12" s="30"/>
      <c r="P12" s="30"/>
      <c r="Q12" s="30"/>
      <c r="R12" s="30"/>
      <c r="S12" s="30"/>
      <c r="T12" s="30"/>
      <c r="U12" s="30"/>
      <c r="V12" s="31"/>
    </row>
    <row r="13" spans="1:22">
      <c r="A13" s="1" t="s">
        <v>21</v>
      </c>
      <c r="B13" s="29">
        <v>0</v>
      </c>
      <c r="C13" s="30">
        <v>284.99999036717099</v>
      </c>
      <c r="D13" s="30">
        <v>0</v>
      </c>
      <c r="E13" s="30">
        <v>0</v>
      </c>
      <c r="F13" s="30">
        <v>0</v>
      </c>
      <c r="G13" s="31">
        <f>SUM(DE_FINANCIAL)</f>
        <v>284.99999036717099</v>
      </c>
      <c r="H13" s="30"/>
      <c r="I13" s="34" t="s">
        <v>22</v>
      </c>
      <c r="J13" s="35">
        <v>0</v>
      </c>
      <c r="K13" s="30"/>
      <c r="L13" s="29"/>
      <c r="M13" s="30"/>
      <c r="N13" s="30"/>
      <c r="O13" s="30"/>
      <c r="P13" s="30"/>
      <c r="Q13" s="30"/>
      <c r="R13" s="30"/>
      <c r="S13" s="30"/>
      <c r="T13" s="30"/>
      <c r="U13" s="30"/>
      <c r="V13" s="31"/>
    </row>
    <row r="14" spans="1:22">
      <c r="A14" s="1" t="s">
        <v>23</v>
      </c>
      <c r="B14" s="29">
        <v>0</v>
      </c>
      <c r="C14" s="30">
        <v>632.99997860497979</v>
      </c>
      <c r="D14" s="30">
        <v>0</v>
      </c>
      <c r="E14" s="30">
        <v>0</v>
      </c>
      <c r="F14" s="30">
        <v>0</v>
      </c>
      <c r="G14" s="31">
        <f>SUM(DC_FINANCIAL)</f>
        <v>632.99997860497979</v>
      </c>
      <c r="H14" s="30"/>
      <c r="I14" s="34" t="s">
        <v>24</v>
      </c>
      <c r="J14" s="35">
        <v>0</v>
      </c>
      <c r="K14" s="30"/>
      <c r="L14" s="29"/>
      <c r="M14" s="30"/>
      <c r="N14" s="30"/>
      <c r="O14" s="30"/>
      <c r="P14" s="30"/>
      <c r="Q14" s="30"/>
      <c r="R14" s="30"/>
      <c r="S14" s="30"/>
      <c r="T14" s="30"/>
      <c r="U14" s="30"/>
      <c r="V14" s="31"/>
    </row>
    <row r="15" spans="1:22">
      <c r="A15" s="1" t="s">
        <v>25</v>
      </c>
      <c r="B15" s="29">
        <v>0</v>
      </c>
      <c r="C15" s="30">
        <v>268084.99093888787</v>
      </c>
      <c r="D15" s="30">
        <v>0</v>
      </c>
      <c r="E15" s="30">
        <v>0</v>
      </c>
      <c r="F15" s="30">
        <v>0</v>
      </c>
      <c r="G15" s="31">
        <f>SUM(FL_FINANCIAL)</f>
        <v>268084.99093888787</v>
      </c>
      <c r="H15" s="30"/>
      <c r="I15" s="34" t="s">
        <v>26</v>
      </c>
      <c r="J15" s="35">
        <v>3028888.897625369</v>
      </c>
      <c r="K15" s="30"/>
      <c r="L15" s="29"/>
      <c r="M15" s="30"/>
      <c r="N15" s="30"/>
      <c r="O15" s="30"/>
      <c r="P15" s="30"/>
      <c r="Q15" s="30"/>
      <c r="R15" s="30"/>
      <c r="S15" s="30"/>
      <c r="T15" s="30"/>
      <c r="U15" s="30"/>
      <c r="V15" s="31"/>
    </row>
    <row r="16" spans="1:22">
      <c r="A16" s="1" t="s">
        <v>27</v>
      </c>
      <c r="B16" s="29">
        <v>0</v>
      </c>
      <c r="C16" s="30">
        <v>57841.998044975095</v>
      </c>
      <c r="D16" s="30">
        <v>0</v>
      </c>
      <c r="E16" s="30">
        <v>0</v>
      </c>
      <c r="F16" s="30">
        <v>0</v>
      </c>
      <c r="G16" s="31">
        <f>SUM(GA_FINANCIAL)</f>
        <v>57841.998044975095</v>
      </c>
      <c r="H16" s="30"/>
      <c r="I16" s="34" t="s">
        <v>28</v>
      </c>
      <c r="J16" s="35">
        <v>0</v>
      </c>
      <c r="K16" s="30"/>
      <c r="L16" s="29"/>
      <c r="M16" s="30"/>
      <c r="N16" s="30"/>
      <c r="O16" s="30"/>
      <c r="P16" s="30"/>
      <c r="Q16" s="30"/>
      <c r="R16" s="30"/>
      <c r="S16" s="30"/>
      <c r="T16" s="30"/>
      <c r="U16" s="30"/>
      <c r="V16" s="31"/>
    </row>
    <row r="17" spans="1:22">
      <c r="A17" s="1" t="s">
        <v>29</v>
      </c>
      <c r="B17" s="29">
        <v>0</v>
      </c>
      <c r="C17" s="30">
        <v>55843.998112506306</v>
      </c>
      <c r="D17" s="30">
        <v>0</v>
      </c>
      <c r="E17" s="30">
        <v>0</v>
      </c>
      <c r="F17" s="30">
        <v>0</v>
      </c>
      <c r="G17" s="31">
        <f>SUM(HI_FINANCIAL)</f>
        <v>55843.998112506306</v>
      </c>
      <c r="H17" s="30"/>
      <c r="I17" s="34"/>
      <c r="J17" s="35"/>
      <c r="K17" s="30"/>
      <c r="L17" s="29"/>
      <c r="M17" s="30"/>
      <c r="N17" s="30"/>
      <c r="O17" s="30"/>
      <c r="P17" s="30"/>
      <c r="Q17" s="30"/>
      <c r="R17" s="30"/>
      <c r="S17" s="30"/>
      <c r="T17" s="30"/>
      <c r="U17" s="30"/>
      <c r="V17" s="31"/>
    </row>
    <row r="18" spans="1:22">
      <c r="A18" s="1" t="s">
        <v>30</v>
      </c>
      <c r="B18" s="29">
        <v>0</v>
      </c>
      <c r="C18" s="30">
        <v>3823.9998707510945</v>
      </c>
      <c r="D18" s="30">
        <v>0</v>
      </c>
      <c r="E18" s="30">
        <v>0</v>
      </c>
      <c r="F18" s="30">
        <v>0</v>
      </c>
      <c r="G18" s="31">
        <f>SUM(ID_FINANCIAL)</f>
        <v>3823.9998707510945</v>
      </c>
      <c r="H18" s="30"/>
      <c r="I18" s="34" t="s">
        <v>31</v>
      </c>
      <c r="J18" s="35"/>
      <c r="K18" s="30"/>
      <c r="L18" s="29"/>
      <c r="M18" s="30"/>
      <c r="N18" s="30"/>
      <c r="O18" s="30"/>
      <c r="P18" s="30"/>
      <c r="Q18" s="30"/>
      <c r="R18" s="30"/>
      <c r="S18" s="30"/>
      <c r="T18" s="30"/>
      <c r="U18" s="30"/>
      <c r="V18" s="31"/>
    </row>
    <row r="19" spans="1:22">
      <c r="A19" s="1" t="s">
        <v>32</v>
      </c>
      <c r="B19" s="29">
        <v>0</v>
      </c>
      <c r="C19" s="30">
        <v>107684.9963603116</v>
      </c>
      <c r="D19" s="30">
        <v>0</v>
      </c>
      <c r="E19" s="30">
        <v>0</v>
      </c>
      <c r="F19" s="30">
        <v>0</v>
      </c>
      <c r="G19" s="31">
        <f>SUM(IL_FINANCIAL)</f>
        <v>107684.9963603116</v>
      </c>
      <c r="H19" s="30"/>
      <c r="I19" s="34" t="s">
        <v>33</v>
      </c>
      <c r="J19" s="35">
        <v>0</v>
      </c>
      <c r="K19" s="30"/>
      <c r="L19" s="29">
        <v>0</v>
      </c>
      <c r="M19" s="30">
        <v>0</v>
      </c>
      <c r="N19" s="30"/>
      <c r="O19" s="30">
        <v>120000</v>
      </c>
      <c r="P19" s="30">
        <v>0</v>
      </c>
      <c r="Q19" s="30"/>
      <c r="R19" s="30">
        <v>0</v>
      </c>
      <c r="S19" s="30">
        <v>0</v>
      </c>
      <c r="T19" s="30"/>
      <c r="U19" s="30">
        <v>0</v>
      </c>
      <c r="V19" s="31">
        <v>0</v>
      </c>
    </row>
    <row r="20" spans="1:22">
      <c r="A20" s="1" t="s">
        <v>34</v>
      </c>
      <c r="B20" s="29">
        <v>0</v>
      </c>
      <c r="C20" s="30">
        <v>274188.99073257629</v>
      </c>
      <c r="D20" s="30">
        <v>0</v>
      </c>
      <c r="E20" s="30">
        <v>0</v>
      </c>
      <c r="F20" s="30">
        <v>0</v>
      </c>
      <c r="G20" s="31">
        <f>SUM(IN_FINANCIAL)</f>
        <v>274188.99073257629</v>
      </c>
      <c r="H20" s="30"/>
      <c r="I20" s="34" t="s">
        <v>35</v>
      </c>
      <c r="J20" s="35">
        <v>1173666777</v>
      </c>
      <c r="K20" s="30"/>
      <c r="L20" s="29"/>
      <c r="M20" s="30"/>
      <c r="N20" s="30"/>
      <c r="O20" s="30"/>
      <c r="P20" s="30"/>
      <c r="Q20" s="30"/>
      <c r="R20" s="30"/>
      <c r="S20" s="30"/>
      <c r="T20" s="30"/>
      <c r="U20" s="30"/>
      <c r="V20" s="31"/>
    </row>
    <row r="21" spans="1:22">
      <c r="A21" s="1" t="s">
        <v>36</v>
      </c>
      <c r="B21" s="29">
        <v>0</v>
      </c>
      <c r="C21" s="30">
        <v>14277.999517412167</v>
      </c>
      <c r="D21" s="30">
        <v>0</v>
      </c>
      <c r="E21" s="30">
        <v>0</v>
      </c>
      <c r="F21" s="30">
        <v>0</v>
      </c>
      <c r="G21" s="31">
        <f>SUM(IA_FINANCIAL)</f>
        <v>14277.999517412167</v>
      </c>
      <c r="H21" s="30"/>
      <c r="I21" s="34" t="s">
        <v>37</v>
      </c>
      <c r="J21" s="35"/>
      <c r="K21" s="30"/>
      <c r="L21" s="29"/>
      <c r="M21" s="30"/>
      <c r="N21" s="30"/>
      <c r="O21" s="30"/>
      <c r="P21" s="30"/>
      <c r="Q21" s="30"/>
      <c r="R21" s="30"/>
      <c r="S21" s="30"/>
      <c r="T21" s="30"/>
      <c r="U21" s="30"/>
      <c r="V21" s="31"/>
    </row>
    <row r="22" spans="1:22">
      <c r="A22" s="1" t="s">
        <v>38</v>
      </c>
      <c r="B22" s="29">
        <v>0</v>
      </c>
      <c r="C22" s="30">
        <v>16018.99945856741</v>
      </c>
      <c r="D22" s="30">
        <v>0</v>
      </c>
      <c r="E22" s="30">
        <v>0</v>
      </c>
      <c r="F22" s="30">
        <v>0</v>
      </c>
      <c r="G22" s="31">
        <f>SUM(KS_FINANCIAL)</f>
        <v>16018.99945856741</v>
      </c>
      <c r="H22" s="30"/>
      <c r="I22" s="34" t="s">
        <v>39</v>
      </c>
      <c r="J22" s="35">
        <v>0</v>
      </c>
      <c r="K22" s="30"/>
      <c r="L22" s="29"/>
      <c r="M22" s="30"/>
      <c r="N22" s="30"/>
      <c r="O22" s="30"/>
      <c r="P22" s="30"/>
      <c r="Q22" s="30"/>
      <c r="R22" s="30"/>
      <c r="S22" s="30"/>
      <c r="T22" s="30"/>
      <c r="U22" s="30"/>
      <c r="V22" s="31"/>
    </row>
    <row r="23" spans="1:22">
      <c r="A23" s="1" t="s">
        <v>40</v>
      </c>
      <c r="B23" s="29">
        <v>0</v>
      </c>
      <c r="C23" s="30">
        <v>15932.999461474159</v>
      </c>
      <c r="D23" s="30">
        <v>0</v>
      </c>
      <c r="E23" s="30">
        <v>0</v>
      </c>
      <c r="F23" s="30">
        <v>0</v>
      </c>
      <c r="G23" s="31">
        <f>SUM(KY_FINANCIAL)</f>
        <v>15932.999461474159</v>
      </c>
      <c r="H23" s="30"/>
      <c r="I23" s="34" t="s">
        <v>41</v>
      </c>
      <c r="J23" s="35"/>
      <c r="K23" s="30"/>
      <c r="L23" s="29"/>
      <c r="M23" s="30"/>
      <c r="N23" s="30"/>
      <c r="O23" s="30"/>
      <c r="P23" s="30"/>
      <c r="Q23" s="30"/>
      <c r="R23" s="30"/>
      <c r="S23" s="30"/>
      <c r="T23" s="30"/>
      <c r="U23" s="30"/>
      <c r="V23" s="31"/>
    </row>
    <row r="24" spans="1:22">
      <c r="A24" s="1" t="s">
        <v>42</v>
      </c>
      <c r="B24" s="29">
        <v>0</v>
      </c>
      <c r="C24" s="30">
        <v>13443.999545600866</v>
      </c>
      <c r="D24" s="30">
        <v>0</v>
      </c>
      <c r="E24" s="30">
        <v>0</v>
      </c>
      <c r="F24" s="30">
        <v>0</v>
      </c>
      <c r="G24" s="31">
        <f>SUM(LA_FINANCIAL)</f>
        <v>13443.999545600866</v>
      </c>
      <c r="H24" s="30"/>
      <c r="I24" s="34" t="s">
        <v>43</v>
      </c>
      <c r="J24" s="35">
        <v>0</v>
      </c>
      <c r="K24" s="30"/>
      <c r="L24" s="29"/>
      <c r="M24" s="30"/>
      <c r="N24" s="30"/>
      <c r="O24" s="30"/>
      <c r="P24" s="30"/>
      <c r="Q24" s="30"/>
      <c r="R24" s="30"/>
      <c r="S24" s="30"/>
      <c r="T24" s="30"/>
      <c r="U24" s="30"/>
      <c r="V24" s="31"/>
    </row>
    <row r="25" spans="1:22">
      <c r="A25" s="1" t="s">
        <v>44</v>
      </c>
      <c r="B25" s="29">
        <v>0</v>
      </c>
      <c r="C25" s="30">
        <v>5466.9998152186799</v>
      </c>
      <c r="D25" s="30">
        <v>0</v>
      </c>
      <c r="E25" s="30">
        <v>0</v>
      </c>
      <c r="F25" s="30">
        <v>0</v>
      </c>
      <c r="G25" s="31">
        <f>SUM(ME_FINANCIAL)</f>
        <v>5466.9998152186799</v>
      </c>
      <c r="H25" s="30"/>
      <c r="I25" s="34"/>
      <c r="J25" s="35"/>
      <c r="K25" s="30"/>
      <c r="L25" s="29"/>
      <c r="M25" s="30"/>
      <c r="N25" s="30"/>
      <c r="O25" s="30"/>
      <c r="P25" s="30"/>
      <c r="Q25" s="30"/>
      <c r="R25" s="30"/>
      <c r="S25" s="30"/>
      <c r="T25" s="30"/>
      <c r="U25" s="30"/>
      <c r="V25" s="31"/>
    </row>
    <row r="26" spans="1:22">
      <c r="A26" s="1" t="s">
        <v>45</v>
      </c>
      <c r="B26" s="29">
        <v>0</v>
      </c>
      <c r="C26" s="30">
        <v>21206.999283216122</v>
      </c>
      <c r="D26" s="30">
        <v>0</v>
      </c>
      <c r="E26" s="30">
        <v>0</v>
      </c>
      <c r="F26" s="30">
        <v>0</v>
      </c>
      <c r="G26" s="31">
        <f>SUM(MD_FINANCIAL)</f>
        <v>21206.999283216122</v>
      </c>
      <c r="H26" s="30"/>
      <c r="I26" s="34" t="s">
        <v>46</v>
      </c>
      <c r="J26" s="35">
        <f>SUM(ADD_FINANCIAL)-SUM(LESS_FINANCIAL)</f>
        <v>3028888.8976254463</v>
      </c>
      <c r="K26" s="30"/>
      <c r="L26" s="29"/>
      <c r="M26" s="30"/>
      <c r="N26" s="30"/>
      <c r="O26" s="30"/>
      <c r="P26" s="30"/>
      <c r="Q26" s="30"/>
      <c r="R26" s="30"/>
      <c r="S26" s="30"/>
      <c r="T26" s="30"/>
      <c r="U26" s="30"/>
      <c r="V26" s="31"/>
    </row>
    <row r="27" spans="1:22">
      <c r="A27" s="1" t="s">
        <v>47</v>
      </c>
      <c r="B27" s="29">
        <v>0</v>
      </c>
      <c r="C27" s="30">
        <v>29612.998999098367</v>
      </c>
      <c r="D27" s="30">
        <v>0</v>
      </c>
      <c r="E27" s="30">
        <v>0</v>
      </c>
      <c r="F27" s="30">
        <v>0</v>
      </c>
      <c r="G27" s="31">
        <f>SUM(MA_FINANCIAL)</f>
        <v>29612.998999098367</v>
      </c>
      <c r="H27" s="30"/>
      <c r="I27" s="34" t="s">
        <v>48</v>
      </c>
      <c r="J27" s="35">
        <f>SUM(ALL_BLOCKS)</f>
        <v>3028888.897625369</v>
      </c>
      <c r="K27" s="30"/>
      <c r="L27" s="29"/>
      <c r="M27" s="30"/>
      <c r="N27" s="30"/>
      <c r="O27" s="30"/>
      <c r="P27" s="30"/>
      <c r="Q27" s="30"/>
      <c r="R27" s="30"/>
      <c r="S27" s="30"/>
      <c r="T27" s="30"/>
      <c r="U27" s="30"/>
      <c r="V27" s="31"/>
    </row>
    <row r="28" spans="1:22">
      <c r="A28" s="1" t="s">
        <v>49</v>
      </c>
      <c r="B28" s="29">
        <v>0</v>
      </c>
      <c r="C28" s="30">
        <v>366077.98762678326</v>
      </c>
      <c r="D28" s="30">
        <v>0</v>
      </c>
      <c r="E28" s="30">
        <v>0</v>
      </c>
      <c r="F28" s="30">
        <v>0</v>
      </c>
      <c r="G28" s="31">
        <f>SUM(MI_FINANCIAL)</f>
        <v>366077.98762678326</v>
      </c>
      <c r="H28" s="30"/>
      <c r="I28" s="36"/>
      <c r="J28" s="37"/>
      <c r="K28" s="30"/>
      <c r="L28" s="29"/>
      <c r="M28" s="30"/>
      <c r="N28" s="30"/>
      <c r="O28" s="30"/>
      <c r="P28" s="30"/>
      <c r="Q28" s="30"/>
      <c r="R28" s="30"/>
      <c r="S28" s="30"/>
      <c r="T28" s="30"/>
      <c r="U28" s="30"/>
      <c r="V28" s="31"/>
    </row>
    <row r="29" spans="1:22">
      <c r="A29" s="1" t="s">
        <v>50</v>
      </c>
      <c r="B29" s="29">
        <v>0</v>
      </c>
      <c r="C29" s="30">
        <v>33742.998859506843</v>
      </c>
      <c r="D29" s="30">
        <v>0</v>
      </c>
      <c r="E29" s="30">
        <v>0</v>
      </c>
      <c r="F29" s="30">
        <v>0</v>
      </c>
      <c r="G29" s="31">
        <f>SUM(MN_FINANCIAL)</f>
        <v>33742.998859506843</v>
      </c>
      <c r="H29" s="30"/>
      <c r="I29" s="30"/>
      <c r="J29" s="30"/>
      <c r="K29" s="30"/>
      <c r="L29" s="29"/>
      <c r="M29" s="30"/>
      <c r="N29" s="30"/>
      <c r="O29" s="30"/>
      <c r="P29" s="30"/>
      <c r="Q29" s="30"/>
      <c r="R29" s="30"/>
      <c r="S29" s="30"/>
      <c r="T29" s="30"/>
      <c r="U29" s="30"/>
      <c r="V29" s="31"/>
    </row>
    <row r="30" spans="1:22">
      <c r="A30" s="1" t="s">
        <v>51</v>
      </c>
      <c r="B30" s="29">
        <v>0</v>
      </c>
      <c r="C30" s="30">
        <v>11982.999594981789</v>
      </c>
      <c r="D30" s="30">
        <v>0</v>
      </c>
      <c r="E30" s="30">
        <v>0</v>
      </c>
      <c r="F30" s="30">
        <v>0</v>
      </c>
      <c r="G30" s="31">
        <f>SUM(MS_FINANCIAL)</f>
        <v>11982.999594981789</v>
      </c>
      <c r="H30" s="30"/>
      <c r="I30" s="30"/>
      <c r="J30" s="30"/>
      <c r="K30" s="30"/>
      <c r="L30" s="29"/>
      <c r="M30" s="30"/>
      <c r="N30" s="30"/>
      <c r="O30" s="30"/>
      <c r="P30" s="30"/>
      <c r="Q30" s="30"/>
      <c r="R30" s="30"/>
      <c r="S30" s="30"/>
      <c r="T30" s="30"/>
      <c r="U30" s="30"/>
      <c r="V30" s="31"/>
    </row>
    <row r="31" spans="1:22">
      <c r="A31" s="1" t="s">
        <v>52</v>
      </c>
      <c r="B31" s="29">
        <v>0</v>
      </c>
      <c r="C31" s="30">
        <v>22513.999239040306</v>
      </c>
      <c r="D31" s="30">
        <v>0</v>
      </c>
      <c r="E31" s="30">
        <v>0</v>
      </c>
      <c r="F31" s="30">
        <v>0</v>
      </c>
      <c r="G31" s="31">
        <f>SUM(MO_FINANCIAL)</f>
        <v>22513.999239040306</v>
      </c>
      <c r="H31" s="30"/>
      <c r="I31" s="30"/>
      <c r="J31" s="30"/>
      <c r="K31" s="30"/>
      <c r="L31" s="29"/>
      <c r="M31" s="30"/>
      <c r="N31" s="30"/>
      <c r="O31" s="30"/>
      <c r="P31" s="30"/>
      <c r="Q31" s="30"/>
      <c r="R31" s="30"/>
      <c r="S31" s="30"/>
      <c r="T31" s="30"/>
      <c r="U31" s="30"/>
      <c r="V31" s="31"/>
    </row>
    <row r="32" spans="1:22">
      <c r="A32" s="1" t="s">
        <v>53</v>
      </c>
      <c r="B32" s="29">
        <v>0</v>
      </c>
      <c r="C32" s="30">
        <v>7324.9997524193941</v>
      </c>
      <c r="D32" s="30">
        <v>0</v>
      </c>
      <c r="E32" s="30">
        <v>0</v>
      </c>
      <c r="F32" s="30">
        <v>0</v>
      </c>
      <c r="G32" s="31">
        <f>SUM(MT_FINANCIAL)</f>
        <v>7324.9997524193941</v>
      </c>
      <c r="H32" s="30"/>
      <c r="I32" s="30"/>
      <c r="J32" s="30"/>
      <c r="K32" s="30"/>
      <c r="L32" s="29"/>
      <c r="M32" s="30"/>
      <c r="N32" s="30"/>
      <c r="O32" s="30"/>
      <c r="P32" s="30"/>
      <c r="Q32" s="30"/>
      <c r="R32" s="30"/>
      <c r="S32" s="30"/>
      <c r="T32" s="30"/>
      <c r="U32" s="30"/>
      <c r="V32" s="31"/>
    </row>
    <row r="33" spans="1:22">
      <c r="A33" s="1" t="s">
        <v>54</v>
      </c>
      <c r="B33" s="29">
        <v>0</v>
      </c>
      <c r="C33" s="30">
        <v>4424.9998504376554</v>
      </c>
      <c r="D33" s="30">
        <v>0</v>
      </c>
      <c r="E33" s="30">
        <v>0</v>
      </c>
      <c r="F33" s="30">
        <v>0</v>
      </c>
      <c r="G33" s="31">
        <f>SUM(NE_FINANCIAL)</f>
        <v>4424.9998504376554</v>
      </c>
      <c r="H33" s="30"/>
      <c r="I33" s="30"/>
      <c r="J33" s="30"/>
      <c r="K33" s="30"/>
      <c r="L33" s="29"/>
      <c r="M33" s="30"/>
      <c r="N33" s="30"/>
      <c r="O33" s="30"/>
      <c r="P33" s="30"/>
      <c r="Q33" s="30"/>
      <c r="R33" s="30"/>
      <c r="S33" s="30"/>
      <c r="T33" s="30"/>
      <c r="U33" s="30"/>
      <c r="V33" s="31"/>
    </row>
    <row r="34" spans="1:22">
      <c r="A34" s="1" t="s">
        <v>55</v>
      </c>
      <c r="B34" s="29">
        <v>0</v>
      </c>
      <c r="C34" s="30">
        <v>11215.999620905928</v>
      </c>
      <c r="D34" s="30">
        <v>0</v>
      </c>
      <c r="E34" s="30">
        <v>0</v>
      </c>
      <c r="F34" s="30">
        <v>0</v>
      </c>
      <c r="G34" s="31">
        <f>SUM(NV_FINANCIAL)</f>
        <v>11215.999620905928</v>
      </c>
      <c r="H34" s="30"/>
      <c r="I34" s="30"/>
      <c r="J34" s="30"/>
      <c r="K34" s="30"/>
      <c r="L34" s="29"/>
      <c r="M34" s="30"/>
      <c r="N34" s="30"/>
      <c r="O34" s="30"/>
      <c r="P34" s="30"/>
      <c r="Q34" s="30"/>
      <c r="R34" s="30"/>
      <c r="S34" s="30"/>
      <c r="T34" s="30"/>
      <c r="U34" s="30"/>
      <c r="V34" s="31"/>
    </row>
    <row r="35" spans="1:22">
      <c r="A35" s="1" t="s">
        <v>56</v>
      </c>
      <c r="B35" s="29">
        <v>0</v>
      </c>
      <c r="C35" s="30">
        <v>252.99999144875179</v>
      </c>
      <c r="D35" s="30">
        <v>0</v>
      </c>
      <c r="E35" s="30">
        <v>0</v>
      </c>
      <c r="F35" s="30">
        <v>0</v>
      </c>
      <c r="G35" s="31">
        <f>SUM(NH_FINANCIAL)</f>
        <v>252.99999144875179</v>
      </c>
      <c r="H35" s="30"/>
      <c r="I35" s="30"/>
      <c r="J35" s="30"/>
      <c r="K35" s="30"/>
      <c r="L35" s="29"/>
      <c r="M35" s="30"/>
      <c r="N35" s="30"/>
      <c r="O35" s="30"/>
      <c r="P35" s="30"/>
      <c r="Q35" s="30"/>
      <c r="R35" s="30"/>
      <c r="S35" s="30"/>
      <c r="T35" s="30"/>
      <c r="U35" s="30"/>
      <c r="V35" s="31"/>
    </row>
    <row r="36" spans="1:22">
      <c r="A36" s="1" t="s">
        <v>57</v>
      </c>
      <c r="B36" s="29">
        <v>0</v>
      </c>
      <c r="C36" s="30">
        <v>0</v>
      </c>
      <c r="D36" s="30">
        <v>0</v>
      </c>
      <c r="E36" s="30">
        <v>0</v>
      </c>
      <c r="F36" s="30">
        <v>0</v>
      </c>
      <c r="G36" s="31">
        <f>SUM(NJ_FINANCIAL)</f>
        <v>0</v>
      </c>
      <c r="H36" s="30"/>
      <c r="I36" s="30"/>
      <c r="J36" s="30"/>
      <c r="K36" s="30"/>
      <c r="L36" s="29"/>
      <c r="M36" s="30"/>
      <c r="N36" s="30"/>
      <c r="O36" s="30"/>
      <c r="P36" s="30"/>
      <c r="Q36" s="30"/>
      <c r="R36" s="30"/>
      <c r="S36" s="30"/>
      <c r="T36" s="30"/>
      <c r="U36" s="30"/>
      <c r="V36" s="31"/>
    </row>
    <row r="37" spans="1:22">
      <c r="A37" s="1" t="s">
        <v>58</v>
      </c>
      <c r="B37" s="29">
        <v>0</v>
      </c>
      <c r="C37" s="30">
        <v>4887.999834788533</v>
      </c>
      <c r="D37" s="30">
        <v>0</v>
      </c>
      <c r="E37" s="30">
        <v>0</v>
      </c>
      <c r="F37" s="30">
        <v>0</v>
      </c>
      <c r="G37" s="31">
        <f>SUM(NM_FINANCIAL)</f>
        <v>4887.999834788533</v>
      </c>
      <c r="H37" s="30"/>
      <c r="I37" s="30"/>
      <c r="J37" s="30"/>
      <c r="K37" s="30"/>
      <c r="L37" s="29"/>
      <c r="M37" s="30"/>
      <c r="N37" s="30"/>
      <c r="O37" s="30"/>
      <c r="P37" s="30"/>
      <c r="Q37" s="30"/>
      <c r="R37" s="30"/>
      <c r="S37" s="30"/>
      <c r="T37" s="30"/>
      <c r="U37" s="30"/>
      <c r="V37" s="31"/>
    </row>
    <row r="38" spans="1:22">
      <c r="A38" s="1" t="s">
        <v>59</v>
      </c>
      <c r="B38" s="29">
        <v>0</v>
      </c>
      <c r="C38" s="30">
        <v>0</v>
      </c>
      <c r="D38" s="30">
        <v>0</v>
      </c>
      <c r="E38" s="30">
        <v>0</v>
      </c>
      <c r="F38" s="30">
        <v>0</v>
      </c>
      <c r="G38" s="31">
        <f>SUM(NY_FINANCIAL)</f>
        <v>0</v>
      </c>
      <c r="H38" s="30"/>
      <c r="I38" s="30"/>
      <c r="J38" s="30"/>
      <c r="K38" s="30"/>
      <c r="L38" s="29"/>
      <c r="M38" s="30"/>
      <c r="N38" s="30"/>
      <c r="O38" s="30"/>
      <c r="P38" s="30"/>
      <c r="Q38" s="30"/>
      <c r="R38" s="30"/>
      <c r="S38" s="30"/>
      <c r="T38" s="30"/>
      <c r="U38" s="30"/>
      <c r="V38" s="31"/>
    </row>
    <row r="39" spans="1:22">
      <c r="A39" s="1" t="s">
        <v>60</v>
      </c>
      <c r="B39" s="29">
        <v>0</v>
      </c>
      <c r="C39" s="30">
        <v>147437.99501668406</v>
      </c>
      <c r="D39" s="30">
        <v>0</v>
      </c>
      <c r="E39" s="30">
        <v>0</v>
      </c>
      <c r="F39" s="30">
        <v>0</v>
      </c>
      <c r="G39" s="31">
        <f>SUM(NC_FINANCIAL)</f>
        <v>147437.99501668406</v>
      </c>
      <c r="H39" s="30"/>
      <c r="I39" s="30"/>
      <c r="J39" s="30"/>
      <c r="K39" s="30"/>
      <c r="L39" s="29">
        <v>0</v>
      </c>
      <c r="M39" s="30">
        <v>0</v>
      </c>
      <c r="N39" s="30"/>
      <c r="O39" s="30">
        <v>250000</v>
      </c>
      <c r="P39" s="30">
        <v>0</v>
      </c>
      <c r="Q39" s="30"/>
      <c r="R39" s="30">
        <v>0</v>
      </c>
      <c r="S39" s="30">
        <v>0</v>
      </c>
      <c r="T39" s="30"/>
      <c r="U39" s="30">
        <v>0</v>
      </c>
      <c r="V39" s="31">
        <v>0</v>
      </c>
    </row>
    <row r="40" spans="1:22">
      <c r="A40" s="1" t="s">
        <v>61</v>
      </c>
      <c r="B40" s="29">
        <v>0</v>
      </c>
      <c r="C40" s="30">
        <v>11212.999621007328</v>
      </c>
      <c r="D40" s="30">
        <v>0</v>
      </c>
      <c r="E40" s="30">
        <v>0</v>
      </c>
      <c r="F40" s="30">
        <v>0</v>
      </c>
      <c r="G40" s="31">
        <f>SUM(ND_FINANCIAL)</f>
        <v>11212.999621007328</v>
      </c>
      <c r="H40" s="30"/>
      <c r="I40" s="30"/>
      <c r="J40" s="30"/>
      <c r="K40" s="30"/>
      <c r="L40" s="29"/>
      <c r="M40" s="30"/>
      <c r="N40" s="30"/>
      <c r="O40" s="30"/>
      <c r="P40" s="30"/>
      <c r="Q40" s="30"/>
      <c r="R40" s="30"/>
      <c r="S40" s="30"/>
      <c r="T40" s="30"/>
      <c r="U40" s="30"/>
      <c r="V40" s="31"/>
    </row>
    <row r="41" spans="1:22">
      <c r="A41" s="1" t="s">
        <v>62</v>
      </c>
      <c r="B41" s="29">
        <v>0</v>
      </c>
      <c r="C41" s="30">
        <v>249073.99158144824</v>
      </c>
      <c r="D41" s="30">
        <v>0</v>
      </c>
      <c r="E41" s="30">
        <v>0</v>
      </c>
      <c r="F41" s="30">
        <v>0</v>
      </c>
      <c r="G41" s="31">
        <f>SUM(OH_FINANCIAL)</f>
        <v>249073.99158144824</v>
      </c>
      <c r="H41" s="30"/>
      <c r="I41" s="30"/>
      <c r="J41" s="30"/>
      <c r="K41" s="30"/>
      <c r="L41" s="29"/>
      <c r="M41" s="30"/>
      <c r="N41" s="30"/>
      <c r="O41" s="30"/>
      <c r="P41" s="30"/>
      <c r="Q41" s="30"/>
      <c r="R41" s="30"/>
      <c r="S41" s="30"/>
      <c r="T41" s="30"/>
      <c r="U41" s="30"/>
      <c r="V41" s="31"/>
    </row>
    <row r="42" spans="1:22">
      <c r="A42" s="1" t="s">
        <v>63</v>
      </c>
      <c r="B42" s="29">
        <v>0</v>
      </c>
      <c r="C42" s="30">
        <v>5995.9997973387972</v>
      </c>
      <c r="D42" s="30">
        <v>0</v>
      </c>
      <c r="E42" s="30">
        <v>0</v>
      </c>
      <c r="F42" s="30">
        <v>0</v>
      </c>
      <c r="G42" s="31">
        <f>SUM(OK_FINANCIAL)</f>
        <v>5995.9997973387972</v>
      </c>
      <c r="H42" s="30"/>
      <c r="I42" s="30"/>
      <c r="J42" s="30"/>
      <c r="K42" s="30"/>
      <c r="L42" s="29"/>
      <c r="M42" s="30"/>
      <c r="N42" s="30"/>
      <c r="O42" s="30"/>
      <c r="P42" s="30"/>
      <c r="Q42" s="30"/>
      <c r="R42" s="30"/>
      <c r="S42" s="30"/>
      <c r="T42" s="30"/>
      <c r="U42" s="30"/>
      <c r="V42" s="31"/>
    </row>
    <row r="43" spans="1:22">
      <c r="A43" s="1" t="s">
        <v>64</v>
      </c>
      <c r="B43" s="29">
        <v>0</v>
      </c>
      <c r="C43" s="30">
        <v>1457.9999507204748</v>
      </c>
      <c r="D43" s="30">
        <v>0</v>
      </c>
      <c r="E43" s="30">
        <v>0</v>
      </c>
      <c r="F43" s="30">
        <v>0</v>
      </c>
      <c r="G43" s="31">
        <f>SUM(OR_FINANCIAL)</f>
        <v>1457.9999507204748</v>
      </c>
      <c r="H43" s="30"/>
      <c r="I43" s="30"/>
      <c r="J43" s="30"/>
      <c r="K43" s="30"/>
      <c r="L43" s="29"/>
      <c r="M43" s="30"/>
      <c r="N43" s="30"/>
      <c r="O43" s="30"/>
      <c r="P43" s="30"/>
      <c r="Q43" s="30"/>
      <c r="R43" s="30"/>
      <c r="S43" s="30"/>
      <c r="T43" s="30"/>
      <c r="U43" s="30"/>
      <c r="V43" s="31"/>
    </row>
    <row r="44" spans="1:22">
      <c r="A44" s="1" t="s">
        <v>65</v>
      </c>
      <c r="B44" s="29">
        <v>0</v>
      </c>
      <c r="C44" s="30">
        <v>20511.999306706708</v>
      </c>
      <c r="D44" s="30">
        <v>0</v>
      </c>
      <c r="E44" s="30">
        <v>0</v>
      </c>
      <c r="F44" s="30">
        <v>0</v>
      </c>
      <c r="G44" s="31">
        <f>SUM(PA_FINANCIAL)</f>
        <v>20511.999306706708</v>
      </c>
      <c r="H44" s="30"/>
      <c r="I44" s="30"/>
      <c r="J44" s="30"/>
      <c r="K44" s="30"/>
      <c r="L44" s="29"/>
      <c r="M44" s="30"/>
      <c r="N44" s="30"/>
      <c r="O44" s="30"/>
      <c r="P44" s="30"/>
      <c r="Q44" s="30"/>
      <c r="R44" s="30"/>
      <c r="S44" s="30"/>
      <c r="T44" s="30"/>
      <c r="U44" s="30"/>
      <c r="V44" s="31"/>
    </row>
    <row r="45" spans="1:22">
      <c r="A45" s="1" t="s">
        <v>66</v>
      </c>
      <c r="B45" s="29">
        <v>0</v>
      </c>
      <c r="C45" s="30">
        <v>0</v>
      </c>
      <c r="D45" s="30">
        <v>0</v>
      </c>
      <c r="E45" s="30">
        <v>0</v>
      </c>
      <c r="F45" s="30">
        <v>0</v>
      </c>
      <c r="G45" s="31">
        <f>SUM(PR_FINANCIAL)</f>
        <v>0</v>
      </c>
      <c r="H45" s="30"/>
      <c r="I45" s="30"/>
      <c r="J45" s="30"/>
      <c r="K45" s="30"/>
      <c r="L45" s="29"/>
      <c r="M45" s="30"/>
      <c r="N45" s="30"/>
      <c r="O45" s="30"/>
      <c r="P45" s="30"/>
      <c r="Q45" s="30"/>
      <c r="R45" s="30"/>
      <c r="S45" s="30"/>
      <c r="T45" s="30"/>
      <c r="U45" s="30"/>
      <c r="V45" s="31"/>
    </row>
    <row r="46" spans="1:22">
      <c r="A46" s="1" t="s">
        <v>67</v>
      </c>
      <c r="B46" s="29">
        <v>0</v>
      </c>
      <c r="C46" s="30">
        <v>1920.9999350713524</v>
      </c>
      <c r="D46" s="30">
        <v>0</v>
      </c>
      <c r="E46" s="30">
        <v>0</v>
      </c>
      <c r="F46" s="30">
        <v>0</v>
      </c>
      <c r="G46" s="31">
        <f>SUM(RI_FINANCIAL)</f>
        <v>1920.9999350713524</v>
      </c>
      <c r="H46" s="30"/>
      <c r="I46" s="30"/>
      <c r="J46" s="30"/>
      <c r="K46" s="30"/>
      <c r="L46" s="29"/>
      <c r="M46" s="30"/>
      <c r="N46" s="30"/>
      <c r="O46" s="30"/>
      <c r="P46" s="30"/>
      <c r="Q46" s="30"/>
      <c r="R46" s="30"/>
      <c r="S46" s="30"/>
      <c r="T46" s="30"/>
      <c r="U46" s="30"/>
      <c r="V46" s="31"/>
    </row>
    <row r="47" spans="1:22">
      <c r="A47" s="1" t="s">
        <v>68</v>
      </c>
      <c r="B47" s="29">
        <v>0</v>
      </c>
      <c r="C47" s="30">
        <v>49519.998326253713</v>
      </c>
      <c r="D47" s="30">
        <v>0</v>
      </c>
      <c r="E47" s="30">
        <v>0</v>
      </c>
      <c r="F47" s="30">
        <v>0</v>
      </c>
      <c r="G47" s="31">
        <f>SUM(SC_FINANCIAL)</f>
        <v>49519.998326253713</v>
      </c>
      <c r="H47" s="30"/>
      <c r="I47" s="30"/>
      <c r="J47" s="30"/>
      <c r="K47" s="30"/>
      <c r="L47" s="29"/>
      <c r="M47" s="30"/>
      <c r="N47" s="30"/>
      <c r="O47" s="30"/>
      <c r="P47" s="30"/>
      <c r="Q47" s="30"/>
      <c r="R47" s="30"/>
      <c r="S47" s="30"/>
      <c r="T47" s="30"/>
      <c r="U47" s="30"/>
      <c r="V47" s="31"/>
    </row>
    <row r="48" spans="1:22">
      <c r="A48" s="1" t="s">
        <v>69</v>
      </c>
      <c r="B48" s="29">
        <v>0</v>
      </c>
      <c r="C48" s="30">
        <v>4067.9998625040407</v>
      </c>
      <c r="D48" s="30">
        <v>0</v>
      </c>
      <c r="E48" s="30">
        <v>0</v>
      </c>
      <c r="F48" s="30">
        <v>0</v>
      </c>
      <c r="G48" s="31">
        <f>SUM(SD_FINANCIAL)</f>
        <v>4067.9998625040407</v>
      </c>
      <c r="H48" s="30"/>
      <c r="I48" s="30"/>
      <c r="J48" s="30"/>
      <c r="K48" s="30"/>
      <c r="L48" s="29"/>
      <c r="M48" s="30"/>
      <c r="N48" s="30"/>
      <c r="O48" s="30"/>
      <c r="P48" s="30"/>
      <c r="Q48" s="30"/>
      <c r="R48" s="30"/>
      <c r="S48" s="30"/>
      <c r="T48" s="30"/>
      <c r="U48" s="30"/>
      <c r="V48" s="31"/>
    </row>
    <row r="49" spans="1:22">
      <c r="A49" s="1" t="s">
        <v>70</v>
      </c>
      <c r="B49" s="29">
        <v>0</v>
      </c>
      <c r="C49" s="30">
        <v>45909.998448269544</v>
      </c>
      <c r="D49" s="30">
        <v>0</v>
      </c>
      <c r="E49" s="30">
        <v>0</v>
      </c>
      <c r="F49" s="30">
        <v>0</v>
      </c>
      <c r="G49" s="31">
        <f>SUM(TN_FINANCIAL)</f>
        <v>45909.998448269544</v>
      </c>
      <c r="H49" s="30"/>
      <c r="I49" s="30"/>
      <c r="J49" s="30"/>
      <c r="K49" s="30"/>
      <c r="L49" s="29"/>
      <c r="M49" s="30"/>
      <c r="N49" s="30"/>
      <c r="O49" s="30"/>
      <c r="P49" s="30"/>
      <c r="Q49" s="30"/>
      <c r="R49" s="30"/>
      <c r="S49" s="30"/>
      <c r="T49" s="30"/>
      <c r="U49" s="30"/>
      <c r="V49" s="31"/>
    </row>
    <row r="50" spans="1:22">
      <c r="A50" s="1" t="s">
        <v>71</v>
      </c>
      <c r="B50" s="29">
        <v>0</v>
      </c>
      <c r="C50" s="30">
        <v>198853.99327885412</v>
      </c>
      <c r="D50" s="30">
        <v>0</v>
      </c>
      <c r="E50" s="30">
        <v>0</v>
      </c>
      <c r="F50" s="30">
        <v>0</v>
      </c>
      <c r="G50" s="31">
        <f>SUM(TX_FINANCIAL)</f>
        <v>198853.99327885412</v>
      </c>
      <c r="H50" s="30"/>
      <c r="I50" s="30"/>
      <c r="J50" s="30"/>
      <c r="K50" s="30"/>
      <c r="L50" s="29"/>
      <c r="M50" s="30"/>
      <c r="N50" s="30"/>
      <c r="O50" s="30"/>
      <c r="P50" s="30"/>
      <c r="Q50" s="30"/>
      <c r="R50" s="30"/>
      <c r="S50" s="30"/>
      <c r="T50" s="30"/>
      <c r="U50" s="30"/>
      <c r="V50" s="31"/>
    </row>
    <row r="51" spans="1:22">
      <c r="A51" s="1" t="s">
        <v>72</v>
      </c>
      <c r="B51" s="29">
        <v>0</v>
      </c>
      <c r="C51" s="30">
        <v>24845.999160220108</v>
      </c>
      <c r="D51" s="30">
        <v>0</v>
      </c>
      <c r="E51" s="30">
        <v>0</v>
      </c>
      <c r="F51" s="30">
        <v>0</v>
      </c>
      <c r="G51" s="31">
        <f>SUM(UT_FINANCIAL)</f>
        <v>24845.999160220108</v>
      </c>
      <c r="H51" s="30"/>
      <c r="I51" s="30"/>
      <c r="J51" s="30"/>
      <c r="K51" s="30"/>
      <c r="L51" s="29"/>
      <c r="M51" s="30"/>
      <c r="N51" s="30"/>
      <c r="O51" s="30"/>
      <c r="P51" s="30"/>
      <c r="Q51" s="30"/>
      <c r="R51" s="30"/>
      <c r="S51" s="30"/>
      <c r="T51" s="30"/>
      <c r="U51" s="30"/>
      <c r="V51" s="31"/>
    </row>
    <row r="52" spans="1:22">
      <c r="A52" s="1" t="s">
        <v>73</v>
      </c>
      <c r="B52" s="29">
        <v>0</v>
      </c>
      <c r="C52" s="30">
        <v>364.99998766321897</v>
      </c>
      <c r="D52" s="30">
        <v>0</v>
      </c>
      <c r="E52" s="30">
        <v>0</v>
      </c>
      <c r="F52" s="30">
        <v>0</v>
      </c>
      <c r="G52" s="31">
        <f>SUM(VT_FINANCIAL)</f>
        <v>364.99998766321897</v>
      </c>
      <c r="H52" s="30"/>
      <c r="I52" s="30"/>
      <c r="J52" s="30"/>
      <c r="K52" s="30"/>
      <c r="L52" s="29"/>
      <c r="M52" s="30"/>
      <c r="N52" s="30"/>
      <c r="O52" s="30"/>
      <c r="P52" s="30"/>
      <c r="Q52" s="30"/>
      <c r="R52" s="30"/>
      <c r="S52" s="30"/>
      <c r="T52" s="30"/>
      <c r="U52" s="30"/>
      <c r="V52" s="31"/>
    </row>
    <row r="53" spans="1:22">
      <c r="A53" s="1" t="s">
        <v>74</v>
      </c>
      <c r="B53" s="29">
        <v>0</v>
      </c>
      <c r="C53" s="30">
        <v>60966.997939351975</v>
      </c>
      <c r="D53" s="30">
        <v>0</v>
      </c>
      <c r="E53" s="30">
        <v>0</v>
      </c>
      <c r="F53" s="30">
        <v>0</v>
      </c>
      <c r="G53" s="31">
        <f>SUM(VA_FINANCIAL)</f>
        <v>60966.997939351975</v>
      </c>
      <c r="H53" s="30"/>
      <c r="I53" s="30"/>
      <c r="J53" s="30"/>
      <c r="K53" s="30"/>
      <c r="L53" s="29"/>
      <c r="M53" s="30"/>
      <c r="N53" s="30"/>
      <c r="O53" s="30"/>
      <c r="P53" s="30"/>
      <c r="Q53" s="30"/>
      <c r="R53" s="30"/>
      <c r="S53" s="30"/>
      <c r="T53" s="30"/>
      <c r="U53" s="30"/>
      <c r="V53" s="31"/>
    </row>
    <row r="54" spans="1:22">
      <c r="A54" s="1" t="s">
        <v>75</v>
      </c>
      <c r="B54" s="29">
        <v>0</v>
      </c>
      <c r="C54" s="30">
        <v>7672.9997406572038</v>
      </c>
      <c r="D54" s="30">
        <v>0</v>
      </c>
      <c r="E54" s="30">
        <v>0</v>
      </c>
      <c r="F54" s="30">
        <v>0</v>
      </c>
      <c r="G54" s="31">
        <f>SUM(WA_FINANCIAL)</f>
        <v>7672.9997406572038</v>
      </c>
      <c r="H54" s="30"/>
      <c r="I54" s="30"/>
      <c r="J54" s="30"/>
      <c r="K54" s="30"/>
      <c r="L54" s="29"/>
      <c r="M54" s="30"/>
      <c r="N54" s="30"/>
      <c r="O54" s="30"/>
      <c r="P54" s="30"/>
      <c r="Q54" s="30"/>
      <c r="R54" s="30"/>
      <c r="S54" s="30"/>
      <c r="T54" s="30"/>
      <c r="U54" s="30"/>
      <c r="V54" s="31"/>
    </row>
    <row r="55" spans="1:22">
      <c r="A55" s="1" t="s">
        <v>76</v>
      </c>
      <c r="B55" s="29">
        <v>0</v>
      </c>
      <c r="C55" s="30">
        <v>30704.99896218942</v>
      </c>
      <c r="D55" s="30">
        <v>0</v>
      </c>
      <c r="E55" s="30">
        <v>0</v>
      </c>
      <c r="F55" s="30">
        <v>0</v>
      </c>
      <c r="G55" s="31">
        <f>SUM(WV_FINANCIAL)</f>
        <v>30704.99896218942</v>
      </c>
      <c r="H55" s="30"/>
      <c r="I55" s="30"/>
      <c r="J55" s="30"/>
      <c r="K55" s="30"/>
      <c r="L55" s="29"/>
      <c r="M55" s="30"/>
      <c r="N55" s="30"/>
      <c r="O55" s="30"/>
      <c r="P55" s="30"/>
      <c r="Q55" s="30"/>
      <c r="R55" s="30"/>
      <c r="S55" s="30"/>
      <c r="T55" s="30"/>
      <c r="U55" s="30"/>
      <c r="V55" s="31"/>
    </row>
    <row r="56" spans="1:22">
      <c r="A56" s="1" t="s">
        <v>77</v>
      </c>
      <c r="B56" s="29">
        <v>0</v>
      </c>
      <c r="C56" s="30">
        <v>88112.997021833464</v>
      </c>
      <c r="D56" s="30">
        <v>0</v>
      </c>
      <c r="E56" s="30">
        <v>0</v>
      </c>
      <c r="F56" s="30">
        <v>0</v>
      </c>
      <c r="G56" s="31">
        <f>SUM(WI_FINANCIAL)</f>
        <v>88112.997021833464</v>
      </c>
      <c r="H56" s="30"/>
      <c r="I56" s="30"/>
      <c r="J56" s="30"/>
      <c r="K56" s="30"/>
      <c r="L56" s="29"/>
      <c r="M56" s="30"/>
      <c r="N56" s="30"/>
      <c r="O56" s="30"/>
      <c r="P56" s="30"/>
      <c r="Q56" s="30"/>
      <c r="R56" s="30"/>
      <c r="S56" s="30"/>
      <c r="T56" s="30"/>
      <c r="U56" s="30"/>
      <c r="V56" s="31"/>
    </row>
    <row r="57" spans="1:22">
      <c r="A57" s="1" t="s">
        <v>78</v>
      </c>
      <c r="B57" s="29">
        <v>0</v>
      </c>
      <c r="C57" s="30">
        <v>2201.9999255737212</v>
      </c>
      <c r="D57" s="30">
        <v>0</v>
      </c>
      <c r="E57" s="30">
        <v>0</v>
      </c>
      <c r="F57" s="30">
        <v>0</v>
      </c>
      <c r="G57" s="31">
        <f>SUM(WY_FINANCIAL)</f>
        <v>2201.9999255737212</v>
      </c>
      <c r="H57" s="30"/>
      <c r="I57" s="30"/>
      <c r="J57" s="30"/>
      <c r="K57" s="30"/>
      <c r="L57" s="29">
        <v>0</v>
      </c>
      <c r="M57" s="30">
        <v>0</v>
      </c>
      <c r="N57" s="30"/>
      <c r="O57" s="30">
        <v>28000</v>
      </c>
      <c r="P57" s="30">
        <v>0</v>
      </c>
      <c r="Q57" s="30"/>
      <c r="R57" s="30">
        <v>0</v>
      </c>
      <c r="S57" s="30">
        <v>0</v>
      </c>
      <c r="T57" s="30"/>
      <c r="U57" s="30">
        <v>0</v>
      </c>
      <c r="V57" s="31">
        <v>0</v>
      </c>
    </row>
    <row r="58" spans="1:22">
      <c r="A58" s="1" t="s">
        <v>79</v>
      </c>
      <c r="B58" s="29">
        <v>0</v>
      </c>
      <c r="C58" s="30">
        <v>0</v>
      </c>
      <c r="D58" s="30">
        <v>0</v>
      </c>
      <c r="E58" s="30">
        <v>0</v>
      </c>
      <c r="F58" s="30">
        <v>0</v>
      </c>
      <c r="G58" s="31">
        <f>SUM(OT_FINANCIAL)</f>
        <v>0</v>
      </c>
      <c r="H58" s="30"/>
      <c r="I58" s="30"/>
      <c r="J58" s="30"/>
      <c r="K58" s="30"/>
      <c r="L58" s="29"/>
      <c r="M58" s="30"/>
      <c r="N58" s="30"/>
      <c r="O58" s="30"/>
      <c r="P58" s="30"/>
      <c r="Q58" s="30"/>
      <c r="R58" s="30"/>
      <c r="S58" s="30"/>
      <c r="T58" s="30"/>
      <c r="U58" s="30"/>
      <c r="V58" s="31"/>
    </row>
    <row r="59" spans="1:22">
      <c r="B59" s="29"/>
      <c r="C59" s="30"/>
      <c r="D59" s="30"/>
      <c r="E59" s="30"/>
      <c r="F59" s="30"/>
      <c r="G59" s="31"/>
      <c r="H59" s="30"/>
      <c r="I59" s="30"/>
      <c r="J59" s="30"/>
      <c r="K59" s="30"/>
      <c r="L59" s="29"/>
      <c r="M59" s="30"/>
      <c r="N59" s="30"/>
      <c r="O59" s="30"/>
      <c r="P59" s="30"/>
      <c r="Q59" s="30"/>
      <c r="R59" s="30"/>
      <c r="S59" s="30"/>
      <c r="T59" s="30"/>
      <c r="U59" s="30"/>
      <c r="V59" s="31"/>
    </row>
    <row r="60" spans="1:22">
      <c r="A60" s="1" t="s">
        <v>8</v>
      </c>
      <c r="B60" s="29">
        <f>SUM(LIFE)</f>
        <v>0</v>
      </c>
      <c r="C60" s="30">
        <f>SUM(ALLOCATED)</f>
        <v>3028888.897625369</v>
      </c>
      <c r="D60" s="30">
        <f>SUM(HEALTH)</f>
        <v>0</v>
      </c>
      <c r="E60" s="30">
        <f>SUM(UNALLOCATED)</f>
        <v>0</v>
      </c>
      <c r="F60" s="30">
        <f>SUM(LTC)</f>
        <v>0</v>
      </c>
      <c r="G60" s="31">
        <f>SUM(ALL_BLOCKS)</f>
        <v>3028888.897625369</v>
      </c>
      <c r="H60" s="30"/>
      <c r="I60" s="30"/>
      <c r="J60" s="30"/>
      <c r="K60" s="30"/>
      <c r="L60" s="29">
        <f>SUM(LIFE_CALLED)</f>
        <v>0</v>
      </c>
      <c r="M60" s="30">
        <f>SUM(LIFE_REFUNDED)</f>
        <v>0</v>
      </c>
      <c r="N60" s="30"/>
      <c r="O60" s="30">
        <f>SUM(ALLOC_CALLED)</f>
        <v>438000</v>
      </c>
      <c r="P60" s="30">
        <f>SUM(ALLOC_REFUNDED)</f>
        <v>0</v>
      </c>
      <c r="Q60" s="30"/>
      <c r="R60" s="30">
        <f>SUM(HEALTH_CALLED)</f>
        <v>0</v>
      </c>
      <c r="S60" s="30">
        <f>SUM(HEALTH_REFUNDED)</f>
        <v>0</v>
      </c>
      <c r="T60" s="30"/>
      <c r="U60" s="30">
        <f>SUM(UNALLOC_CALLED)</f>
        <v>0</v>
      </c>
      <c r="V60" s="31">
        <f>SUM(UNALLOC_REFUNDED)</f>
        <v>0</v>
      </c>
    </row>
    <row r="61" spans="1:22" ht="5.0999999999999996" customHeight="1">
      <c r="B61" s="8"/>
      <c r="G61" s="11"/>
      <c r="L61" s="8"/>
      <c r="V61" s="11"/>
    </row>
    <row r="62" spans="1:22">
      <c r="B62" s="8"/>
      <c r="G62" s="11"/>
      <c r="L62" s="122" t="s">
        <v>80</v>
      </c>
      <c r="M62" s="123"/>
      <c r="N62" s="123"/>
      <c r="O62" s="123"/>
      <c r="P62" s="123"/>
      <c r="Q62" s="123"/>
      <c r="R62" s="123"/>
      <c r="S62" s="123"/>
      <c r="T62" s="123"/>
      <c r="U62" s="123"/>
      <c r="V62" s="124"/>
    </row>
    <row r="63" spans="1:22">
      <c r="B63" s="8"/>
      <c r="G63" s="11"/>
      <c r="L63" s="125"/>
      <c r="M63" s="123"/>
      <c r="N63" s="123"/>
      <c r="O63" s="123"/>
      <c r="P63" s="123"/>
      <c r="Q63" s="123"/>
      <c r="R63" s="123"/>
      <c r="S63" s="123"/>
      <c r="T63" s="123"/>
      <c r="U63" s="123"/>
      <c r="V63" s="124"/>
    </row>
    <row r="64" spans="1:22">
      <c r="B64" s="10"/>
      <c r="C64" s="7"/>
      <c r="D64" s="7"/>
      <c r="E64" s="7"/>
      <c r="F64" s="7"/>
      <c r="G64" s="13"/>
      <c r="L64" s="126"/>
      <c r="M64" s="127"/>
      <c r="N64" s="127"/>
      <c r="O64" s="127"/>
      <c r="P64" s="127"/>
      <c r="Q64" s="127"/>
      <c r="R64" s="127"/>
      <c r="S64" s="127"/>
      <c r="T64" s="127"/>
      <c r="U64" s="127"/>
      <c r="V64" s="128"/>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pageSetUpPr fitToPage="1"/>
  </sheetPr>
  <dimension ref="A1:V64"/>
  <sheetViews>
    <sheetView zoomScale="75" workbookViewId="0">
      <selection sqref="A1:XFD1048576"/>
    </sheetView>
  </sheetViews>
  <sheetFormatPr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129" t="s">
        <v>160</v>
      </c>
      <c r="B1" s="123"/>
      <c r="C1" s="123"/>
      <c r="D1" s="123"/>
      <c r="E1" s="123"/>
      <c r="F1" s="123"/>
      <c r="G1" s="123"/>
    </row>
    <row r="3" spans="1:22">
      <c r="B3" s="130" t="s">
        <v>1</v>
      </c>
      <c r="C3" s="131"/>
      <c r="D3" s="131"/>
      <c r="E3" s="131"/>
      <c r="F3" s="131"/>
      <c r="G3" s="132"/>
      <c r="L3" s="133" t="s">
        <v>2</v>
      </c>
      <c r="M3" s="134"/>
      <c r="N3" s="134"/>
      <c r="O3" s="134"/>
      <c r="P3" s="134"/>
      <c r="Q3" s="134"/>
      <c r="R3" s="134"/>
      <c r="S3" s="134"/>
      <c r="T3" s="134"/>
      <c r="U3" s="134"/>
      <c r="V3" s="135"/>
    </row>
    <row r="4" spans="1:22">
      <c r="B4" s="8"/>
      <c r="G4" s="11"/>
      <c r="L4" s="136" t="s">
        <v>3</v>
      </c>
      <c r="M4" s="137"/>
      <c r="N4" s="4"/>
      <c r="O4" s="138" t="s">
        <v>4</v>
      </c>
      <c r="P4" s="137"/>
      <c r="Q4" s="4"/>
      <c r="R4" s="138" t="s">
        <v>5</v>
      </c>
      <c r="S4" s="137"/>
      <c r="T4" s="4"/>
      <c r="U4" s="138" t="s">
        <v>6</v>
      </c>
      <c r="V4" s="139"/>
    </row>
    <row r="5" spans="1:22" ht="60" customHeight="1">
      <c r="B5" s="9" t="s">
        <v>3</v>
      </c>
      <c r="C5" s="5" t="s">
        <v>4</v>
      </c>
      <c r="D5" s="5" t="s">
        <v>5</v>
      </c>
      <c r="E5" s="5" t="s">
        <v>6</v>
      </c>
      <c r="F5" s="5" t="s">
        <v>7</v>
      </c>
      <c r="G5" s="12" t="s">
        <v>8</v>
      </c>
      <c r="L5" s="15" t="s">
        <v>9</v>
      </c>
      <c r="M5" s="14" t="s">
        <v>10</v>
      </c>
      <c r="N5" s="14"/>
      <c r="O5" s="14" t="s">
        <v>9</v>
      </c>
      <c r="P5" s="14" t="s">
        <v>10</v>
      </c>
      <c r="Q5" s="14"/>
      <c r="R5" s="14" t="s">
        <v>9</v>
      </c>
      <c r="S5" s="14" t="s">
        <v>10</v>
      </c>
      <c r="T5" s="14"/>
      <c r="U5" s="14" t="s">
        <v>9</v>
      </c>
      <c r="V5" s="16" t="s">
        <v>10</v>
      </c>
    </row>
    <row r="6" spans="1:22">
      <c r="A6" s="1" t="s">
        <v>11</v>
      </c>
      <c r="B6" s="29">
        <v>0</v>
      </c>
      <c r="C6" s="30">
        <v>0</v>
      </c>
      <c r="D6" s="30">
        <v>161695.32144319959</v>
      </c>
      <c r="E6" s="30">
        <v>0</v>
      </c>
      <c r="F6" s="30">
        <v>0</v>
      </c>
      <c r="G6" s="31">
        <f>SUM(AL_FINANCIAL)</f>
        <v>161695.32144319959</v>
      </c>
      <c r="H6" s="30"/>
      <c r="I6" s="30"/>
      <c r="J6" s="30"/>
      <c r="K6" s="30"/>
      <c r="L6" s="29"/>
      <c r="M6" s="30"/>
      <c r="N6" s="30"/>
      <c r="O6" s="30"/>
      <c r="P6" s="30"/>
      <c r="Q6" s="30"/>
      <c r="R6" s="30"/>
      <c r="S6" s="30"/>
      <c r="T6" s="30"/>
      <c r="U6" s="30"/>
      <c r="V6" s="31"/>
    </row>
    <row r="7" spans="1:22">
      <c r="A7" s="1" t="s">
        <v>12</v>
      </c>
      <c r="B7" s="29">
        <v>0</v>
      </c>
      <c r="C7" s="30">
        <v>0</v>
      </c>
      <c r="D7" s="30">
        <v>0</v>
      </c>
      <c r="E7" s="30">
        <v>0</v>
      </c>
      <c r="F7" s="30">
        <v>0</v>
      </c>
      <c r="G7" s="31">
        <f>SUM(AK_FINANCIAL)</f>
        <v>0</v>
      </c>
      <c r="H7" s="30"/>
      <c r="I7" s="32"/>
      <c r="J7" s="33"/>
      <c r="K7" s="30"/>
      <c r="L7" s="29"/>
      <c r="M7" s="30"/>
      <c r="N7" s="30"/>
      <c r="O7" s="30"/>
      <c r="P7" s="30"/>
      <c r="Q7" s="30"/>
      <c r="R7" s="30"/>
      <c r="S7" s="30"/>
      <c r="T7" s="30"/>
      <c r="U7" s="30"/>
      <c r="V7" s="31"/>
    </row>
    <row r="8" spans="1:22">
      <c r="A8" s="1" t="s">
        <v>13</v>
      </c>
      <c r="B8" s="29">
        <v>0</v>
      </c>
      <c r="C8" s="30">
        <v>0</v>
      </c>
      <c r="D8" s="30">
        <v>91659.906084243907</v>
      </c>
      <c r="E8" s="30">
        <v>0</v>
      </c>
      <c r="F8" s="30">
        <v>0</v>
      </c>
      <c r="G8" s="31">
        <f>SUM(AZ_FINANCIAL)</f>
        <v>91659.906084243907</v>
      </c>
      <c r="H8" s="30"/>
      <c r="I8" s="34" t="s">
        <v>14</v>
      </c>
      <c r="J8" s="35"/>
      <c r="K8" s="30"/>
      <c r="L8" s="29"/>
      <c r="M8" s="30"/>
      <c r="N8" s="30"/>
      <c r="O8" s="30"/>
      <c r="P8" s="30"/>
      <c r="Q8" s="30"/>
      <c r="R8" s="30"/>
      <c r="S8" s="30"/>
      <c r="T8" s="30"/>
      <c r="U8" s="30"/>
      <c r="V8" s="31"/>
    </row>
    <row r="9" spans="1:22">
      <c r="A9" s="1" t="s">
        <v>15</v>
      </c>
      <c r="B9" s="29">
        <v>0</v>
      </c>
      <c r="C9" s="30">
        <v>0</v>
      </c>
      <c r="D9" s="30">
        <v>65653.547622259473</v>
      </c>
      <c r="E9" s="30">
        <v>0</v>
      </c>
      <c r="F9" s="30">
        <v>0</v>
      </c>
      <c r="G9" s="31">
        <f>SUM(AR_FINANCIAL)</f>
        <v>65653.547622259473</v>
      </c>
      <c r="H9" s="30"/>
      <c r="I9" s="34"/>
      <c r="J9" s="35"/>
      <c r="K9" s="30"/>
      <c r="L9" s="29">
        <v>0</v>
      </c>
      <c r="M9" s="30">
        <v>0</v>
      </c>
      <c r="N9" s="30"/>
      <c r="O9" s="30">
        <v>0</v>
      </c>
      <c r="P9" s="30">
        <v>0</v>
      </c>
      <c r="Q9" s="30"/>
      <c r="R9" s="30">
        <v>70294</v>
      </c>
      <c r="S9" s="30">
        <v>0</v>
      </c>
      <c r="T9" s="30"/>
      <c r="U9" s="30">
        <v>0</v>
      </c>
      <c r="V9" s="31">
        <v>0</v>
      </c>
    </row>
    <row r="10" spans="1:22">
      <c r="A10" s="1" t="s">
        <v>16</v>
      </c>
      <c r="B10" s="29">
        <v>0</v>
      </c>
      <c r="C10" s="30">
        <v>0</v>
      </c>
      <c r="D10" s="30">
        <v>0</v>
      </c>
      <c r="E10" s="30">
        <v>0</v>
      </c>
      <c r="F10" s="30">
        <v>0</v>
      </c>
      <c r="G10" s="31">
        <f>SUM(CA_FINANCIAL)</f>
        <v>0</v>
      </c>
      <c r="H10" s="30"/>
      <c r="I10" s="34" t="s">
        <v>17</v>
      </c>
      <c r="J10" s="35">
        <v>2552388</v>
      </c>
      <c r="K10" s="30"/>
      <c r="L10" s="29"/>
      <c r="M10" s="30"/>
      <c r="N10" s="30"/>
      <c r="O10" s="30"/>
      <c r="P10" s="30"/>
      <c r="Q10" s="30"/>
      <c r="R10" s="30"/>
      <c r="S10" s="30"/>
      <c r="T10" s="30"/>
      <c r="U10" s="30"/>
      <c r="V10" s="31"/>
    </row>
    <row r="11" spans="1:22">
      <c r="A11" s="1" t="s">
        <v>18</v>
      </c>
      <c r="B11" s="29">
        <v>0</v>
      </c>
      <c r="C11" s="30">
        <v>0</v>
      </c>
      <c r="D11" s="30">
        <v>-16736.376104086317</v>
      </c>
      <c r="E11" s="30">
        <v>0</v>
      </c>
      <c r="F11" s="30">
        <v>0</v>
      </c>
      <c r="G11" s="31">
        <f>SUM(CO_FINANCIAL)</f>
        <v>-16736.376104086317</v>
      </c>
      <c r="H11" s="30"/>
      <c r="I11" s="34"/>
      <c r="J11" s="35"/>
      <c r="K11" s="30"/>
      <c r="L11" s="29">
        <v>0</v>
      </c>
      <c r="M11" s="30">
        <v>0</v>
      </c>
      <c r="N11" s="30"/>
      <c r="O11" s="30">
        <v>0</v>
      </c>
      <c r="P11" s="30">
        <v>0</v>
      </c>
      <c r="Q11" s="30"/>
      <c r="R11" s="30">
        <v>369296</v>
      </c>
      <c r="S11" s="30">
        <v>0</v>
      </c>
      <c r="T11" s="30"/>
      <c r="U11" s="30">
        <v>0</v>
      </c>
      <c r="V11" s="31">
        <v>0</v>
      </c>
    </row>
    <row r="12" spans="1:22">
      <c r="A12" s="1" t="s">
        <v>19</v>
      </c>
      <c r="B12" s="29">
        <v>0</v>
      </c>
      <c r="C12" s="30">
        <v>0</v>
      </c>
      <c r="D12" s="30">
        <v>0</v>
      </c>
      <c r="E12" s="30">
        <v>0</v>
      </c>
      <c r="F12" s="30">
        <v>0</v>
      </c>
      <c r="G12" s="31">
        <f>SUM(CT_FINANCIAL)</f>
        <v>0</v>
      </c>
      <c r="H12" s="30"/>
      <c r="I12" s="34" t="s">
        <v>20</v>
      </c>
      <c r="J12" s="35"/>
      <c r="K12" s="30"/>
      <c r="L12" s="29"/>
      <c r="M12" s="30"/>
      <c r="N12" s="30"/>
      <c r="O12" s="30"/>
      <c r="P12" s="30"/>
      <c r="Q12" s="30"/>
      <c r="R12" s="30"/>
      <c r="S12" s="30"/>
      <c r="T12" s="30"/>
      <c r="U12" s="30"/>
      <c r="V12" s="31"/>
    </row>
    <row r="13" spans="1:22">
      <c r="A13" s="1" t="s">
        <v>21</v>
      </c>
      <c r="B13" s="29">
        <v>0</v>
      </c>
      <c r="C13" s="30">
        <v>0</v>
      </c>
      <c r="D13" s="30">
        <v>8434.2673074472223</v>
      </c>
      <c r="E13" s="30">
        <v>0</v>
      </c>
      <c r="F13" s="30">
        <v>0</v>
      </c>
      <c r="G13" s="31">
        <f>SUM(DE_FINANCIAL)</f>
        <v>8434.2673074472223</v>
      </c>
      <c r="H13" s="30"/>
      <c r="I13" s="34" t="s">
        <v>22</v>
      </c>
      <c r="J13" s="35">
        <v>91271</v>
      </c>
      <c r="K13" s="30"/>
      <c r="L13" s="29"/>
      <c r="M13" s="30"/>
      <c r="N13" s="30"/>
      <c r="O13" s="30"/>
      <c r="P13" s="30"/>
      <c r="Q13" s="30"/>
      <c r="R13" s="30"/>
      <c r="S13" s="30"/>
      <c r="T13" s="30"/>
      <c r="U13" s="30"/>
      <c r="V13" s="31"/>
    </row>
    <row r="14" spans="1:22">
      <c r="A14" s="1" t="s">
        <v>23</v>
      </c>
      <c r="B14" s="29">
        <v>0</v>
      </c>
      <c r="C14" s="30">
        <v>0</v>
      </c>
      <c r="D14" s="30">
        <v>0</v>
      </c>
      <c r="E14" s="30">
        <v>0</v>
      </c>
      <c r="F14" s="30">
        <v>0</v>
      </c>
      <c r="G14" s="31">
        <f>SUM(DC_FINANCIAL)</f>
        <v>0</v>
      </c>
      <c r="H14" s="30"/>
      <c r="I14" s="34" t="s">
        <v>24</v>
      </c>
      <c r="J14" s="35">
        <v>3003885</v>
      </c>
      <c r="K14" s="30"/>
      <c r="L14" s="29"/>
      <c r="M14" s="30"/>
      <c r="N14" s="30"/>
      <c r="O14" s="30"/>
      <c r="P14" s="30"/>
      <c r="Q14" s="30"/>
      <c r="R14" s="30"/>
      <c r="S14" s="30"/>
      <c r="T14" s="30"/>
      <c r="U14" s="30"/>
      <c r="V14" s="31"/>
    </row>
    <row r="15" spans="1:22">
      <c r="A15" s="1" t="s">
        <v>25</v>
      </c>
      <c r="B15" s="29">
        <v>0</v>
      </c>
      <c r="C15" s="30">
        <v>0</v>
      </c>
      <c r="D15" s="30">
        <v>436825.42957053881</v>
      </c>
      <c r="E15" s="30">
        <v>0</v>
      </c>
      <c r="F15" s="30">
        <v>0</v>
      </c>
      <c r="G15" s="31">
        <f>SUM(FL_FINANCIAL)</f>
        <v>436825.42957053881</v>
      </c>
      <c r="H15" s="30"/>
      <c r="I15" s="34" t="s">
        <v>26</v>
      </c>
      <c r="J15" s="35">
        <v>1905625.3900000001</v>
      </c>
      <c r="K15" s="30"/>
      <c r="L15" s="29"/>
      <c r="M15" s="30"/>
      <c r="N15" s="30"/>
      <c r="O15" s="30"/>
      <c r="P15" s="30"/>
      <c r="Q15" s="30"/>
      <c r="R15" s="30"/>
      <c r="S15" s="30"/>
      <c r="T15" s="30"/>
      <c r="U15" s="30"/>
      <c r="V15" s="31"/>
    </row>
    <row r="16" spans="1:22">
      <c r="A16" s="1" t="s">
        <v>27</v>
      </c>
      <c r="B16" s="29">
        <v>0</v>
      </c>
      <c r="C16" s="30">
        <v>0</v>
      </c>
      <c r="D16" s="30">
        <v>1478303.1205221065</v>
      </c>
      <c r="E16" s="30">
        <v>0</v>
      </c>
      <c r="F16" s="30">
        <v>0</v>
      </c>
      <c r="G16" s="31">
        <f>SUM(GA_FINANCIAL)</f>
        <v>1478303.1205221065</v>
      </c>
      <c r="H16" s="30"/>
      <c r="I16" s="34" t="s">
        <v>28</v>
      </c>
      <c r="J16" s="35">
        <v>0</v>
      </c>
      <c r="K16" s="30"/>
      <c r="L16" s="29">
        <v>0</v>
      </c>
      <c r="M16" s="30">
        <v>0</v>
      </c>
      <c r="N16" s="30"/>
      <c r="O16" s="30">
        <v>0</v>
      </c>
      <c r="P16" s="30">
        <v>0</v>
      </c>
      <c r="Q16" s="30"/>
      <c r="R16" s="30">
        <v>1448000</v>
      </c>
      <c r="S16" s="30">
        <v>0</v>
      </c>
      <c r="T16" s="30"/>
      <c r="U16" s="30">
        <v>0</v>
      </c>
      <c r="V16" s="31">
        <v>0</v>
      </c>
    </row>
    <row r="17" spans="1:22">
      <c r="A17" s="1" t="s">
        <v>29</v>
      </c>
      <c r="B17" s="29">
        <v>0</v>
      </c>
      <c r="C17" s="30">
        <v>0</v>
      </c>
      <c r="D17" s="30">
        <v>0</v>
      </c>
      <c r="E17" s="30">
        <v>0</v>
      </c>
      <c r="F17" s="30">
        <v>0</v>
      </c>
      <c r="G17" s="31">
        <f>SUM(HI_FINANCIAL)</f>
        <v>0</v>
      </c>
      <c r="H17" s="30"/>
      <c r="I17" s="34"/>
      <c r="J17" s="35"/>
      <c r="K17" s="30"/>
      <c r="L17" s="29"/>
      <c r="M17" s="30"/>
      <c r="N17" s="30"/>
      <c r="O17" s="30"/>
      <c r="P17" s="30"/>
      <c r="Q17" s="30"/>
      <c r="R17" s="30"/>
      <c r="S17" s="30"/>
      <c r="T17" s="30"/>
      <c r="U17" s="30"/>
      <c r="V17" s="31"/>
    </row>
    <row r="18" spans="1:22">
      <c r="A18" s="1" t="s">
        <v>30</v>
      </c>
      <c r="B18" s="29">
        <v>0</v>
      </c>
      <c r="C18" s="30">
        <v>0</v>
      </c>
      <c r="D18" s="30">
        <v>29909.155286885987</v>
      </c>
      <c r="E18" s="30">
        <v>0</v>
      </c>
      <c r="F18" s="30">
        <v>0</v>
      </c>
      <c r="G18" s="31">
        <f>SUM(ID_FINANCIAL)</f>
        <v>29909.155286885987</v>
      </c>
      <c r="H18" s="30"/>
      <c r="I18" s="34" t="s">
        <v>31</v>
      </c>
      <c r="J18" s="35"/>
      <c r="K18" s="30"/>
      <c r="L18" s="29">
        <v>0</v>
      </c>
      <c r="M18" s="30">
        <v>0</v>
      </c>
      <c r="N18" s="30"/>
      <c r="O18" s="30">
        <v>0</v>
      </c>
      <c r="P18" s="30">
        <v>0</v>
      </c>
      <c r="Q18" s="30"/>
      <c r="R18" s="30">
        <v>43000</v>
      </c>
      <c r="S18" s="30">
        <v>0</v>
      </c>
      <c r="T18" s="30"/>
      <c r="U18" s="30">
        <v>0</v>
      </c>
      <c r="V18" s="31">
        <v>0</v>
      </c>
    </row>
    <row r="19" spans="1:22">
      <c r="A19" s="1" t="s">
        <v>32</v>
      </c>
      <c r="B19" s="29">
        <v>0</v>
      </c>
      <c r="C19" s="30">
        <v>0</v>
      </c>
      <c r="D19" s="30">
        <v>0</v>
      </c>
      <c r="E19" s="30">
        <v>0</v>
      </c>
      <c r="F19" s="30">
        <v>0</v>
      </c>
      <c r="G19" s="31">
        <f>SUM(IL_FINANCIAL)</f>
        <v>0</v>
      </c>
      <c r="H19" s="30"/>
      <c r="I19" s="34" t="s">
        <v>33</v>
      </c>
      <c r="J19" s="35">
        <v>0</v>
      </c>
      <c r="K19" s="30"/>
      <c r="L19" s="29"/>
      <c r="M19" s="30"/>
      <c r="N19" s="30"/>
      <c r="O19" s="30"/>
      <c r="P19" s="30"/>
      <c r="Q19" s="30"/>
      <c r="R19" s="30"/>
      <c r="S19" s="30"/>
      <c r="T19" s="30"/>
      <c r="U19" s="30"/>
      <c r="V19" s="31"/>
    </row>
    <row r="20" spans="1:22">
      <c r="A20" s="1" t="s">
        <v>34</v>
      </c>
      <c r="B20" s="29">
        <v>0</v>
      </c>
      <c r="C20" s="30">
        <v>0</v>
      </c>
      <c r="D20" s="30">
        <v>0</v>
      </c>
      <c r="E20" s="30">
        <v>0</v>
      </c>
      <c r="F20" s="30">
        <v>0</v>
      </c>
      <c r="G20" s="31">
        <f>SUM(IN_FINANCIAL)</f>
        <v>0</v>
      </c>
      <c r="H20" s="30"/>
      <c r="I20" s="34" t="s">
        <v>35</v>
      </c>
      <c r="J20" s="35">
        <v>28022</v>
      </c>
      <c r="K20" s="30"/>
      <c r="L20" s="29"/>
      <c r="M20" s="30"/>
      <c r="N20" s="30"/>
      <c r="O20" s="30"/>
      <c r="P20" s="30"/>
      <c r="Q20" s="30"/>
      <c r="R20" s="30"/>
      <c r="S20" s="30"/>
      <c r="T20" s="30"/>
      <c r="U20" s="30"/>
      <c r="V20" s="31"/>
    </row>
    <row r="21" spans="1:22">
      <c r="A21" s="1" t="s">
        <v>36</v>
      </c>
      <c r="B21" s="29">
        <v>0</v>
      </c>
      <c r="C21" s="30">
        <v>0</v>
      </c>
      <c r="D21" s="30">
        <v>0</v>
      </c>
      <c r="E21" s="30">
        <v>0</v>
      </c>
      <c r="F21" s="30">
        <v>0</v>
      </c>
      <c r="G21" s="31">
        <f>SUM(IA_FINANCIAL)</f>
        <v>0</v>
      </c>
      <c r="H21" s="30"/>
      <c r="I21" s="34" t="s">
        <v>37</v>
      </c>
      <c r="J21" s="35"/>
      <c r="K21" s="30"/>
      <c r="L21" s="29"/>
      <c r="M21" s="30"/>
      <c r="N21" s="30"/>
      <c r="O21" s="30"/>
      <c r="P21" s="30"/>
      <c r="Q21" s="30"/>
      <c r="R21" s="30"/>
      <c r="S21" s="30"/>
      <c r="T21" s="30"/>
      <c r="U21" s="30"/>
      <c r="V21" s="31"/>
    </row>
    <row r="22" spans="1:22">
      <c r="A22" s="1" t="s">
        <v>38</v>
      </c>
      <c r="B22" s="29">
        <v>0</v>
      </c>
      <c r="C22" s="30">
        <v>0</v>
      </c>
      <c r="D22" s="30">
        <v>118.86244268478947</v>
      </c>
      <c r="E22" s="30">
        <v>0</v>
      </c>
      <c r="F22" s="30">
        <v>0</v>
      </c>
      <c r="G22" s="31">
        <f>SUM(KS_FINANCIAL)</f>
        <v>118.86244268478947</v>
      </c>
      <c r="H22" s="30"/>
      <c r="I22" s="34" t="s">
        <v>39</v>
      </c>
      <c r="J22" s="35">
        <v>0</v>
      </c>
      <c r="K22" s="30"/>
      <c r="L22" s="29"/>
      <c r="M22" s="30"/>
      <c r="N22" s="30"/>
      <c r="O22" s="30"/>
      <c r="P22" s="30"/>
      <c r="Q22" s="30"/>
      <c r="R22" s="30"/>
      <c r="S22" s="30"/>
      <c r="T22" s="30"/>
      <c r="U22" s="30"/>
      <c r="V22" s="31"/>
    </row>
    <row r="23" spans="1:22">
      <c r="A23" s="1" t="s">
        <v>40</v>
      </c>
      <c r="B23" s="29">
        <v>0</v>
      </c>
      <c r="C23" s="30">
        <v>0</v>
      </c>
      <c r="D23" s="30">
        <v>0</v>
      </c>
      <c r="E23" s="30">
        <v>0</v>
      </c>
      <c r="F23" s="30">
        <v>0</v>
      </c>
      <c r="G23" s="31">
        <f>SUM(KY_FINANCIAL)</f>
        <v>0</v>
      </c>
      <c r="H23" s="30"/>
      <c r="I23" s="34" t="s">
        <v>41</v>
      </c>
      <c r="J23" s="35"/>
      <c r="K23" s="30"/>
      <c r="L23" s="29"/>
      <c r="M23" s="30"/>
      <c r="N23" s="30"/>
      <c r="O23" s="30"/>
      <c r="P23" s="30"/>
      <c r="Q23" s="30"/>
      <c r="R23" s="30"/>
      <c r="S23" s="30"/>
      <c r="T23" s="30"/>
      <c r="U23" s="30"/>
      <c r="V23" s="31"/>
    </row>
    <row r="24" spans="1:22">
      <c r="A24" s="1" t="s">
        <v>42</v>
      </c>
      <c r="B24" s="29">
        <v>0</v>
      </c>
      <c r="C24" s="30">
        <v>0</v>
      </c>
      <c r="D24" s="30">
        <v>240962.46322192441</v>
      </c>
      <c r="E24" s="30">
        <v>0</v>
      </c>
      <c r="F24" s="30">
        <v>0</v>
      </c>
      <c r="G24" s="31">
        <f>SUM(LA_FINANCIAL)</f>
        <v>240962.46322192441</v>
      </c>
      <c r="H24" s="30"/>
      <c r="I24" s="34" t="s">
        <v>43</v>
      </c>
      <c r="J24" s="35">
        <v>2587048</v>
      </c>
      <c r="K24" s="30"/>
      <c r="L24" s="29">
        <v>226286</v>
      </c>
      <c r="M24" s="30">
        <v>0</v>
      </c>
      <c r="N24" s="30"/>
      <c r="O24" s="30">
        <v>0</v>
      </c>
      <c r="P24" s="30">
        <v>0</v>
      </c>
      <c r="Q24" s="30"/>
      <c r="R24" s="30">
        <v>378714</v>
      </c>
      <c r="S24" s="30">
        <v>0</v>
      </c>
      <c r="T24" s="30"/>
      <c r="U24" s="30">
        <v>0</v>
      </c>
      <c r="V24" s="31">
        <v>0</v>
      </c>
    </row>
    <row r="25" spans="1:22">
      <c r="A25" s="1" t="s">
        <v>44</v>
      </c>
      <c r="B25" s="29">
        <v>0</v>
      </c>
      <c r="C25" s="30">
        <v>0</v>
      </c>
      <c r="D25" s="30">
        <v>0</v>
      </c>
      <c r="E25" s="30">
        <v>0</v>
      </c>
      <c r="F25" s="30">
        <v>0</v>
      </c>
      <c r="G25" s="31">
        <f>SUM(ME_FINANCIAL)</f>
        <v>0</v>
      </c>
      <c r="H25" s="30"/>
      <c r="I25" s="34"/>
      <c r="J25" s="35"/>
      <c r="K25" s="30"/>
      <c r="L25" s="29"/>
      <c r="M25" s="30"/>
      <c r="N25" s="30"/>
      <c r="O25" s="30"/>
      <c r="P25" s="30"/>
      <c r="Q25" s="30"/>
      <c r="R25" s="30"/>
      <c r="S25" s="30"/>
      <c r="T25" s="30"/>
      <c r="U25" s="30"/>
      <c r="V25" s="31"/>
    </row>
    <row r="26" spans="1:22">
      <c r="A26" s="1" t="s">
        <v>45</v>
      </c>
      <c r="B26" s="29">
        <v>0</v>
      </c>
      <c r="C26" s="30">
        <v>0</v>
      </c>
      <c r="D26" s="30">
        <v>0</v>
      </c>
      <c r="E26" s="30">
        <v>0</v>
      </c>
      <c r="F26" s="30">
        <v>0</v>
      </c>
      <c r="G26" s="31">
        <f>SUM(MD_FINANCIAL)</f>
        <v>0</v>
      </c>
      <c r="H26" s="30"/>
      <c r="I26" s="34" t="s">
        <v>46</v>
      </c>
      <c r="J26" s="35">
        <f>SUM(ADD_FINANCIAL)-SUM(LESS_FINANCIAL)</f>
        <v>4938099.3900000006</v>
      </c>
      <c r="K26" s="30"/>
      <c r="L26" s="29"/>
      <c r="M26" s="30"/>
      <c r="N26" s="30"/>
      <c r="O26" s="30"/>
      <c r="P26" s="30"/>
      <c r="Q26" s="30"/>
      <c r="R26" s="30"/>
      <c r="S26" s="30"/>
      <c r="T26" s="30"/>
      <c r="U26" s="30"/>
      <c r="V26" s="31"/>
    </row>
    <row r="27" spans="1:22">
      <c r="A27" s="1" t="s">
        <v>47</v>
      </c>
      <c r="B27" s="29">
        <v>0</v>
      </c>
      <c r="C27" s="30">
        <v>0</v>
      </c>
      <c r="D27" s="30">
        <v>0</v>
      </c>
      <c r="E27" s="30">
        <v>0</v>
      </c>
      <c r="F27" s="30">
        <v>0</v>
      </c>
      <c r="G27" s="31">
        <f>SUM(MA_FINANCIAL)</f>
        <v>0</v>
      </c>
      <c r="H27" s="30"/>
      <c r="I27" s="34" t="s">
        <v>48</v>
      </c>
      <c r="J27" s="35">
        <f>SUM(ALL_BLOCKS)</f>
        <v>4938099.3900000006</v>
      </c>
      <c r="K27" s="30"/>
      <c r="L27" s="29"/>
      <c r="M27" s="30"/>
      <c r="N27" s="30"/>
      <c r="O27" s="30"/>
      <c r="P27" s="30"/>
      <c r="Q27" s="30"/>
      <c r="R27" s="30"/>
      <c r="S27" s="30"/>
      <c r="T27" s="30"/>
      <c r="U27" s="30"/>
      <c r="V27" s="31"/>
    </row>
    <row r="28" spans="1:22">
      <c r="A28" s="1" t="s">
        <v>49</v>
      </c>
      <c r="B28" s="29">
        <v>0</v>
      </c>
      <c r="C28" s="30">
        <v>0</v>
      </c>
      <c r="D28" s="30">
        <v>0</v>
      </c>
      <c r="E28" s="30">
        <v>0</v>
      </c>
      <c r="F28" s="30">
        <v>0</v>
      </c>
      <c r="G28" s="31">
        <f>SUM(MI_FINANCIAL)</f>
        <v>0</v>
      </c>
      <c r="H28" s="30"/>
      <c r="I28" s="36"/>
      <c r="J28" s="37"/>
      <c r="K28" s="30"/>
      <c r="L28" s="29"/>
      <c r="M28" s="30"/>
      <c r="N28" s="30"/>
      <c r="O28" s="30"/>
      <c r="P28" s="30"/>
      <c r="Q28" s="30"/>
      <c r="R28" s="30"/>
      <c r="S28" s="30"/>
      <c r="T28" s="30"/>
      <c r="U28" s="30"/>
      <c r="V28" s="31"/>
    </row>
    <row r="29" spans="1:22">
      <c r="A29" s="1" t="s">
        <v>50</v>
      </c>
      <c r="B29" s="29">
        <v>0</v>
      </c>
      <c r="C29" s="30">
        <v>0</v>
      </c>
      <c r="D29" s="30">
        <v>0</v>
      </c>
      <c r="E29" s="30">
        <v>0</v>
      </c>
      <c r="F29" s="30">
        <v>0</v>
      </c>
      <c r="G29" s="31">
        <f>SUM(MN_FINANCIAL)</f>
        <v>0</v>
      </c>
      <c r="H29" s="30"/>
      <c r="I29" s="30"/>
      <c r="J29" s="30"/>
      <c r="K29" s="30"/>
      <c r="L29" s="29"/>
      <c r="M29" s="30"/>
      <c r="N29" s="30"/>
      <c r="O29" s="30"/>
      <c r="P29" s="30"/>
      <c r="Q29" s="30"/>
      <c r="R29" s="30"/>
      <c r="S29" s="30"/>
      <c r="T29" s="30"/>
      <c r="U29" s="30"/>
      <c r="V29" s="31"/>
    </row>
    <row r="30" spans="1:22">
      <c r="A30" s="1" t="s">
        <v>51</v>
      </c>
      <c r="B30" s="29">
        <v>0</v>
      </c>
      <c r="C30" s="30">
        <v>0</v>
      </c>
      <c r="D30" s="30">
        <v>232585.5065187671</v>
      </c>
      <c r="E30" s="30">
        <v>0</v>
      </c>
      <c r="F30" s="30">
        <v>0</v>
      </c>
      <c r="G30" s="31">
        <f>SUM(MS_FINANCIAL)</f>
        <v>232585.5065187671</v>
      </c>
      <c r="H30" s="30"/>
      <c r="I30" s="30"/>
      <c r="J30" s="30"/>
      <c r="K30" s="30"/>
      <c r="L30" s="29"/>
      <c r="M30" s="30"/>
      <c r="N30" s="30"/>
      <c r="O30" s="30"/>
      <c r="P30" s="30"/>
      <c r="Q30" s="30"/>
      <c r="R30" s="30"/>
      <c r="S30" s="30"/>
      <c r="T30" s="30"/>
      <c r="U30" s="30"/>
      <c r="V30" s="31"/>
    </row>
    <row r="31" spans="1:22">
      <c r="A31" s="1" t="s">
        <v>52</v>
      </c>
      <c r="B31" s="29">
        <v>0</v>
      </c>
      <c r="C31" s="30">
        <v>0</v>
      </c>
      <c r="D31" s="30">
        <v>0</v>
      </c>
      <c r="E31" s="30">
        <v>0</v>
      </c>
      <c r="F31" s="30">
        <v>0</v>
      </c>
      <c r="G31" s="31">
        <f>SUM(MO_FINANCIAL)</f>
        <v>0</v>
      </c>
      <c r="H31" s="30"/>
      <c r="I31" s="30"/>
      <c r="J31" s="30"/>
      <c r="K31" s="30"/>
      <c r="L31" s="29"/>
      <c r="M31" s="30"/>
      <c r="N31" s="30"/>
      <c r="O31" s="30"/>
      <c r="P31" s="30"/>
      <c r="Q31" s="30"/>
      <c r="R31" s="30"/>
      <c r="S31" s="30"/>
      <c r="T31" s="30"/>
      <c r="U31" s="30"/>
      <c r="V31" s="31"/>
    </row>
    <row r="32" spans="1:22">
      <c r="A32" s="1" t="s">
        <v>53</v>
      </c>
      <c r="B32" s="29">
        <v>0</v>
      </c>
      <c r="C32" s="30">
        <v>0</v>
      </c>
      <c r="D32" s="30">
        <v>10358.88129907998</v>
      </c>
      <c r="E32" s="30">
        <v>0</v>
      </c>
      <c r="F32" s="30">
        <v>0</v>
      </c>
      <c r="G32" s="31">
        <f>SUM(MT_FINANCIAL)</f>
        <v>10358.88129907998</v>
      </c>
      <c r="H32" s="30"/>
      <c r="I32" s="30"/>
      <c r="J32" s="30"/>
      <c r="K32" s="30"/>
      <c r="L32" s="29"/>
      <c r="M32" s="30"/>
      <c r="N32" s="30"/>
      <c r="O32" s="30"/>
      <c r="P32" s="30"/>
      <c r="Q32" s="30"/>
      <c r="R32" s="30"/>
      <c r="S32" s="30"/>
      <c r="T32" s="30"/>
      <c r="U32" s="30"/>
      <c r="V32" s="31"/>
    </row>
    <row r="33" spans="1:22">
      <c r="A33" s="1" t="s">
        <v>54</v>
      </c>
      <c r="B33" s="29">
        <v>0</v>
      </c>
      <c r="C33" s="30">
        <v>0</v>
      </c>
      <c r="D33" s="30">
        <v>27787.428321162752</v>
      </c>
      <c r="E33" s="30">
        <v>0</v>
      </c>
      <c r="F33" s="30">
        <v>0</v>
      </c>
      <c r="G33" s="31">
        <f>SUM(NE_FINANCIAL)</f>
        <v>27787.428321162752</v>
      </c>
      <c r="H33" s="30"/>
      <c r="I33" s="30"/>
      <c r="J33" s="30"/>
      <c r="K33" s="30"/>
      <c r="L33" s="29"/>
      <c r="M33" s="30"/>
      <c r="N33" s="30"/>
      <c r="O33" s="30"/>
      <c r="P33" s="30"/>
      <c r="Q33" s="30"/>
      <c r="R33" s="30"/>
      <c r="S33" s="30"/>
      <c r="T33" s="30"/>
      <c r="U33" s="30"/>
      <c r="V33" s="31"/>
    </row>
    <row r="34" spans="1:22">
      <c r="A34" s="1" t="s">
        <v>55</v>
      </c>
      <c r="B34" s="29">
        <v>0</v>
      </c>
      <c r="C34" s="30">
        <v>0</v>
      </c>
      <c r="D34" s="30">
        <v>922.25532764664354</v>
      </c>
      <c r="E34" s="30">
        <v>0</v>
      </c>
      <c r="F34" s="30">
        <v>0</v>
      </c>
      <c r="G34" s="31">
        <f>SUM(NV_FINANCIAL)</f>
        <v>922.25532764664354</v>
      </c>
      <c r="H34" s="30"/>
      <c r="I34" s="30"/>
      <c r="J34" s="30"/>
      <c r="K34" s="30"/>
      <c r="L34" s="29"/>
      <c r="M34" s="30"/>
      <c r="N34" s="30"/>
      <c r="O34" s="30"/>
      <c r="P34" s="30"/>
      <c r="Q34" s="30"/>
      <c r="R34" s="30"/>
      <c r="S34" s="30"/>
      <c r="T34" s="30"/>
      <c r="U34" s="30"/>
      <c r="V34" s="31"/>
    </row>
    <row r="35" spans="1:22">
      <c r="A35" s="1" t="s">
        <v>56</v>
      </c>
      <c r="B35" s="29">
        <v>0</v>
      </c>
      <c r="C35" s="30">
        <v>0</v>
      </c>
      <c r="D35" s="30">
        <v>0</v>
      </c>
      <c r="E35" s="30">
        <v>0</v>
      </c>
      <c r="F35" s="30">
        <v>0</v>
      </c>
      <c r="G35" s="31">
        <f>SUM(NH_FINANCIAL)</f>
        <v>0</v>
      </c>
      <c r="H35" s="30"/>
      <c r="I35" s="30"/>
      <c r="J35" s="30"/>
      <c r="K35" s="30"/>
      <c r="L35" s="29"/>
      <c r="M35" s="30"/>
      <c r="N35" s="30"/>
      <c r="O35" s="30"/>
      <c r="P35" s="30"/>
      <c r="Q35" s="30"/>
      <c r="R35" s="30"/>
      <c r="S35" s="30"/>
      <c r="T35" s="30"/>
      <c r="U35" s="30"/>
      <c r="V35" s="31"/>
    </row>
    <row r="36" spans="1:22">
      <c r="A36" s="1" t="s">
        <v>57</v>
      </c>
      <c r="B36" s="29">
        <v>0</v>
      </c>
      <c r="C36" s="30">
        <v>0</v>
      </c>
      <c r="D36" s="30">
        <v>0</v>
      </c>
      <c r="E36" s="30">
        <v>0</v>
      </c>
      <c r="F36" s="30">
        <v>0</v>
      </c>
      <c r="G36" s="31">
        <f>SUM(NJ_FINANCIAL)</f>
        <v>0</v>
      </c>
      <c r="H36" s="30"/>
      <c r="I36" s="30"/>
      <c r="J36" s="30"/>
      <c r="K36" s="30"/>
      <c r="L36" s="29"/>
      <c r="M36" s="30"/>
      <c r="N36" s="30"/>
      <c r="O36" s="30"/>
      <c r="P36" s="30"/>
      <c r="Q36" s="30"/>
      <c r="R36" s="30"/>
      <c r="S36" s="30"/>
      <c r="T36" s="30"/>
      <c r="U36" s="30"/>
      <c r="V36" s="31"/>
    </row>
    <row r="37" spans="1:22">
      <c r="A37" s="1" t="s">
        <v>58</v>
      </c>
      <c r="B37" s="29">
        <v>0</v>
      </c>
      <c r="C37" s="30">
        <v>0</v>
      </c>
      <c r="D37" s="30">
        <v>-84812.560231952055</v>
      </c>
      <c r="E37" s="30">
        <v>0</v>
      </c>
      <c r="F37" s="30">
        <v>0</v>
      </c>
      <c r="G37" s="31">
        <f>SUM(NM_FINANCIAL)</f>
        <v>-84812.560231952055</v>
      </c>
      <c r="H37" s="30"/>
      <c r="I37" s="30"/>
      <c r="J37" s="30"/>
      <c r="K37" s="30"/>
      <c r="L37" s="29"/>
      <c r="M37" s="30"/>
      <c r="N37" s="30"/>
      <c r="O37" s="30"/>
      <c r="P37" s="30"/>
      <c r="Q37" s="30"/>
      <c r="R37" s="30"/>
      <c r="S37" s="30"/>
      <c r="T37" s="30"/>
      <c r="U37" s="30"/>
      <c r="V37" s="31"/>
    </row>
    <row r="38" spans="1:22">
      <c r="A38" s="1" t="s">
        <v>59</v>
      </c>
      <c r="B38" s="29">
        <v>0</v>
      </c>
      <c r="C38" s="30">
        <v>0</v>
      </c>
      <c r="D38" s="30">
        <v>0</v>
      </c>
      <c r="E38" s="30">
        <v>0</v>
      </c>
      <c r="F38" s="30">
        <v>0</v>
      </c>
      <c r="G38" s="31">
        <f>SUM(NY_FINANCIAL)</f>
        <v>0</v>
      </c>
      <c r="H38" s="30"/>
      <c r="I38" s="30"/>
      <c r="J38" s="30"/>
      <c r="K38" s="30"/>
      <c r="L38" s="29"/>
      <c r="M38" s="30"/>
      <c r="N38" s="30"/>
      <c r="O38" s="30"/>
      <c r="P38" s="30"/>
      <c r="Q38" s="30"/>
      <c r="R38" s="30"/>
      <c r="S38" s="30"/>
      <c r="T38" s="30"/>
      <c r="U38" s="30"/>
      <c r="V38" s="31"/>
    </row>
    <row r="39" spans="1:22">
      <c r="A39" s="1" t="s">
        <v>60</v>
      </c>
      <c r="B39" s="29">
        <v>0</v>
      </c>
      <c r="C39" s="30">
        <v>0</v>
      </c>
      <c r="D39" s="30">
        <v>0</v>
      </c>
      <c r="E39" s="30">
        <v>0</v>
      </c>
      <c r="F39" s="30">
        <v>0</v>
      </c>
      <c r="G39" s="31">
        <f>SUM(NC_FINANCIAL)</f>
        <v>0</v>
      </c>
      <c r="H39" s="30"/>
      <c r="I39" s="30"/>
      <c r="J39" s="30"/>
      <c r="K39" s="30"/>
      <c r="L39" s="29"/>
      <c r="M39" s="30"/>
      <c r="N39" s="30"/>
      <c r="O39" s="30"/>
      <c r="P39" s="30"/>
      <c r="Q39" s="30"/>
      <c r="R39" s="30"/>
      <c r="S39" s="30"/>
      <c r="T39" s="30"/>
      <c r="U39" s="30"/>
      <c r="V39" s="31"/>
    </row>
    <row r="40" spans="1:22">
      <c r="A40" s="1" t="s">
        <v>61</v>
      </c>
      <c r="B40" s="29">
        <v>0</v>
      </c>
      <c r="C40" s="30">
        <v>0</v>
      </c>
      <c r="D40" s="30">
        <v>0</v>
      </c>
      <c r="E40" s="30">
        <v>0</v>
      </c>
      <c r="F40" s="30">
        <v>0</v>
      </c>
      <c r="G40" s="31">
        <f>SUM(ND_FINANCIAL)</f>
        <v>0</v>
      </c>
      <c r="H40" s="30"/>
      <c r="I40" s="30"/>
      <c r="J40" s="30"/>
      <c r="K40" s="30"/>
      <c r="L40" s="29"/>
      <c r="M40" s="30"/>
      <c r="N40" s="30"/>
      <c r="O40" s="30"/>
      <c r="P40" s="30"/>
      <c r="Q40" s="30"/>
      <c r="R40" s="30"/>
      <c r="S40" s="30"/>
      <c r="T40" s="30"/>
      <c r="U40" s="30"/>
      <c r="V40" s="31"/>
    </row>
    <row r="41" spans="1:22">
      <c r="A41" s="1" t="s">
        <v>62</v>
      </c>
      <c r="B41" s="29">
        <v>0</v>
      </c>
      <c r="C41" s="30">
        <v>0</v>
      </c>
      <c r="D41" s="30">
        <v>17347.272248692942</v>
      </c>
      <c r="E41" s="30">
        <v>0</v>
      </c>
      <c r="F41" s="30">
        <v>0</v>
      </c>
      <c r="G41" s="31">
        <f>SUM(OH_FINANCIAL)</f>
        <v>17347.272248692942</v>
      </c>
      <c r="H41" s="30"/>
      <c r="I41" s="30"/>
      <c r="J41" s="30"/>
      <c r="K41" s="30"/>
      <c r="L41" s="29"/>
      <c r="M41" s="30"/>
      <c r="N41" s="30"/>
      <c r="O41" s="30"/>
      <c r="P41" s="30"/>
      <c r="Q41" s="30"/>
      <c r="R41" s="30"/>
      <c r="S41" s="30"/>
      <c r="T41" s="30"/>
      <c r="U41" s="30"/>
      <c r="V41" s="31"/>
    </row>
    <row r="42" spans="1:22">
      <c r="A42" s="1" t="s">
        <v>63</v>
      </c>
      <c r="B42" s="29">
        <v>0</v>
      </c>
      <c r="C42" s="30">
        <v>0</v>
      </c>
      <c r="D42" s="30">
        <v>156806.49962882433</v>
      </c>
      <c r="E42" s="30">
        <v>0</v>
      </c>
      <c r="F42" s="30">
        <v>0</v>
      </c>
      <c r="G42" s="31">
        <f>SUM(OK_FINANCIAL)</f>
        <v>156806.49962882433</v>
      </c>
      <c r="H42" s="30"/>
      <c r="I42" s="30"/>
      <c r="J42" s="30"/>
      <c r="K42" s="30"/>
      <c r="L42" s="29">
        <v>0</v>
      </c>
      <c r="M42" s="30">
        <v>0</v>
      </c>
      <c r="N42" s="30"/>
      <c r="O42" s="30">
        <v>0</v>
      </c>
      <c r="P42" s="30">
        <v>0</v>
      </c>
      <c r="Q42" s="30"/>
      <c r="R42" s="30">
        <v>200000</v>
      </c>
      <c r="S42" s="30">
        <v>0</v>
      </c>
      <c r="T42" s="30"/>
      <c r="U42" s="30">
        <v>0</v>
      </c>
      <c r="V42" s="31">
        <v>0</v>
      </c>
    </row>
    <row r="43" spans="1:22">
      <c r="A43" s="1" t="s">
        <v>64</v>
      </c>
      <c r="B43" s="29">
        <v>0</v>
      </c>
      <c r="C43" s="30">
        <v>0</v>
      </c>
      <c r="D43" s="30">
        <v>35308.614284625066</v>
      </c>
      <c r="E43" s="30">
        <v>0</v>
      </c>
      <c r="F43" s="30">
        <v>0</v>
      </c>
      <c r="G43" s="31">
        <f>SUM(OR_FINANCIAL)</f>
        <v>35308.614284625066</v>
      </c>
      <c r="H43" s="30"/>
      <c r="I43" s="30"/>
      <c r="J43" s="30"/>
      <c r="K43" s="30"/>
      <c r="L43" s="29"/>
      <c r="M43" s="30"/>
      <c r="N43" s="30"/>
      <c r="O43" s="30"/>
      <c r="P43" s="30"/>
      <c r="Q43" s="30"/>
      <c r="R43" s="30"/>
      <c r="S43" s="30"/>
      <c r="T43" s="30"/>
      <c r="U43" s="30"/>
      <c r="V43" s="31"/>
    </row>
    <row r="44" spans="1:22">
      <c r="A44" s="1" t="s">
        <v>65</v>
      </c>
      <c r="B44" s="29">
        <v>0</v>
      </c>
      <c r="C44" s="30">
        <v>0</v>
      </c>
      <c r="D44" s="30">
        <v>64.814745574174168</v>
      </c>
      <c r="E44" s="30">
        <v>0</v>
      </c>
      <c r="F44" s="30">
        <v>0</v>
      </c>
      <c r="G44" s="31">
        <f>SUM(PA_FINANCIAL)</f>
        <v>64.814745574174168</v>
      </c>
      <c r="H44" s="30"/>
      <c r="I44" s="30"/>
      <c r="J44" s="30"/>
      <c r="K44" s="30"/>
      <c r="L44" s="29"/>
      <c r="M44" s="30"/>
      <c r="N44" s="30"/>
      <c r="O44" s="30"/>
      <c r="P44" s="30"/>
      <c r="Q44" s="30"/>
      <c r="R44" s="30"/>
      <c r="S44" s="30"/>
      <c r="T44" s="30"/>
      <c r="U44" s="30"/>
      <c r="V44" s="31"/>
    </row>
    <row r="45" spans="1:22">
      <c r="A45" s="1" t="s">
        <v>66</v>
      </c>
      <c r="B45" s="29">
        <v>0</v>
      </c>
      <c r="C45" s="30">
        <v>0</v>
      </c>
      <c r="D45" s="30">
        <v>0</v>
      </c>
      <c r="E45" s="30">
        <v>0</v>
      </c>
      <c r="F45" s="30">
        <v>0</v>
      </c>
      <c r="G45" s="31">
        <f>SUM(PR_FINANCIAL)</f>
        <v>0</v>
      </c>
      <c r="H45" s="30"/>
      <c r="I45" s="30"/>
      <c r="J45" s="30"/>
      <c r="K45" s="30"/>
      <c r="L45" s="29"/>
      <c r="M45" s="30"/>
      <c r="N45" s="30"/>
      <c r="O45" s="30"/>
      <c r="P45" s="30"/>
      <c r="Q45" s="30"/>
      <c r="R45" s="30"/>
      <c r="S45" s="30"/>
      <c r="T45" s="30"/>
      <c r="U45" s="30"/>
      <c r="V45" s="31"/>
    </row>
    <row r="46" spans="1:22">
      <c r="A46" s="1" t="s">
        <v>67</v>
      </c>
      <c r="B46" s="29">
        <v>0</v>
      </c>
      <c r="C46" s="30">
        <v>0</v>
      </c>
      <c r="D46" s="30">
        <v>0</v>
      </c>
      <c r="E46" s="30">
        <v>0</v>
      </c>
      <c r="F46" s="30">
        <v>0</v>
      </c>
      <c r="G46" s="31">
        <f>SUM(RI_FINANCIAL)</f>
        <v>0</v>
      </c>
      <c r="H46" s="30"/>
      <c r="I46" s="30"/>
      <c r="J46" s="30"/>
      <c r="K46" s="30"/>
      <c r="L46" s="29"/>
      <c r="M46" s="30"/>
      <c r="N46" s="30"/>
      <c r="O46" s="30"/>
      <c r="P46" s="30"/>
      <c r="Q46" s="30"/>
      <c r="R46" s="30"/>
      <c r="S46" s="30"/>
      <c r="T46" s="30"/>
      <c r="U46" s="30"/>
      <c r="V46" s="31"/>
    </row>
    <row r="47" spans="1:22">
      <c r="A47" s="1" t="s">
        <v>68</v>
      </c>
      <c r="B47" s="29">
        <v>0</v>
      </c>
      <c r="C47" s="30">
        <v>0</v>
      </c>
      <c r="D47" s="30">
        <v>1128441.3448066616</v>
      </c>
      <c r="E47" s="30">
        <v>0</v>
      </c>
      <c r="F47" s="30">
        <v>0</v>
      </c>
      <c r="G47" s="31">
        <f>SUM(SC_FINANCIAL)</f>
        <v>1128441.3448066616</v>
      </c>
      <c r="H47" s="30"/>
      <c r="I47" s="30"/>
      <c r="J47" s="30"/>
      <c r="K47" s="30"/>
      <c r="L47" s="29">
        <v>0</v>
      </c>
      <c r="M47" s="30">
        <v>0</v>
      </c>
      <c r="N47" s="30"/>
      <c r="O47" s="30">
        <v>0</v>
      </c>
      <c r="P47" s="30">
        <v>0</v>
      </c>
      <c r="Q47" s="30"/>
      <c r="R47" s="30">
        <v>1200000</v>
      </c>
      <c r="S47" s="30">
        <v>0</v>
      </c>
      <c r="T47" s="30"/>
      <c r="U47" s="30">
        <v>0</v>
      </c>
      <c r="V47" s="31">
        <v>0</v>
      </c>
    </row>
    <row r="48" spans="1:22">
      <c r="A48" s="1" t="s">
        <v>69</v>
      </c>
      <c r="B48" s="29">
        <v>0</v>
      </c>
      <c r="C48" s="30">
        <v>0</v>
      </c>
      <c r="D48" s="30">
        <v>-5398.1026653696717</v>
      </c>
      <c r="E48" s="30">
        <v>0</v>
      </c>
      <c r="F48" s="30">
        <v>0</v>
      </c>
      <c r="G48" s="31">
        <f>SUM(SD_FINANCIAL)</f>
        <v>-5398.1026653696717</v>
      </c>
      <c r="H48" s="30"/>
      <c r="I48" s="30"/>
      <c r="J48" s="30"/>
      <c r="K48" s="30"/>
      <c r="L48" s="29"/>
      <c r="M48" s="30"/>
      <c r="N48" s="30"/>
      <c r="O48" s="30"/>
      <c r="P48" s="30"/>
      <c r="Q48" s="30"/>
      <c r="R48" s="30"/>
      <c r="S48" s="30"/>
      <c r="T48" s="30"/>
      <c r="U48" s="30"/>
      <c r="V48" s="31"/>
    </row>
    <row r="49" spans="1:22">
      <c r="A49" s="1" t="s">
        <v>70</v>
      </c>
      <c r="B49" s="29">
        <v>0</v>
      </c>
      <c r="C49" s="30">
        <v>0</v>
      </c>
      <c r="D49" s="30">
        <v>187562.89767954146</v>
      </c>
      <c r="E49" s="30">
        <v>0</v>
      </c>
      <c r="F49" s="30">
        <v>0</v>
      </c>
      <c r="G49" s="31">
        <f>SUM(TN_FINANCIAL)</f>
        <v>187562.89767954146</v>
      </c>
      <c r="H49" s="30"/>
      <c r="I49" s="30"/>
      <c r="J49" s="30"/>
      <c r="K49" s="30"/>
      <c r="L49" s="29">
        <v>0</v>
      </c>
      <c r="M49" s="30">
        <v>0</v>
      </c>
      <c r="N49" s="30"/>
      <c r="O49" s="30">
        <v>0</v>
      </c>
      <c r="P49" s="30">
        <v>0</v>
      </c>
      <c r="Q49" s="30"/>
      <c r="R49" s="30">
        <v>250000</v>
      </c>
      <c r="S49" s="30">
        <v>0</v>
      </c>
      <c r="T49" s="30"/>
      <c r="U49" s="30">
        <v>0</v>
      </c>
      <c r="V49" s="31">
        <v>0</v>
      </c>
    </row>
    <row r="50" spans="1:22">
      <c r="A50" s="1" t="s">
        <v>71</v>
      </c>
      <c r="B50" s="29">
        <v>2000</v>
      </c>
      <c r="C50" s="30">
        <v>0</v>
      </c>
      <c r="D50" s="30">
        <v>732248.65127678751</v>
      </c>
      <c r="E50" s="30">
        <v>0</v>
      </c>
      <c r="F50" s="30">
        <v>0</v>
      </c>
      <c r="G50" s="31">
        <f>SUM(TX_FINANCIAL)</f>
        <v>734248.65127678751</v>
      </c>
      <c r="H50" s="30"/>
      <c r="I50" s="30"/>
      <c r="J50" s="30"/>
      <c r="K50" s="30"/>
      <c r="L50" s="29"/>
      <c r="M50" s="30"/>
      <c r="N50" s="30"/>
      <c r="O50" s="30"/>
      <c r="P50" s="30"/>
      <c r="Q50" s="30"/>
      <c r="R50" s="30"/>
      <c r="S50" s="30"/>
      <c r="T50" s="30"/>
      <c r="U50" s="30"/>
      <c r="V50" s="31"/>
    </row>
    <row r="51" spans="1:22">
      <c r="A51" s="1" t="s">
        <v>72</v>
      </c>
      <c r="B51" s="29">
        <v>0</v>
      </c>
      <c r="C51" s="30">
        <v>0</v>
      </c>
      <c r="D51" s="30">
        <v>50.18936275385385</v>
      </c>
      <c r="E51" s="30">
        <v>0</v>
      </c>
      <c r="F51" s="30">
        <v>0</v>
      </c>
      <c r="G51" s="31">
        <f>SUM(UT_FINANCIAL)</f>
        <v>50.18936275385385</v>
      </c>
      <c r="H51" s="30"/>
      <c r="I51" s="30"/>
      <c r="J51" s="30"/>
      <c r="K51" s="30"/>
      <c r="L51" s="29"/>
      <c r="M51" s="30"/>
      <c r="N51" s="30"/>
      <c r="O51" s="30"/>
      <c r="P51" s="30"/>
      <c r="Q51" s="30"/>
      <c r="R51" s="30"/>
      <c r="S51" s="30"/>
      <c r="T51" s="30"/>
      <c r="U51" s="30"/>
      <c r="V51" s="31"/>
    </row>
    <row r="52" spans="1:22">
      <c r="A52" s="1" t="s">
        <v>73</v>
      </c>
      <c r="B52" s="29">
        <v>0</v>
      </c>
      <c r="C52" s="30">
        <v>0</v>
      </c>
      <c r="D52" s="30">
        <v>0</v>
      </c>
      <c r="E52" s="30">
        <v>0</v>
      </c>
      <c r="F52" s="30">
        <v>0</v>
      </c>
      <c r="G52" s="31">
        <f>SUM(VT_FINANCIAL)</f>
        <v>0</v>
      </c>
      <c r="H52" s="30"/>
      <c r="I52" s="30"/>
      <c r="J52" s="30"/>
      <c r="K52" s="30"/>
      <c r="L52" s="29"/>
      <c r="M52" s="30"/>
      <c r="N52" s="30"/>
      <c r="O52" s="30"/>
      <c r="P52" s="30"/>
      <c r="Q52" s="30"/>
      <c r="R52" s="30"/>
      <c r="S52" s="30"/>
      <c r="T52" s="30"/>
      <c r="U52" s="30"/>
      <c r="V52" s="31"/>
    </row>
    <row r="53" spans="1:22">
      <c r="A53" s="1" t="s">
        <v>74</v>
      </c>
      <c r="B53" s="29">
        <v>0</v>
      </c>
      <c r="C53" s="30">
        <v>0</v>
      </c>
      <c r="D53" s="30">
        <v>0</v>
      </c>
      <c r="E53" s="30">
        <v>0</v>
      </c>
      <c r="F53" s="30">
        <v>0</v>
      </c>
      <c r="G53" s="31">
        <f>SUM(VA_FINANCIAL)</f>
        <v>0</v>
      </c>
      <c r="H53" s="30"/>
      <c r="I53" s="30"/>
      <c r="J53" s="30"/>
      <c r="K53" s="30"/>
      <c r="L53" s="29"/>
      <c r="M53" s="30"/>
      <c r="N53" s="30"/>
      <c r="O53" s="30"/>
      <c r="P53" s="30"/>
      <c r="Q53" s="30"/>
      <c r="R53" s="30"/>
      <c r="S53" s="30"/>
      <c r="T53" s="30"/>
      <c r="U53" s="30"/>
      <c r="V53" s="31"/>
    </row>
    <row r="54" spans="1:22">
      <c r="A54" s="1" t="s">
        <v>75</v>
      </c>
      <c r="B54" s="29">
        <v>0</v>
      </c>
      <c r="C54" s="30">
        <v>0</v>
      </c>
      <c r="D54" s="30">
        <v>0</v>
      </c>
      <c r="E54" s="30">
        <v>0</v>
      </c>
      <c r="F54" s="30">
        <v>0</v>
      </c>
      <c r="G54" s="31">
        <f>SUM(WA_FINANCIAL)</f>
        <v>0</v>
      </c>
      <c r="H54" s="30"/>
      <c r="I54" s="30"/>
      <c r="J54" s="30"/>
      <c r="K54" s="30"/>
      <c r="L54" s="29"/>
      <c r="M54" s="30"/>
      <c r="N54" s="30"/>
      <c r="O54" s="30"/>
      <c r="P54" s="30"/>
      <c r="Q54" s="30"/>
      <c r="R54" s="30"/>
      <c r="S54" s="30"/>
      <c r="T54" s="30"/>
      <c r="U54" s="30"/>
      <c r="V54" s="31"/>
    </row>
    <row r="55" spans="1:22">
      <c r="A55" s="1" t="s">
        <v>76</v>
      </c>
      <c r="B55" s="29">
        <v>0</v>
      </c>
      <c r="C55" s="30">
        <v>0</v>
      </c>
      <c r="D55" s="30">
        <v>0</v>
      </c>
      <c r="E55" s="30">
        <v>0</v>
      </c>
      <c r="F55" s="30">
        <v>0</v>
      </c>
      <c r="G55" s="31">
        <f>SUM(WV_FINANCIAL)</f>
        <v>0</v>
      </c>
      <c r="H55" s="30"/>
      <c r="I55" s="30"/>
      <c r="J55" s="30"/>
      <c r="K55" s="30"/>
      <c r="L55" s="29"/>
      <c r="M55" s="30"/>
      <c r="N55" s="30"/>
      <c r="O55" s="30"/>
      <c r="P55" s="30"/>
      <c r="Q55" s="30"/>
      <c r="R55" s="30"/>
      <c r="S55" s="30"/>
      <c r="T55" s="30"/>
      <c r="U55" s="30"/>
      <c r="V55" s="31"/>
    </row>
    <row r="56" spans="1:22">
      <c r="A56" s="1" t="s">
        <v>77</v>
      </c>
      <c r="B56" s="29">
        <v>0</v>
      </c>
      <c r="C56" s="30">
        <v>0</v>
      </c>
      <c r="D56" s="30">
        <v>0</v>
      </c>
      <c r="E56" s="30">
        <v>0</v>
      </c>
      <c r="F56" s="30">
        <v>0</v>
      </c>
      <c r="G56" s="31">
        <f>SUM(WI_FINANCIAL)</f>
        <v>0</v>
      </c>
      <c r="H56" s="30"/>
      <c r="I56" s="30"/>
      <c r="J56" s="30"/>
      <c r="K56" s="30"/>
      <c r="L56" s="29"/>
      <c r="M56" s="30"/>
      <c r="N56" s="30"/>
      <c r="O56" s="30"/>
      <c r="P56" s="30"/>
      <c r="Q56" s="30"/>
      <c r="R56" s="30"/>
      <c r="S56" s="30"/>
      <c r="T56" s="30"/>
      <c r="U56" s="30"/>
      <c r="V56" s="31"/>
    </row>
    <row r="57" spans="1:22">
      <c r="A57" s="1" t="s">
        <v>78</v>
      </c>
      <c r="B57" s="29">
        <v>0</v>
      </c>
      <c r="C57" s="30">
        <v>0</v>
      </c>
      <c r="D57" s="30">
        <v>0</v>
      </c>
      <c r="E57" s="30">
        <v>0</v>
      </c>
      <c r="F57" s="30">
        <v>0</v>
      </c>
      <c r="G57" s="31">
        <f>SUM(WY_FINANCIAL)</f>
        <v>0</v>
      </c>
      <c r="H57" s="30"/>
      <c r="I57" s="30"/>
      <c r="J57" s="30"/>
      <c r="K57" s="30"/>
      <c r="L57" s="29"/>
      <c r="M57" s="30"/>
      <c r="N57" s="30"/>
      <c r="O57" s="30"/>
      <c r="P57" s="30"/>
      <c r="Q57" s="30"/>
      <c r="R57" s="30"/>
      <c r="S57" s="30"/>
      <c r="T57" s="30"/>
      <c r="U57" s="30"/>
      <c r="V57" s="31"/>
    </row>
    <row r="58" spans="1:22">
      <c r="A58" s="1" t="s">
        <v>79</v>
      </c>
      <c r="B58" s="29">
        <v>0</v>
      </c>
      <c r="C58" s="30">
        <v>0</v>
      </c>
      <c r="D58" s="30">
        <v>0</v>
      </c>
      <c r="E58" s="30">
        <v>0</v>
      </c>
      <c r="F58" s="30">
        <v>0</v>
      </c>
      <c r="G58" s="31">
        <f>SUM(OT_FINANCIAL)</f>
        <v>0</v>
      </c>
      <c r="H58" s="30"/>
      <c r="I58" s="30"/>
      <c r="J58" s="30"/>
      <c r="K58" s="30"/>
      <c r="L58" s="29"/>
      <c r="M58" s="30"/>
      <c r="N58" s="30"/>
      <c r="O58" s="30"/>
      <c r="P58" s="30"/>
      <c r="Q58" s="30"/>
      <c r="R58" s="30"/>
      <c r="S58" s="30"/>
      <c r="T58" s="30"/>
      <c r="U58" s="30"/>
      <c r="V58" s="31"/>
    </row>
    <row r="59" spans="1:22">
      <c r="B59" s="29"/>
      <c r="C59" s="30"/>
      <c r="D59" s="30"/>
      <c r="E59" s="30"/>
      <c r="F59" s="30"/>
      <c r="G59" s="31"/>
      <c r="H59" s="30"/>
      <c r="I59" s="30"/>
      <c r="J59" s="30"/>
      <c r="K59" s="30"/>
      <c r="L59" s="29"/>
      <c r="M59" s="30"/>
      <c r="N59" s="30"/>
      <c r="O59" s="30"/>
      <c r="P59" s="30"/>
      <c r="Q59" s="30"/>
      <c r="R59" s="30"/>
      <c r="S59" s="30"/>
      <c r="T59" s="30"/>
      <c r="U59" s="30"/>
      <c r="V59" s="31"/>
    </row>
    <row r="60" spans="1:22">
      <c r="A60" s="1" t="s">
        <v>8</v>
      </c>
      <c r="B60" s="29">
        <f>SUM(LIFE)</f>
        <v>2000</v>
      </c>
      <c r="C60" s="30">
        <f>SUM(ALLOCATED)</f>
        <v>0</v>
      </c>
      <c r="D60" s="30">
        <f>SUM(HEALTH)</f>
        <v>4936099.3900000006</v>
      </c>
      <c r="E60" s="30">
        <f>SUM(UNALLOCATED)</f>
        <v>0</v>
      </c>
      <c r="F60" s="30">
        <f>SUM(LTC)</f>
        <v>0</v>
      </c>
      <c r="G60" s="31">
        <f>SUM(ALL_BLOCKS)</f>
        <v>4938099.3900000006</v>
      </c>
      <c r="H60" s="30"/>
      <c r="I60" s="30"/>
      <c r="J60" s="30"/>
      <c r="K60" s="30"/>
      <c r="L60" s="29">
        <f>SUM(LIFE_CALLED)</f>
        <v>226286</v>
      </c>
      <c r="M60" s="30">
        <f>SUM(LIFE_REFUNDED)</f>
        <v>0</v>
      </c>
      <c r="N60" s="30"/>
      <c r="O60" s="30">
        <f>SUM(ALLOC_CALLED)</f>
        <v>0</v>
      </c>
      <c r="P60" s="30">
        <f>SUM(ALLOC_REFUNDED)</f>
        <v>0</v>
      </c>
      <c r="Q60" s="30"/>
      <c r="R60" s="30">
        <f>SUM(HEALTH_CALLED)</f>
        <v>3959304</v>
      </c>
      <c r="S60" s="30">
        <f>SUM(HEALTH_REFUNDED)</f>
        <v>0</v>
      </c>
      <c r="T60" s="30"/>
      <c r="U60" s="30">
        <f>SUM(UNALLOC_CALLED)</f>
        <v>0</v>
      </c>
      <c r="V60" s="31">
        <f>SUM(UNALLOC_REFUNDED)</f>
        <v>0</v>
      </c>
    </row>
    <row r="61" spans="1:22" ht="5.0999999999999996" customHeight="1">
      <c r="B61" s="8"/>
      <c r="G61" s="11"/>
      <c r="L61" s="8"/>
      <c r="V61" s="11"/>
    </row>
    <row r="62" spans="1:22">
      <c r="B62" s="8"/>
      <c r="G62" s="11"/>
      <c r="L62" s="122" t="s">
        <v>80</v>
      </c>
      <c r="M62" s="123"/>
      <c r="N62" s="123"/>
      <c r="O62" s="123"/>
      <c r="P62" s="123"/>
      <c r="Q62" s="123"/>
      <c r="R62" s="123"/>
      <c r="S62" s="123"/>
      <c r="T62" s="123"/>
      <c r="U62" s="123"/>
      <c r="V62" s="124"/>
    </row>
    <row r="63" spans="1:22">
      <c r="B63" s="8"/>
      <c r="G63" s="11"/>
      <c r="L63" s="125"/>
      <c r="M63" s="123"/>
      <c r="N63" s="123"/>
      <c r="O63" s="123"/>
      <c r="P63" s="123"/>
      <c r="Q63" s="123"/>
      <c r="R63" s="123"/>
      <c r="S63" s="123"/>
      <c r="T63" s="123"/>
      <c r="U63" s="123"/>
      <c r="V63" s="124"/>
    </row>
    <row r="64" spans="1:22">
      <c r="B64" s="10"/>
      <c r="C64" s="7"/>
      <c r="D64" s="7"/>
      <c r="E64" s="7"/>
      <c r="F64" s="7"/>
      <c r="G64" s="13"/>
      <c r="L64" s="126"/>
      <c r="M64" s="127"/>
      <c r="N64" s="127"/>
      <c r="O64" s="127"/>
      <c r="P64" s="127"/>
      <c r="Q64" s="127"/>
      <c r="R64" s="127"/>
      <c r="S64" s="127"/>
      <c r="T64" s="127"/>
      <c r="U64" s="127"/>
      <c r="V64" s="128"/>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pageSetUpPr fitToPage="1"/>
  </sheetPr>
  <dimension ref="A1:V64"/>
  <sheetViews>
    <sheetView zoomScale="75" workbookViewId="0">
      <selection sqref="A1:XFD1048576"/>
    </sheetView>
  </sheetViews>
  <sheetFormatPr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129" t="s">
        <v>161</v>
      </c>
      <c r="B1" s="123"/>
      <c r="C1" s="123"/>
      <c r="D1" s="123"/>
      <c r="E1" s="123"/>
      <c r="F1" s="123"/>
      <c r="G1" s="123"/>
    </row>
    <row r="3" spans="1:22">
      <c r="B3" s="130" t="s">
        <v>1</v>
      </c>
      <c r="C3" s="131"/>
      <c r="D3" s="131"/>
      <c r="E3" s="131"/>
      <c r="F3" s="131"/>
      <c r="G3" s="132"/>
      <c r="L3" s="133" t="s">
        <v>2</v>
      </c>
      <c r="M3" s="134"/>
      <c r="N3" s="134"/>
      <c r="O3" s="134"/>
      <c r="P3" s="134"/>
      <c r="Q3" s="134"/>
      <c r="R3" s="134"/>
      <c r="S3" s="134"/>
      <c r="T3" s="134"/>
      <c r="U3" s="134"/>
      <c r="V3" s="135"/>
    </row>
    <row r="4" spans="1:22">
      <c r="B4" s="8"/>
      <c r="G4" s="11"/>
      <c r="L4" s="136" t="s">
        <v>3</v>
      </c>
      <c r="M4" s="137"/>
      <c r="N4" s="4"/>
      <c r="O4" s="138" t="s">
        <v>4</v>
      </c>
      <c r="P4" s="137"/>
      <c r="Q4" s="4"/>
      <c r="R4" s="138" t="s">
        <v>5</v>
      </c>
      <c r="S4" s="137"/>
      <c r="T4" s="4"/>
      <c r="U4" s="138" t="s">
        <v>6</v>
      </c>
      <c r="V4" s="139"/>
    </row>
    <row r="5" spans="1:22" ht="60" customHeight="1">
      <c r="B5" s="9" t="s">
        <v>3</v>
      </c>
      <c r="C5" s="5" t="s">
        <v>4</v>
      </c>
      <c r="D5" s="5" t="s">
        <v>5</v>
      </c>
      <c r="E5" s="5" t="s">
        <v>6</v>
      </c>
      <c r="F5" s="5" t="s">
        <v>7</v>
      </c>
      <c r="G5" s="12" t="s">
        <v>8</v>
      </c>
      <c r="L5" s="15" t="s">
        <v>9</v>
      </c>
      <c r="M5" s="14" t="s">
        <v>10</v>
      </c>
      <c r="N5" s="14"/>
      <c r="O5" s="14" t="s">
        <v>9</v>
      </c>
      <c r="P5" s="14" t="s">
        <v>10</v>
      </c>
      <c r="Q5" s="14"/>
      <c r="R5" s="14" t="s">
        <v>9</v>
      </c>
      <c r="S5" s="14" t="s">
        <v>10</v>
      </c>
      <c r="T5" s="14"/>
      <c r="U5" s="14" t="s">
        <v>9</v>
      </c>
      <c r="V5" s="16" t="s">
        <v>10</v>
      </c>
    </row>
    <row r="6" spans="1:22">
      <c r="A6" s="1" t="s">
        <v>11</v>
      </c>
      <c r="B6" s="29">
        <v>0</v>
      </c>
      <c r="C6" s="30">
        <v>0</v>
      </c>
      <c r="D6" s="30">
        <v>-4675</v>
      </c>
      <c r="E6" s="30">
        <v>0</v>
      </c>
      <c r="F6" s="30">
        <v>0</v>
      </c>
      <c r="G6" s="31">
        <f>SUM(AL_FINANCIAL)</f>
        <v>-4675</v>
      </c>
      <c r="H6" s="30"/>
      <c r="I6" s="30"/>
      <c r="J6" s="30"/>
      <c r="K6" s="30"/>
      <c r="L6" s="29"/>
      <c r="M6" s="30"/>
      <c r="N6" s="30"/>
      <c r="O6" s="30"/>
      <c r="P6" s="30"/>
      <c r="Q6" s="30"/>
      <c r="R6" s="30"/>
      <c r="S6" s="30"/>
      <c r="T6" s="30"/>
      <c r="U6" s="30"/>
      <c r="V6" s="31"/>
    </row>
    <row r="7" spans="1:22">
      <c r="A7" s="1" t="s">
        <v>12</v>
      </c>
      <c r="B7" s="29">
        <v>0</v>
      </c>
      <c r="C7" s="30">
        <v>0</v>
      </c>
      <c r="D7" s="30">
        <v>0</v>
      </c>
      <c r="E7" s="30">
        <v>0</v>
      </c>
      <c r="F7" s="30">
        <v>0</v>
      </c>
      <c r="G7" s="31">
        <f>SUM(AK_FINANCIAL)</f>
        <v>0</v>
      </c>
      <c r="H7" s="30"/>
      <c r="I7" s="32"/>
      <c r="J7" s="33"/>
      <c r="K7" s="30"/>
      <c r="L7" s="29"/>
      <c r="M7" s="30"/>
      <c r="N7" s="30"/>
      <c r="O7" s="30"/>
      <c r="P7" s="30"/>
      <c r="Q7" s="30"/>
      <c r="R7" s="30"/>
      <c r="S7" s="30"/>
      <c r="T7" s="30"/>
      <c r="U7" s="30"/>
      <c r="V7" s="31"/>
    </row>
    <row r="8" spans="1:22">
      <c r="A8" s="1" t="s">
        <v>13</v>
      </c>
      <c r="B8" s="29">
        <v>0</v>
      </c>
      <c r="C8" s="30">
        <v>0</v>
      </c>
      <c r="D8" s="30">
        <v>4033.1009217545216</v>
      </c>
      <c r="E8" s="30">
        <v>0</v>
      </c>
      <c r="F8" s="30">
        <v>0</v>
      </c>
      <c r="G8" s="31">
        <f>SUM(AZ_FINANCIAL)</f>
        <v>4033.1009217545216</v>
      </c>
      <c r="H8" s="30"/>
      <c r="I8" s="34" t="s">
        <v>14</v>
      </c>
      <c r="J8" s="35"/>
      <c r="K8" s="30"/>
      <c r="L8" s="29"/>
      <c r="M8" s="30"/>
      <c r="N8" s="30"/>
      <c r="O8" s="30"/>
      <c r="P8" s="30"/>
      <c r="Q8" s="30"/>
      <c r="R8" s="30"/>
      <c r="S8" s="30"/>
      <c r="T8" s="30"/>
      <c r="U8" s="30"/>
      <c r="V8" s="31"/>
    </row>
    <row r="9" spans="1:22">
      <c r="A9" s="1" t="s">
        <v>15</v>
      </c>
      <c r="B9" s="29">
        <v>0</v>
      </c>
      <c r="C9" s="30">
        <v>0</v>
      </c>
      <c r="D9" s="30">
        <v>526776.86628727149</v>
      </c>
      <c r="E9" s="30">
        <v>0</v>
      </c>
      <c r="F9" s="30">
        <v>0</v>
      </c>
      <c r="G9" s="31">
        <f>SUM(AR_FINANCIAL)</f>
        <v>526776.86628727149</v>
      </c>
      <c r="H9" s="30"/>
      <c r="I9" s="34"/>
      <c r="J9" s="35"/>
      <c r="K9" s="30"/>
      <c r="L9" s="29">
        <v>0</v>
      </c>
      <c r="M9" s="30">
        <v>0</v>
      </c>
      <c r="N9" s="30"/>
      <c r="O9" s="30">
        <v>0</v>
      </c>
      <c r="P9" s="30">
        <v>0</v>
      </c>
      <c r="Q9" s="30"/>
      <c r="R9" s="30">
        <v>1437371</v>
      </c>
      <c r="S9" s="30">
        <v>0</v>
      </c>
      <c r="T9" s="30"/>
      <c r="U9" s="30">
        <v>0</v>
      </c>
      <c r="V9" s="31">
        <v>0</v>
      </c>
    </row>
    <row r="10" spans="1:22">
      <c r="A10" s="1" t="s">
        <v>16</v>
      </c>
      <c r="B10" s="29">
        <v>0</v>
      </c>
      <c r="C10" s="30">
        <v>0</v>
      </c>
      <c r="D10" s="30">
        <v>166.71303207321216</v>
      </c>
      <c r="E10" s="30">
        <v>0</v>
      </c>
      <c r="F10" s="30">
        <v>0</v>
      </c>
      <c r="G10" s="31">
        <f>SUM(CA_FINANCIAL)</f>
        <v>166.71303207321216</v>
      </c>
      <c r="H10" s="30"/>
      <c r="I10" s="34" t="s">
        <v>17</v>
      </c>
      <c r="J10" s="35">
        <v>7285014</v>
      </c>
      <c r="K10" s="30"/>
      <c r="L10" s="29"/>
      <c r="M10" s="30"/>
      <c r="N10" s="30"/>
      <c r="O10" s="30"/>
      <c r="P10" s="30"/>
      <c r="Q10" s="30"/>
      <c r="R10" s="30"/>
      <c r="S10" s="30"/>
      <c r="T10" s="30"/>
      <c r="U10" s="30"/>
      <c r="V10" s="31"/>
    </row>
    <row r="11" spans="1:22">
      <c r="A11" s="1" t="s">
        <v>18</v>
      </c>
      <c r="B11" s="29">
        <v>0</v>
      </c>
      <c r="C11" s="30">
        <v>0</v>
      </c>
      <c r="D11" s="30">
        <v>591.51206684254794</v>
      </c>
      <c r="E11" s="30">
        <v>0</v>
      </c>
      <c r="F11" s="30">
        <v>0</v>
      </c>
      <c r="G11" s="31">
        <f>SUM(CO_FINANCIAL)</f>
        <v>591.51206684254794</v>
      </c>
      <c r="H11" s="30"/>
      <c r="I11" s="34"/>
      <c r="J11" s="35"/>
      <c r="K11" s="30"/>
      <c r="L11" s="29">
        <v>4426</v>
      </c>
      <c r="M11" s="30">
        <v>0</v>
      </c>
      <c r="N11" s="30"/>
      <c r="O11" s="30">
        <v>0</v>
      </c>
      <c r="P11" s="30">
        <v>0</v>
      </c>
      <c r="Q11" s="30"/>
      <c r="R11" s="30">
        <v>4500</v>
      </c>
      <c r="S11" s="30">
        <v>0</v>
      </c>
      <c r="T11" s="30"/>
      <c r="U11" s="30">
        <v>0</v>
      </c>
      <c r="V11" s="31">
        <v>0</v>
      </c>
    </row>
    <row r="12" spans="1:22">
      <c r="A12" s="1" t="s">
        <v>19</v>
      </c>
      <c r="B12" s="29">
        <v>0</v>
      </c>
      <c r="C12" s="30">
        <v>0</v>
      </c>
      <c r="D12" s="30">
        <v>0</v>
      </c>
      <c r="E12" s="30">
        <v>0</v>
      </c>
      <c r="F12" s="30">
        <v>0</v>
      </c>
      <c r="G12" s="31">
        <f>SUM(CT_FINANCIAL)</f>
        <v>0</v>
      </c>
      <c r="H12" s="30"/>
      <c r="I12" s="34" t="s">
        <v>20</v>
      </c>
      <c r="J12" s="35"/>
      <c r="K12" s="30"/>
      <c r="L12" s="29"/>
      <c r="M12" s="30"/>
      <c r="N12" s="30"/>
      <c r="O12" s="30"/>
      <c r="P12" s="30"/>
      <c r="Q12" s="30"/>
      <c r="R12" s="30"/>
      <c r="S12" s="30"/>
      <c r="T12" s="30"/>
      <c r="U12" s="30"/>
      <c r="V12" s="31"/>
    </row>
    <row r="13" spans="1:22">
      <c r="A13" s="1" t="s">
        <v>21</v>
      </c>
      <c r="B13" s="29">
        <v>0</v>
      </c>
      <c r="C13" s="30">
        <v>0</v>
      </c>
      <c r="D13" s="30">
        <v>0</v>
      </c>
      <c r="E13" s="30">
        <v>0</v>
      </c>
      <c r="F13" s="30">
        <v>0</v>
      </c>
      <c r="G13" s="31">
        <f>SUM(DE_FINANCIAL)</f>
        <v>0</v>
      </c>
      <c r="H13" s="30"/>
      <c r="I13" s="34" t="s">
        <v>22</v>
      </c>
      <c r="J13" s="35">
        <v>602228</v>
      </c>
      <c r="K13" s="30"/>
      <c r="L13" s="29"/>
      <c r="M13" s="30"/>
      <c r="N13" s="30"/>
      <c r="O13" s="30"/>
      <c r="P13" s="30"/>
      <c r="Q13" s="30"/>
      <c r="R13" s="30"/>
      <c r="S13" s="30"/>
      <c r="T13" s="30"/>
      <c r="U13" s="30"/>
      <c r="V13" s="31"/>
    </row>
    <row r="14" spans="1:22">
      <c r="A14" s="1" t="s">
        <v>23</v>
      </c>
      <c r="B14" s="29">
        <v>0</v>
      </c>
      <c r="C14" s="30">
        <v>0</v>
      </c>
      <c r="D14" s="30">
        <v>355.53751648595994</v>
      </c>
      <c r="E14" s="30">
        <v>0</v>
      </c>
      <c r="F14" s="30">
        <v>0</v>
      </c>
      <c r="G14" s="31">
        <f>SUM(DC_FINANCIAL)</f>
        <v>355.53751648595994</v>
      </c>
      <c r="H14" s="30"/>
      <c r="I14" s="34" t="s">
        <v>24</v>
      </c>
      <c r="J14" s="35">
        <v>1111917</v>
      </c>
      <c r="K14" s="30"/>
      <c r="L14" s="29"/>
      <c r="M14" s="30"/>
      <c r="N14" s="30"/>
      <c r="O14" s="30"/>
      <c r="P14" s="30"/>
      <c r="Q14" s="30"/>
      <c r="R14" s="30"/>
      <c r="S14" s="30"/>
      <c r="T14" s="30"/>
      <c r="U14" s="30"/>
      <c r="V14" s="31"/>
    </row>
    <row r="15" spans="1:22">
      <c r="A15" s="1" t="s">
        <v>25</v>
      </c>
      <c r="B15" s="29">
        <v>0</v>
      </c>
      <c r="C15" s="30">
        <v>0</v>
      </c>
      <c r="D15" s="30">
        <v>885.76261540171981</v>
      </c>
      <c r="E15" s="30">
        <v>0</v>
      </c>
      <c r="F15" s="30">
        <v>0</v>
      </c>
      <c r="G15" s="31">
        <f>SUM(FL_FINANCIAL)</f>
        <v>885.76261540171981</v>
      </c>
      <c r="H15" s="30"/>
      <c r="I15" s="34" t="s">
        <v>26</v>
      </c>
      <c r="J15" s="35">
        <v>1309400.9099999997</v>
      </c>
      <c r="K15" s="30"/>
      <c r="L15" s="29"/>
      <c r="M15" s="30"/>
      <c r="N15" s="30"/>
      <c r="O15" s="30"/>
      <c r="P15" s="30"/>
      <c r="Q15" s="30"/>
      <c r="R15" s="30"/>
      <c r="S15" s="30"/>
      <c r="T15" s="30"/>
      <c r="U15" s="30"/>
      <c r="V15" s="31"/>
    </row>
    <row r="16" spans="1:22">
      <c r="A16" s="1" t="s">
        <v>27</v>
      </c>
      <c r="B16" s="29">
        <v>0</v>
      </c>
      <c r="C16" s="30">
        <v>0</v>
      </c>
      <c r="D16" s="30">
        <v>0</v>
      </c>
      <c r="E16" s="30">
        <v>0</v>
      </c>
      <c r="F16" s="30">
        <v>0</v>
      </c>
      <c r="G16" s="31">
        <f>SUM(GA_FINANCIAL)</f>
        <v>0</v>
      </c>
      <c r="H16" s="30"/>
      <c r="I16" s="34" t="s">
        <v>28</v>
      </c>
      <c r="J16" s="35">
        <v>0</v>
      </c>
      <c r="K16" s="30"/>
      <c r="L16" s="29"/>
      <c r="M16" s="30"/>
      <c r="N16" s="30"/>
      <c r="O16" s="30"/>
      <c r="P16" s="30"/>
      <c r="Q16" s="30"/>
      <c r="R16" s="30"/>
      <c r="S16" s="30"/>
      <c r="T16" s="30"/>
      <c r="U16" s="30"/>
      <c r="V16" s="31"/>
    </row>
    <row r="17" spans="1:22">
      <c r="A17" s="1" t="s">
        <v>29</v>
      </c>
      <c r="B17" s="29">
        <v>0</v>
      </c>
      <c r="C17" s="30">
        <v>0</v>
      </c>
      <c r="D17" s="30">
        <v>0</v>
      </c>
      <c r="E17" s="30">
        <v>0</v>
      </c>
      <c r="F17" s="30">
        <v>0</v>
      </c>
      <c r="G17" s="31">
        <f>SUM(HI_FINANCIAL)</f>
        <v>0</v>
      </c>
      <c r="H17" s="30"/>
      <c r="I17" s="34"/>
      <c r="J17" s="35"/>
      <c r="K17" s="30"/>
      <c r="L17" s="29"/>
      <c r="M17" s="30"/>
      <c r="N17" s="30"/>
      <c r="O17" s="30"/>
      <c r="P17" s="30"/>
      <c r="Q17" s="30"/>
      <c r="R17" s="30"/>
      <c r="S17" s="30"/>
      <c r="T17" s="30"/>
      <c r="U17" s="30"/>
      <c r="V17" s="31"/>
    </row>
    <row r="18" spans="1:22">
      <c r="A18" s="1" t="s">
        <v>30</v>
      </c>
      <c r="B18" s="29">
        <v>0</v>
      </c>
      <c r="C18" s="30">
        <v>0</v>
      </c>
      <c r="D18" s="30">
        <v>12.054848621015481</v>
      </c>
      <c r="E18" s="30">
        <v>0</v>
      </c>
      <c r="F18" s="30">
        <v>0</v>
      </c>
      <c r="G18" s="31">
        <f>SUM(ID_FINANCIAL)</f>
        <v>12.054848621015481</v>
      </c>
      <c r="H18" s="30"/>
      <c r="I18" s="34" t="s">
        <v>31</v>
      </c>
      <c r="J18" s="35"/>
      <c r="K18" s="30"/>
      <c r="L18" s="29"/>
      <c r="M18" s="30"/>
      <c r="N18" s="30"/>
      <c r="O18" s="30"/>
      <c r="P18" s="30"/>
      <c r="Q18" s="30"/>
      <c r="R18" s="30"/>
      <c r="S18" s="30"/>
      <c r="T18" s="30"/>
      <c r="U18" s="30"/>
      <c r="V18" s="31"/>
    </row>
    <row r="19" spans="1:22">
      <c r="A19" s="1" t="s">
        <v>32</v>
      </c>
      <c r="B19" s="29">
        <v>0</v>
      </c>
      <c r="C19" s="30">
        <v>0</v>
      </c>
      <c r="D19" s="30">
        <v>3285.8429136661507</v>
      </c>
      <c r="E19" s="30">
        <v>0</v>
      </c>
      <c r="F19" s="30">
        <v>0</v>
      </c>
      <c r="G19" s="31">
        <f>SUM(IL_FINANCIAL)</f>
        <v>3285.8429136661507</v>
      </c>
      <c r="H19" s="30"/>
      <c r="I19" s="34" t="s">
        <v>33</v>
      </c>
      <c r="J19" s="35">
        <v>0</v>
      </c>
      <c r="K19" s="30"/>
      <c r="L19" s="29">
        <v>5000</v>
      </c>
      <c r="M19" s="30">
        <v>0</v>
      </c>
      <c r="N19" s="30"/>
      <c r="O19" s="30">
        <v>0</v>
      </c>
      <c r="P19" s="30">
        <v>0</v>
      </c>
      <c r="Q19" s="30"/>
      <c r="R19" s="30">
        <v>25000</v>
      </c>
      <c r="S19" s="30">
        <v>0</v>
      </c>
      <c r="T19" s="30"/>
      <c r="U19" s="30">
        <v>0</v>
      </c>
      <c r="V19" s="31">
        <v>0</v>
      </c>
    </row>
    <row r="20" spans="1:22">
      <c r="A20" s="1" t="s">
        <v>34</v>
      </c>
      <c r="B20" s="29">
        <v>0</v>
      </c>
      <c r="C20" s="30">
        <v>0</v>
      </c>
      <c r="D20" s="30">
        <v>509.16103566804304</v>
      </c>
      <c r="E20" s="30">
        <v>0</v>
      </c>
      <c r="F20" s="30">
        <v>0</v>
      </c>
      <c r="G20" s="31">
        <f>SUM(IN_FINANCIAL)</f>
        <v>509.16103566804304</v>
      </c>
      <c r="H20" s="30"/>
      <c r="I20" s="34" t="s">
        <v>35</v>
      </c>
      <c r="J20" s="35">
        <v>602228</v>
      </c>
      <c r="K20" s="30"/>
      <c r="L20" s="29"/>
      <c r="M20" s="30"/>
      <c r="N20" s="30"/>
      <c r="O20" s="30"/>
      <c r="P20" s="30"/>
      <c r="Q20" s="30"/>
      <c r="R20" s="30"/>
      <c r="S20" s="30"/>
      <c r="T20" s="30"/>
      <c r="U20" s="30"/>
      <c r="V20" s="31"/>
    </row>
    <row r="21" spans="1:22">
      <c r="A21" s="1" t="s">
        <v>36</v>
      </c>
      <c r="B21" s="29">
        <v>0</v>
      </c>
      <c r="C21" s="30">
        <v>0</v>
      </c>
      <c r="D21" s="30">
        <v>18.076788069422861</v>
      </c>
      <c r="E21" s="30">
        <v>0</v>
      </c>
      <c r="F21" s="30">
        <v>0</v>
      </c>
      <c r="G21" s="31">
        <f>SUM(IA_FINANCIAL)</f>
        <v>18.076788069422861</v>
      </c>
      <c r="H21" s="30"/>
      <c r="I21" s="34" t="s">
        <v>37</v>
      </c>
      <c r="J21" s="35"/>
      <c r="K21" s="30"/>
      <c r="L21" s="29"/>
      <c r="M21" s="30"/>
      <c r="N21" s="30"/>
      <c r="O21" s="30"/>
      <c r="P21" s="30"/>
      <c r="Q21" s="30"/>
      <c r="R21" s="30"/>
      <c r="S21" s="30"/>
      <c r="T21" s="30"/>
      <c r="U21" s="30"/>
      <c r="V21" s="31"/>
    </row>
    <row r="22" spans="1:22">
      <c r="A22" s="1" t="s">
        <v>38</v>
      </c>
      <c r="B22" s="29">
        <v>0</v>
      </c>
      <c r="C22" s="30">
        <v>0</v>
      </c>
      <c r="D22" s="30">
        <v>883.51031174504533</v>
      </c>
      <c r="E22" s="30">
        <v>0</v>
      </c>
      <c r="F22" s="30">
        <v>0</v>
      </c>
      <c r="G22" s="31">
        <f>SUM(KS_FINANCIAL)</f>
        <v>883.51031174504533</v>
      </c>
      <c r="H22" s="30"/>
      <c r="I22" s="34" t="s">
        <v>39</v>
      </c>
      <c r="J22" s="35">
        <v>0</v>
      </c>
      <c r="K22" s="30"/>
      <c r="L22" s="29"/>
      <c r="M22" s="30"/>
      <c r="N22" s="30"/>
      <c r="O22" s="30"/>
      <c r="P22" s="30"/>
      <c r="Q22" s="30"/>
      <c r="R22" s="30"/>
      <c r="S22" s="30"/>
      <c r="T22" s="30"/>
      <c r="U22" s="30"/>
      <c r="V22" s="31"/>
    </row>
    <row r="23" spans="1:22">
      <c r="A23" s="1" t="s">
        <v>40</v>
      </c>
      <c r="B23" s="29">
        <v>0</v>
      </c>
      <c r="C23" s="30">
        <v>0</v>
      </c>
      <c r="D23" s="30">
        <v>0</v>
      </c>
      <c r="E23" s="30">
        <v>0</v>
      </c>
      <c r="F23" s="30">
        <v>0</v>
      </c>
      <c r="G23" s="31">
        <f>SUM(KY_FINANCIAL)</f>
        <v>0</v>
      </c>
      <c r="H23" s="30"/>
      <c r="I23" s="34" t="s">
        <v>41</v>
      </c>
      <c r="J23" s="35"/>
      <c r="K23" s="30"/>
      <c r="L23" s="29"/>
      <c r="M23" s="30"/>
      <c r="N23" s="30"/>
      <c r="O23" s="30"/>
      <c r="P23" s="30"/>
      <c r="Q23" s="30"/>
      <c r="R23" s="30"/>
      <c r="S23" s="30"/>
      <c r="T23" s="30"/>
      <c r="U23" s="30"/>
      <c r="V23" s="31"/>
    </row>
    <row r="24" spans="1:22">
      <c r="A24" s="1" t="s">
        <v>42</v>
      </c>
      <c r="B24" s="29">
        <v>0</v>
      </c>
      <c r="C24" s="30">
        <v>0</v>
      </c>
      <c r="D24" s="30">
        <v>1703152.7006574692</v>
      </c>
      <c r="E24" s="30">
        <v>0</v>
      </c>
      <c r="F24" s="30">
        <v>0</v>
      </c>
      <c r="G24" s="31">
        <f>SUM(LA_FINANCIAL)</f>
        <v>1703152.7006574692</v>
      </c>
      <c r="H24" s="30"/>
      <c r="I24" s="34" t="s">
        <v>43</v>
      </c>
      <c r="J24" s="35">
        <v>5654917</v>
      </c>
      <c r="K24" s="30"/>
      <c r="L24" s="29">
        <v>170592</v>
      </c>
      <c r="M24" s="30">
        <v>0</v>
      </c>
      <c r="N24" s="30"/>
      <c r="O24" s="30">
        <v>0</v>
      </c>
      <c r="P24" s="30">
        <v>0</v>
      </c>
      <c r="Q24" s="30"/>
      <c r="R24" s="30">
        <v>5773407</v>
      </c>
      <c r="S24" s="30">
        <v>0</v>
      </c>
      <c r="T24" s="30"/>
      <c r="U24" s="30">
        <v>0</v>
      </c>
      <c r="V24" s="31">
        <v>0</v>
      </c>
    </row>
    <row r="25" spans="1:22">
      <c r="A25" s="1" t="s">
        <v>44</v>
      </c>
      <c r="B25" s="29">
        <v>0</v>
      </c>
      <c r="C25" s="30">
        <v>0</v>
      </c>
      <c r="D25" s="30">
        <v>0</v>
      </c>
      <c r="E25" s="30">
        <v>0</v>
      </c>
      <c r="F25" s="30">
        <v>0</v>
      </c>
      <c r="G25" s="31">
        <f>SUM(ME_FINANCIAL)</f>
        <v>0</v>
      </c>
      <c r="H25" s="30"/>
      <c r="I25" s="34"/>
      <c r="J25" s="35"/>
      <c r="K25" s="30"/>
      <c r="L25" s="29"/>
      <c r="M25" s="30"/>
      <c r="N25" s="30"/>
      <c r="O25" s="30"/>
      <c r="P25" s="30"/>
      <c r="Q25" s="30"/>
      <c r="R25" s="30"/>
      <c r="S25" s="30"/>
      <c r="T25" s="30"/>
      <c r="U25" s="30"/>
      <c r="V25" s="31"/>
    </row>
    <row r="26" spans="1:22">
      <c r="A26" s="1" t="s">
        <v>45</v>
      </c>
      <c r="B26" s="29">
        <v>0</v>
      </c>
      <c r="C26" s="30">
        <v>0</v>
      </c>
      <c r="D26" s="30">
        <v>135.57042565856977</v>
      </c>
      <c r="E26" s="30">
        <v>0</v>
      </c>
      <c r="F26" s="30">
        <v>0</v>
      </c>
      <c r="G26" s="31">
        <f>SUM(MD_FINANCIAL)</f>
        <v>135.57042565856977</v>
      </c>
      <c r="H26" s="30"/>
      <c r="I26" s="34" t="s">
        <v>46</v>
      </c>
      <c r="J26" s="35">
        <f>SUM(ADD_FINANCIAL)-SUM(LESS_FINANCIAL)</f>
        <v>4051414.91</v>
      </c>
      <c r="K26" s="30"/>
      <c r="L26" s="29"/>
      <c r="M26" s="30"/>
      <c r="N26" s="30"/>
      <c r="O26" s="30"/>
      <c r="P26" s="30"/>
      <c r="Q26" s="30"/>
      <c r="R26" s="30"/>
      <c r="S26" s="30"/>
      <c r="T26" s="30"/>
      <c r="U26" s="30"/>
      <c r="V26" s="31"/>
    </row>
    <row r="27" spans="1:22">
      <c r="A27" s="1" t="s">
        <v>47</v>
      </c>
      <c r="B27" s="29">
        <v>0</v>
      </c>
      <c r="C27" s="30">
        <v>0</v>
      </c>
      <c r="D27" s="30">
        <v>0</v>
      </c>
      <c r="E27" s="30">
        <v>0</v>
      </c>
      <c r="F27" s="30">
        <v>0</v>
      </c>
      <c r="G27" s="31">
        <f>SUM(MA_FINANCIAL)</f>
        <v>0</v>
      </c>
      <c r="H27" s="30"/>
      <c r="I27" s="34" t="s">
        <v>48</v>
      </c>
      <c r="J27" s="35">
        <f>SUM(ALL_BLOCKS)</f>
        <v>4051414.9099999983</v>
      </c>
      <c r="K27" s="30"/>
      <c r="L27" s="29"/>
      <c r="M27" s="30"/>
      <c r="N27" s="30"/>
      <c r="O27" s="30"/>
      <c r="P27" s="30"/>
      <c r="Q27" s="30"/>
      <c r="R27" s="30"/>
      <c r="S27" s="30"/>
      <c r="T27" s="30"/>
      <c r="U27" s="30"/>
      <c r="V27" s="31"/>
    </row>
    <row r="28" spans="1:22">
      <c r="A28" s="1" t="s">
        <v>49</v>
      </c>
      <c r="B28" s="29">
        <v>0</v>
      </c>
      <c r="C28" s="30">
        <v>0</v>
      </c>
      <c r="D28" s="30">
        <v>543</v>
      </c>
      <c r="E28" s="30">
        <v>0</v>
      </c>
      <c r="F28" s="30">
        <v>0</v>
      </c>
      <c r="G28" s="31">
        <f>SUM(MI_FINANCIAL)</f>
        <v>543</v>
      </c>
      <c r="H28" s="30"/>
      <c r="I28" s="36"/>
      <c r="J28" s="37"/>
      <c r="K28" s="30"/>
      <c r="L28" s="29"/>
      <c r="M28" s="30"/>
      <c r="N28" s="30"/>
      <c r="O28" s="30"/>
      <c r="P28" s="30"/>
      <c r="Q28" s="30"/>
      <c r="R28" s="30"/>
      <c r="S28" s="30"/>
      <c r="T28" s="30"/>
      <c r="U28" s="30"/>
      <c r="V28" s="31"/>
    </row>
    <row r="29" spans="1:22">
      <c r="A29" s="1" t="s">
        <v>50</v>
      </c>
      <c r="B29" s="29">
        <v>0</v>
      </c>
      <c r="C29" s="30">
        <v>0</v>
      </c>
      <c r="D29" s="30">
        <v>0</v>
      </c>
      <c r="E29" s="30">
        <v>0</v>
      </c>
      <c r="F29" s="30">
        <v>0</v>
      </c>
      <c r="G29" s="31">
        <f>SUM(MN_FINANCIAL)</f>
        <v>0</v>
      </c>
      <c r="H29" s="30"/>
      <c r="I29" s="30"/>
      <c r="J29" s="30"/>
      <c r="K29" s="30"/>
      <c r="L29" s="29"/>
      <c r="M29" s="30"/>
      <c r="N29" s="30"/>
      <c r="O29" s="30"/>
      <c r="P29" s="30"/>
      <c r="Q29" s="30"/>
      <c r="R29" s="30"/>
      <c r="S29" s="30"/>
      <c r="T29" s="30"/>
      <c r="U29" s="30"/>
      <c r="V29" s="31"/>
    </row>
    <row r="30" spans="1:22">
      <c r="A30" s="1" t="s">
        <v>51</v>
      </c>
      <c r="B30" s="29">
        <v>0</v>
      </c>
      <c r="C30" s="30">
        <v>0</v>
      </c>
      <c r="D30" s="30">
        <v>0</v>
      </c>
      <c r="E30" s="30">
        <v>0</v>
      </c>
      <c r="F30" s="30">
        <v>0</v>
      </c>
      <c r="G30" s="31">
        <f>SUM(MS_FINANCIAL)</f>
        <v>0</v>
      </c>
      <c r="H30" s="30"/>
      <c r="I30" s="30"/>
      <c r="J30" s="30"/>
      <c r="K30" s="30"/>
      <c r="L30" s="29"/>
      <c r="M30" s="30"/>
      <c r="N30" s="30"/>
      <c r="O30" s="30"/>
      <c r="P30" s="30"/>
      <c r="Q30" s="30"/>
      <c r="R30" s="30"/>
      <c r="S30" s="30"/>
      <c r="T30" s="30"/>
      <c r="U30" s="30"/>
      <c r="V30" s="31"/>
    </row>
    <row r="31" spans="1:22">
      <c r="A31" s="1" t="s">
        <v>52</v>
      </c>
      <c r="B31" s="29">
        <v>0</v>
      </c>
      <c r="C31" s="30">
        <v>0</v>
      </c>
      <c r="D31" s="30">
        <v>1233.2544978933638</v>
      </c>
      <c r="E31" s="30">
        <v>0</v>
      </c>
      <c r="F31" s="30">
        <v>0</v>
      </c>
      <c r="G31" s="31">
        <f>SUM(MO_FINANCIAL)</f>
        <v>1233.2544978933638</v>
      </c>
      <c r="H31" s="30"/>
      <c r="I31" s="30"/>
      <c r="J31" s="30"/>
      <c r="K31" s="30"/>
      <c r="L31" s="29"/>
      <c r="M31" s="30"/>
      <c r="N31" s="30"/>
      <c r="O31" s="30"/>
      <c r="P31" s="30"/>
      <c r="Q31" s="30"/>
      <c r="R31" s="30"/>
      <c r="S31" s="30"/>
      <c r="T31" s="30"/>
      <c r="U31" s="30"/>
      <c r="V31" s="31"/>
    </row>
    <row r="32" spans="1:22">
      <c r="A32" s="1" t="s">
        <v>53</v>
      </c>
      <c r="B32" s="29">
        <v>0</v>
      </c>
      <c r="C32" s="30">
        <v>0</v>
      </c>
      <c r="D32" s="30">
        <v>0</v>
      </c>
      <c r="E32" s="30">
        <v>0</v>
      </c>
      <c r="F32" s="30">
        <v>0</v>
      </c>
      <c r="G32" s="31">
        <f>SUM(MT_FINANCIAL)</f>
        <v>0</v>
      </c>
      <c r="H32" s="30"/>
      <c r="I32" s="30"/>
      <c r="J32" s="30"/>
      <c r="K32" s="30"/>
      <c r="L32" s="29"/>
      <c r="M32" s="30"/>
      <c r="N32" s="30"/>
      <c r="O32" s="30"/>
      <c r="P32" s="30"/>
      <c r="Q32" s="30"/>
      <c r="R32" s="30"/>
      <c r="S32" s="30"/>
      <c r="T32" s="30"/>
      <c r="U32" s="30"/>
      <c r="V32" s="31"/>
    </row>
    <row r="33" spans="1:22">
      <c r="A33" s="1" t="s">
        <v>54</v>
      </c>
      <c r="B33" s="29">
        <v>0</v>
      </c>
      <c r="C33" s="30">
        <v>0</v>
      </c>
      <c r="D33" s="30">
        <v>302.28345773178216</v>
      </c>
      <c r="E33" s="30">
        <v>0</v>
      </c>
      <c r="F33" s="30">
        <v>0</v>
      </c>
      <c r="G33" s="31">
        <f>SUM(NE_FINANCIAL)</f>
        <v>302.28345773178216</v>
      </c>
      <c r="H33" s="30"/>
      <c r="I33" s="30"/>
      <c r="J33" s="30"/>
      <c r="K33" s="30"/>
      <c r="L33" s="29"/>
      <c r="M33" s="30"/>
      <c r="N33" s="30"/>
      <c r="O33" s="30"/>
      <c r="P33" s="30"/>
      <c r="Q33" s="30"/>
      <c r="R33" s="30"/>
      <c r="S33" s="30"/>
      <c r="T33" s="30"/>
      <c r="U33" s="30"/>
      <c r="V33" s="31"/>
    </row>
    <row r="34" spans="1:22">
      <c r="A34" s="1" t="s">
        <v>55</v>
      </c>
      <c r="B34" s="29">
        <v>0</v>
      </c>
      <c r="C34" s="30">
        <v>0</v>
      </c>
      <c r="D34" s="30">
        <v>76.329091726097886</v>
      </c>
      <c r="E34" s="30">
        <v>0</v>
      </c>
      <c r="F34" s="30">
        <v>0</v>
      </c>
      <c r="G34" s="31">
        <f>SUM(NV_FINANCIAL)</f>
        <v>76.329091726097886</v>
      </c>
      <c r="H34" s="30"/>
      <c r="I34" s="30"/>
      <c r="J34" s="30"/>
      <c r="K34" s="30"/>
      <c r="L34" s="29"/>
      <c r="M34" s="30"/>
      <c r="N34" s="30"/>
      <c r="O34" s="30"/>
      <c r="P34" s="30"/>
      <c r="Q34" s="30"/>
      <c r="R34" s="30"/>
      <c r="S34" s="30"/>
      <c r="T34" s="30"/>
      <c r="U34" s="30"/>
      <c r="V34" s="31"/>
    </row>
    <row r="35" spans="1:22">
      <c r="A35" s="1" t="s">
        <v>56</v>
      </c>
      <c r="B35" s="29">
        <v>0</v>
      </c>
      <c r="C35" s="30">
        <v>0</v>
      </c>
      <c r="D35" s="30">
        <v>0</v>
      </c>
      <c r="E35" s="30">
        <v>0</v>
      </c>
      <c r="F35" s="30">
        <v>0</v>
      </c>
      <c r="G35" s="31">
        <f>SUM(NH_FINANCIAL)</f>
        <v>0</v>
      </c>
      <c r="H35" s="30"/>
      <c r="I35" s="30"/>
      <c r="J35" s="30"/>
      <c r="K35" s="30"/>
      <c r="L35" s="29"/>
      <c r="M35" s="30"/>
      <c r="N35" s="30"/>
      <c r="O35" s="30"/>
      <c r="P35" s="30"/>
      <c r="Q35" s="30"/>
      <c r="R35" s="30"/>
      <c r="S35" s="30"/>
      <c r="T35" s="30"/>
      <c r="U35" s="30"/>
      <c r="V35" s="31"/>
    </row>
    <row r="36" spans="1:22">
      <c r="A36" s="1" t="s">
        <v>57</v>
      </c>
      <c r="B36" s="29">
        <v>0</v>
      </c>
      <c r="C36" s="30">
        <v>0</v>
      </c>
      <c r="D36" s="30">
        <v>0</v>
      </c>
      <c r="E36" s="30">
        <v>0</v>
      </c>
      <c r="F36" s="30">
        <v>0</v>
      </c>
      <c r="G36" s="31">
        <f>SUM(NJ_FINANCIAL)</f>
        <v>0</v>
      </c>
      <c r="H36" s="30"/>
      <c r="I36" s="30"/>
      <c r="J36" s="30"/>
      <c r="K36" s="30"/>
      <c r="L36" s="29"/>
      <c r="M36" s="30"/>
      <c r="N36" s="30"/>
      <c r="O36" s="30"/>
      <c r="P36" s="30"/>
      <c r="Q36" s="30"/>
      <c r="R36" s="30"/>
      <c r="S36" s="30"/>
      <c r="T36" s="30"/>
      <c r="U36" s="30"/>
      <c r="V36" s="31"/>
    </row>
    <row r="37" spans="1:22">
      <c r="A37" s="1" t="s">
        <v>58</v>
      </c>
      <c r="B37" s="29">
        <v>0</v>
      </c>
      <c r="C37" s="30">
        <v>0</v>
      </c>
      <c r="D37" s="30">
        <v>866.68582733229778</v>
      </c>
      <c r="E37" s="30">
        <v>0</v>
      </c>
      <c r="F37" s="30">
        <v>0</v>
      </c>
      <c r="G37" s="31">
        <f>SUM(NM_FINANCIAL)</f>
        <v>866.68582733229778</v>
      </c>
      <c r="H37" s="30"/>
      <c r="I37" s="30"/>
      <c r="J37" s="30"/>
      <c r="K37" s="30"/>
      <c r="L37" s="29"/>
      <c r="M37" s="30"/>
      <c r="N37" s="30"/>
      <c r="O37" s="30"/>
      <c r="P37" s="30"/>
      <c r="Q37" s="30"/>
      <c r="R37" s="30"/>
      <c r="S37" s="30"/>
      <c r="T37" s="30"/>
      <c r="U37" s="30"/>
      <c r="V37" s="31"/>
    </row>
    <row r="38" spans="1:22">
      <c r="A38" s="1" t="s">
        <v>59</v>
      </c>
      <c r="B38" s="29">
        <v>0</v>
      </c>
      <c r="C38" s="30">
        <v>0</v>
      </c>
      <c r="D38" s="30">
        <v>0</v>
      </c>
      <c r="E38" s="30">
        <v>0</v>
      </c>
      <c r="F38" s="30">
        <v>0</v>
      </c>
      <c r="G38" s="31">
        <f>SUM(NY_FINANCIAL)</f>
        <v>0</v>
      </c>
      <c r="H38" s="30"/>
      <c r="I38" s="30"/>
      <c r="J38" s="30"/>
      <c r="K38" s="30"/>
      <c r="L38" s="29"/>
      <c r="M38" s="30"/>
      <c r="N38" s="30"/>
      <c r="O38" s="30"/>
      <c r="P38" s="30"/>
      <c r="Q38" s="30"/>
      <c r="R38" s="30"/>
      <c r="S38" s="30"/>
      <c r="T38" s="30"/>
      <c r="U38" s="30"/>
      <c r="V38" s="31"/>
    </row>
    <row r="39" spans="1:22">
      <c r="A39" s="1" t="s">
        <v>60</v>
      </c>
      <c r="B39" s="29">
        <v>0</v>
      </c>
      <c r="C39" s="30">
        <v>0</v>
      </c>
      <c r="D39" s="30">
        <v>0</v>
      </c>
      <c r="E39" s="30">
        <v>0</v>
      </c>
      <c r="F39" s="30">
        <v>0</v>
      </c>
      <c r="G39" s="31">
        <f>SUM(NC_FINANCIAL)</f>
        <v>0</v>
      </c>
      <c r="H39" s="30"/>
      <c r="I39" s="30"/>
      <c r="J39" s="30"/>
      <c r="K39" s="30"/>
      <c r="L39" s="29"/>
      <c r="M39" s="30"/>
      <c r="N39" s="30"/>
      <c r="O39" s="30"/>
      <c r="P39" s="30"/>
      <c r="Q39" s="30"/>
      <c r="R39" s="30"/>
      <c r="S39" s="30"/>
      <c r="T39" s="30"/>
      <c r="U39" s="30"/>
      <c r="V39" s="31"/>
    </row>
    <row r="40" spans="1:22">
      <c r="A40" s="1" t="s">
        <v>61</v>
      </c>
      <c r="B40" s="29">
        <v>0</v>
      </c>
      <c r="C40" s="30">
        <v>0</v>
      </c>
      <c r="D40" s="30">
        <v>11.043878896813112</v>
      </c>
      <c r="E40" s="30">
        <v>0</v>
      </c>
      <c r="F40" s="30">
        <v>0</v>
      </c>
      <c r="G40" s="31">
        <f>SUM(ND_FINANCIAL)</f>
        <v>11.043878896813112</v>
      </c>
      <c r="H40" s="30"/>
      <c r="I40" s="30"/>
      <c r="J40" s="30"/>
      <c r="K40" s="30"/>
      <c r="L40" s="29"/>
      <c r="M40" s="30"/>
      <c r="N40" s="30"/>
      <c r="O40" s="30"/>
      <c r="P40" s="30"/>
      <c r="Q40" s="30"/>
      <c r="R40" s="30"/>
      <c r="S40" s="30"/>
      <c r="T40" s="30"/>
      <c r="U40" s="30"/>
      <c r="V40" s="31"/>
    </row>
    <row r="41" spans="1:22">
      <c r="A41" s="1" t="s">
        <v>62</v>
      </c>
      <c r="B41" s="29">
        <v>0</v>
      </c>
      <c r="C41" s="30">
        <v>0</v>
      </c>
      <c r="D41" s="30">
        <v>83.351031174504499</v>
      </c>
      <c r="E41" s="30">
        <v>0</v>
      </c>
      <c r="F41" s="30">
        <v>0</v>
      </c>
      <c r="G41" s="31">
        <f>SUM(OH_FINANCIAL)</f>
        <v>83.351031174504499</v>
      </c>
      <c r="H41" s="30"/>
      <c r="I41" s="30"/>
      <c r="J41" s="30"/>
      <c r="K41" s="30"/>
      <c r="L41" s="29"/>
      <c r="M41" s="30"/>
      <c r="N41" s="30"/>
      <c r="O41" s="30"/>
      <c r="P41" s="30"/>
      <c r="Q41" s="30"/>
      <c r="R41" s="30"/>
      <c r="S41" s="30"/>
      <c r="T41" s="30"/>
      <c r="U41" s="30"/>
      <c r="V41" s="31"/>
    </row>
    <row r="42" spans="1:22">
      <c r="A42" s="1" t="s">
        <v>63</v>
      </c>
      <c r="B42" s="29">
        <v>0</v>
      </c>
      <c r="C42" s="30">
        <v>0</v>
      </c>
      <c r="D42" s="30">
        <v>722507.14408288943</v>
      </c>
      <c r="E42" s="30">
        <v>0</v>
      </c>
      <c r="F42" s="30">
        <v>0</v>
      </c>
      <c r="G42" s="31">
        <f>SUM(OK_FINANCIAL)</f>
        <v>722507.14408288943</v>
      </c>
      <c r="H42" s="30"/>
      <c r="I42" s="30"/>
      <c r="J42" s="30"/>
      <c r="K42" s="30"/>
      <c r="L42" s="29">
        <v>147600</v>
      </c>
      <c r="M42" s="30">
        <v>21200</v>
      </c>
      <c r="N42" s="30"/>
      <c r="O42" s="30">
        <v>0</v>
      </c>
      <c r="P42" s="30">
        <v>0</v>
      </c>
      <c r="Q42" s="30"/>
      <c r="R42" s="30">
        <v>1472400</v>
      </c>
      <c r="S42" s="30">
        <v>818800</v>
      </c>
      <c r="T42" s="30"/>
      <c r="U42" s="30">
        <v>0</v>
      </c>
      <c r="V42" s="31">
        <v>0</v>
      </c>
    </row>
    <row r="43" spans="1:22">
      <c r="A43" s="1" t="s">
        <v>64</v>
      </c>
      <c r="B43" s="29">
        <v>0</v>
      </c>
      <c r="C43" s="30">
        <v>0</v>
      </c>
      <c r="D43" s="30">
        <v>249.06406324771672</v>
      </c>
      <c r="E43" s="30">
        <v>0</v>
      </c>
      <c r="F43" s="30">
        <v>0</v>
      </c>
      <c r="G43" s="31">
        <f>SUM(OR_FINANCIAL)</f>
        <v>249.06406324771672</v>
      </c>
      <c r="H43" s="30"/>
      <c r="I43" s="30"/>
      <c r="J43" s="30"/>
      <c r="K43" s="30"/>
      <c r="L43" s="29"/>
      <c r="M43" s="30"/>
      <c r="N43" s="30"/>
      <c r="O43" s="30"/>
      <c r="P43" s="30"/>
      <c r="Q43" s="30"/>
      <c r="R43" s="30"/>
      <c r="S43" s="30"/>
      <c r="T43" s="30"/>
      <c r="U43" s="30"/>
      <c r="V43" s="31"/>
    </row>
    <row r="44" spans="1:22">
      <c r="A44" s="1" t="s">
        <v>65</v>
      </c>
      <c r="B44" s="29">
        <v>0</v>
      </c>
      <c r="C44" s="30">
        <v>0</v>
      </c>
      <c r="D44" s="30">
        <v>0</v>
      </c>
      <c r="E44" s="30">
        <v>0</v>
      </c>
      <c r="F44" s="30">
        <v>0</v>
      </c>
      <c r="G44" s="31">
        <f>SUM(PA_FINANCIAL)</f>
        <v>0</v>
      </c>
      <c r="H44" s="30"/>
      <c r="I44" s="30"/>
      <c r="J44" s="30"/>
      <c r="K44" s="30"/>
      <c r="L44" s="29"/>
      <c r="M44" s="30"/>
      <c r="N44" s="30"/>
      <c r="O44" s="30"/>
      <c r="P44" s="30"/>
      <c r="Q44" s="30"/>
      <c r="R44" s="30"/>
      <c r="S44" s="30"/>
      <c r="T44" s="30"/>
      <c r="U44" s="30"/>
      <c r="V44" s="31"/>
    </row>
    <row r="45" spans="1:22">
      <c r="A45" s="1" t="s">
        <v>66</v>
      </c>
      <c r="B45" s="29">
        <v>0</v>
      </c>
      <c r="C45" s="30">
        <v>0</v>
      </c>
      <c r="D45" s="30">
        <v>0</v>
      </c>
      <c r="E45" s="30">
        <v>0</v>
      </c>
      <c r="F45" s="30">
        <v>0</v>
      </c>
      <c r="G45" s="31">
        <f>SUM(PR_FINANCIAL)</f>
        <v>0</v>
      </c>
      <c r="H45" s="30"/>
      <c r="I45" s="30"/>
      <c r="J45" s="30"/>
      <c r="K45" s="30"/>
      <c r="L45" s="29"/>
      <c r="M45" s="30"/>
      <c r="N45" s="30"/>
      <c r="O45" s="30"/>
      <c r="P45" s="30"/>
      <c r="Q45" s="30"/>
      <c r="R45" s="30"/>
      <c r="S45" s="30"/>
      <c r="T45" s="30"/>
      <c r="U45" s="30"/>
      <c r="V45" s="31"/>
    </row>
    <row r="46" spans="1:22">
      <c r="A46" s="1" t="s">
        <v>67</v>
      </c>
      <c r="B46" s="29">
        <v>0</v>
      </c>
      <c r="C46" s="30">
        <v>0</v>
      </c>
      <c r="D46" s="30">
        <v>0</v>
      </c>
      <c r="E46" s="30">
        <v>0</v>
      </c>
      <c r="F46" s="30">
        <v>0</v>
      </c>
      <c r="G46" s="31">
        <f>SUM(RI_FINANCIAL)</f>
        <v>0</v>
      </c>
      <c r="H46" s="30"/>
      <c r="I46" s="30"/>
      <c r="J46" s="30"/>
      <c r="K46" s="30"/>
      <c r="L46" s="29"/>
      <c r="M46" s="30"/>
      <c r="N46" s="30"/>
      <c r="O46" s="30"/>
      <c r="P46" s="30"/>
      <c r="Q46" s="30"/>
      <c r="R46" s="30"/>
      <c r="S46" s="30"/>
      <c r="T46" s="30"/>
      <c r="U46" s="30"/>
      <c r="V46" s="31"/>
    </row>
    <row r="47" spans="1:22">
      <c r="A47" s="1" t="s">
        <v>68</v>
      </c>
      <c r="B47" s="29">
        <v>0</v>
      </c>
      <c r="C47" s="30">
        <v>0</v>
      </c>
      <c r="D47" s="30">
        <v>1090.0421237993105</v>
      </c>
      <c r="E47" s="30">
        <v>0</v>
      </c>
      <c r="F47" s="30">
        <v>0</v>
      </c>
      <c r="G47" s="31">
        <f>SUM(SC_FINANCIAL)</f>
        <v>1090.0421237993105</v>
      </c>
      <c r="H47" s="30"/>
      <c r="I47" s="30"/>
      <c r="J47" s="30"/>
      <c r="K47" s="30"/>
      <c r="L47" s="29"/>
      <c r="M47" s="30"/>
      <c r="N47" s="30"/>
      <c r="O47" s="30"/>
      <c r="P47" s="30"/>
      <c r="Q47" s="30"/>
      <c r="R47" s="30"/>
      <c r="S47" s="30"/>
      <c r="T47" s="30"/>
      <c r="U47" s="30"/>
      <c r="V47" s="31"/>
    </row>
    <row r="48" spans="1:22">
      <c r="A48" s="1" t="s">
        <v>69</v>
      </c>
      <c r="B48" s="29">
        <v>0</v>
      </c>
      <c r="C48" s="30">
        <v>0</v>
      </c>
      <c r="D48" s="30">
        <v>0</v>
      </c>
      <c r="E48" s="30">
        <v>0</v>
      </c>
      <c r="F48" s="30">
        <v>0</v>
      </c>
      <c r="G48" s="31">
        <f>SUM(SD_FINANCIAL)</f>
        <v>0</v>
      </c>
      <c r="H48" s="30"/>
      <c r="I48" s="30"/>
      <c r="J48" s="30"/>
      <c r="K48" s="30"/>
      <c r="L48" s="29"/>
      <c r="M48" s="30"/>
      <c r="N48" s="30"/>
      <c r="O48" s="30"/>
      <c r="P48" s="30"/>
      <c r="Q48" s="30"/>
      <c r="R48" s="30"/>
      <c r="S48" s="30"/>
      <c r="T48" s="30"/>
      <c r="U48" s="30"/>
      <c r="V48" s="31"/>
    </row>
    <row r="49" spans="1:22">
      <c r="A49" s="1" t="s">
        <v>70</v>
      </c>
      <c r="B49" s="29">
        <v>0</v>
      </c>
      <c r="C49" s="30">
        <v>0</v>
      </c>
      <c r="D49" s="30">
        <v>29.120666966235916</v>
      </c>
      <c r="E49" s="30">
        <v>0</v>
      </c>
      <c r="F49" s="30">
        <v>0</v>
      </c>
      <c r="G49" s="31">
        <f>SUM(TN_FINANCIAL)</f>
        <v>29.120666966235916</v>
      </c>
      <c r="H49" s="30"/>
      <c r="I49" s="30"/>
      <c r="J49" s="30"/>
      <c r="K49" s="30"/>
      <c r="L49" s="29"/>
      <c r="M49" s="30"/>
      <c r="N49" s="30"/>
      <c r="O49" s="30"/>
      <c r="P49" s="30"/>
      <c r="Q49" s="30"/>
      <c r="R49" s="30"/>
      <c r="S49" s="30"/>
      <c r="T49" s="30"/>
      <c r="U49" s="30"/>
      <c r="V49" s="31"/>
    </row>
    <row r="50" spans="1:22">
      <c r="A50" s="1" t="s">
        <v>71</v>
      </c>
      <c r="B50" s="29">
        <v>0</v>
      </c>
      <c r="C50" s="30">
        <v>0</v>
      </c>
      <c r="D50" s="30">
        <v>1087724.7373642153</v>
      </c>
      <c r="E50" s="30">
        <v>0</v>
      </c>
      <c r="F50" s="30">
        <v>0</v>
      </c>
      <c r="G50" s="31">
        <f>SUM(TX_FINANCIAL)</f>
        <v>1087724.7373642153</v>
      </c>
      <c r="H50" s="30"/>
      <c r="I50" s="30"/>
      <c r="J50" s="30"/>
      <c r="K50" s="30"/>
      <c r="L50" s="29">
        <v>315058</v>
      </c>
      <c r="M50" s="30">
        <v>190587</v>
      </c>
      <c r="N50" s="30"/>
      <c r="O50" s="30">
        <v>0</v>
      </c>
      <c r="P50" s="30">
        <v>0</v>
      </c>
      <c r="Q50" s="30"/>
      <c r="R50" s="30">
        <v>2835522</v>
      </c>
      <c r="S50" s="30">
        <v>1715283</v>
      </c>
      <c r="T50" s="30"/>
      <c r="U50" s="30">
        <v>0</v>
      </c>
      <c r="V50" s="31">
        <v>0</v>
      </c>
    </row>
    <row r="51" spans="1:22">
      <c r="A51" s="1" t="s">
        <v>72</v>
      </c>
      <c r="B51" s="29">
        <v>0</v>
      </c>
      <c r="C51" s="30">
        <v>0</v>
      </c>
      <c r="D51" s="30">
        <v>60.252303656674485</v>
      </c>
      <c r="E51" s="30">
        <v>0</v>
      </c>
      <c r="F51" s="30">
        <v>0</v>
      </c>
      <c r="G51" s="31">
        <f>SUM(UT_FINANCIAL)</f>
        <v>60.252303656674485</v>
      </c>
      <c r="H51" s="30"/>
      <c r="I51" s="30"/>
      <c r="J51" s="30"/>
      <c r="K51" s="30"/>
      <c r="L51" s="29"/>
      <c r="M51" s="30"/>
      <c r="N51" s="30"/>
      <c r="O51" s="30"/>
      <c r="P51" s="30"/>
      <c r="Q51" s="30"/>
      <c r="R51" s="30"/>
      <c r="S51" s="30"/>
      <c r="T51" s="30"/>
      <c r="U51" s="30"/>
      <c r="V51" s="31"/>
    </row>
    <row r="52" spans="1:22">
      <c r="A52" s="1" t="s">
        <v>73</v>
      </c>
      <c r="B52" s="29">
        <v>0</v>
      </c>
      <c r="C52" s="30">
        <v>0</v>
      </c>
      <c r="D52" s="30">
        <v>0</v>
      </c>
      <c r="E52" s="30">
        <v>0</v>
      </c>
      <c r="F52" s="30">
        <v>0</v>
      </c>
      <c r="G52" s="31">
        <f>SUM(VT_FINANCIAL)</f>
        <v>0</v>
      </c>
      <c r="H52" s="30"/>
      <c r="I52" s="30"/>
      <c r="J52" s="30"/>
      <c r="K52" s="30"/>
      <c r="L52" s="29"/>
      <c r="M52" s="30"/>
      <c r="N52" s="30"/>
      <c r="O52" s="30"/>
      <c r="P52" s="30"/>
      <c r="Q52" s="30"/>
      <c r="R52" s="30"/>
      <c r="S52" s="30"/>
      <c r="T52" s="30"/>
      <c r="U52" s="30"/>
      <c r="V52" s="31"/>
    </row>
    <row r="53" spans="1:22">
      <c r="A53" s="1" t="s">
        <v>74</v>
      </c>
      <c r="B53" s="29">
        <v>0</v>
      </c>
      <c r="C53" s="30">
        <v>0</v>
      </c>
      <c r="D53" s="30">
        <v>1.0421237993105024</v>
      </c>
      <c r="E53" s="30">
        <v>0</v>
      </c>
      <c r="F53" s="30">
        <v>0</v>
      </c>
      <c r="G53" s="31">
        <f>SUM(VA_FINANCIAL)</f>
        <v>1.0421237993105024</v>
      </c>
      <c r="H53" s="30"/>
      <c r="I53" s="30"/>
      <c r="J53" s="30"/>
      <c r="K53" s="30"/>
      <c r="L53" s="29">
        <v>3200</v>
      </c>
      <c r="M53" s="30">
        <v>0</v>
      </c>
      <c r="N53" s="30"/>
      <c r="O53" s="30">
        <v>0</v>
      </c>
      <c r="P53" s="30">
        <v>0</v>
      </c>
      <c r="Q53" s="30"/>
      <c r="R53" s="30">
        <v>0</v>
      </c>
      <c r="S53" s="30">
        <v>0</v>
      </c>
      <c r="T53" s="30"/>
      <c r="U53" s="30">
        <v>0</v>
      </c>
      <c r="V53" s="31">
        <v>0</v>
      </c>
    </row>
    <row r="54" spans="1:22">
      <c r="A54" s="1" t="s">
        <v>75</v>
      </c>
      <c r="B54" s="29">
        <v>0</v>
      </c>
      <c r="C54" s="30">
        <v>0</v>
      </c>
      <c r="D54" s="30">
        <v>481.04036870180789</v>
      </c>
      <c r="E54" s="30">
        <v>0</v>
      </c>
      <c r="F54" s="30">
        <v>0</v>
      </c>
      <c r="G54" s="31">
        <f>SUM(WA_FINANCIAL)</f>
        <v>481.04036870180789</v>
      </c>
      <c r="H54" s="30"/>
      <c r="I54" s="30"/>
      <c r="J54" s="30"/>
      <c r="K54" s="30"/>
      <c r="L54" s="29"/>
      <c r="M54" s="30"/>
      <c r="N54" s="30"/>
      <c r="O54" s="30"/>
      <c r="P54" s="30"/>
      <c r="Q54" s="30"/>
      <c r="R54" s="30"/>
      <c r="S54" s="30"/>
      <c r="T54" s="30"/>
      <c r="U54" s="30"/>
      <c r="V54" s="31"/>
    </row>
    <row r="55" spans="1:22">
      <c r="A55" s="1" t="s">
        <v>76</v>
      </c>
      <c r="B55" s="29">
        <v>0</v>
      </c>
      <c r="C55" s="30">
        <v>0</v>
      </c>
      <c r="D55" s="30">
        <v>0</v>
      </c>
      <c r="E55" s="30">
        <v>0</v>
      </c>
      <c r="F55" s="30">
        <v>0</v>
      </c>
      <c r="G55" s="31">
        <f>SUM(WV_FINANCIAL)</f>
        <v>0</v>
      </c>
      <c r="H55" s="30"/>
      <c r="I55" s="30"/>
      <c r="J55" s="30"/>
      <c r="K55" s="30"/>
      <c r="L55" s="29"/>
      <c r="M55" s="30"/>
      <c r="N55" s="30"/>
      <c r="O55" s="30"/>
      <c r="P55" s="30"/>
      <c r="Q55" s="30"/>
      <c r="R55" s="30"/>
      <c r="S55" s="30"/>
      <c r="T55" s="30"/>
      <c r="U55" s="30"/>
      <c r="V55" s="31"/>
    </row>
    <row r="56" spans="1:22">
      <c r="A56" s="1" t="s">
        <v>77</v>
      </c>
      <c r="B56" s="29">
        <v>0</v>
      </c>
      <c r="C56" s="30">
        <v>0</v>
      </c>
      <c r="D56" s="30">
        <v>0</v>
      </c>
      <c r="E56" s="30">
        <v>0</v>
      </c>
      <c r="F56" s="30">
        <v>0</v>
      </c>
      <c r="G56" s="31">
        <f>SUM(WI_FINANCIAL)</f>
        <v>0</v>
      </c>
      <c r="H56" s="30"/>
      <c r="I56" s="30"/>
      <c r="J56" s="30"/>
      <c r="K56" s="30"/>
      <c r="L56" s="29"/>
      <c r="M56" s="30"/>
      <c r="N56" s="30"/>
      <c r="O56" s="30"/>
      <c r="P56" s="30"/>
      <c r="Q56" s="30"/>
      <c r="R56" s="30"/>
      <c r="S56" s="30"/>
      <c r="T56" s="30"/>
      <c r="U56" s="30"/>
      <c r="V56" s="31"/>
    </row>
    <row r="57" spans="1:22">
      <c r="A57" s="1" t="s">
        <v>78</v>
      </c>
      <c r="B57" s="29">
        <v>0</v>
      </c>
      <c r="C57" s="30">
        <v>0</v>
      </c>
      <c r="D57" s="30">
        <v>25.109697242032652</v>
      </c>
      <c r="E57" s="30">
        <v>0</v>
      </c>
      <c r="F57" s="30">
        <v>0</v>
      </c>
      <c r="G57" s="31">
        <f>SUM(WY_FINANCIAL)</f>
        <v>25.109697242032652</v>
      </c>
      <c r="H57" s="30"/>
      <c r="I57" s="30"/>
      <c r="J57" s="30"/>
      <c r="K57" s="30"/>
      <c r="L57" s="29"/>
      <c r="M57" s="30"/>
      <c r="N57" s="30"/>
      <c r="O57" s="30"/>
      <c r="P57" s="30"/>
      <c r="Q57" s="30"/>
      <c r="R57" s="30"/>
      <c r="S57" s="30"/>
      <c r="T57" s="30"/>
      <c r="U57" s="30"/>
      <c r="V57" s="31"/>
    </row>
    <row r="58" spans="1:22">
      <c r="A58" s="1" t="s">
        <v>79</v>
      </c>
      <c r="B58" s="29">
        <v>0</v>
      </c>
      <c r="C58" s="30">
        <v>0</v>
      </c>
      <c r="D58" s="30">
        <v>0</v>
      </c>
      <c r="E58" s="30">
        <v>0</v>
      </c>
      <c r="F58" s="30">
        <v>0</v>
      </c>
      <c r="G58" s="31">
        <f>SUM(OT_FINANCIAL)</f>
        <v>0</v>
      </c>
      <c r="H58" s="30"/>
      <c r="I58" s="30"/>
      <c r="J58" s="30"/>
      <c r="K58" s="30"/>
      <c r="L58" s="29"/>
      <c r="M58" s="30"/>
      <c r="N58" s="30"/>
      <c r="O58" s="30"/>
      <c r="P58" s="30"/>
      <c r="Q58" s="30"/>
      <c r="R58" s="30"/>
      <c r="S58" s="30"/>
      <c r="T58" s="30"/>
      <c r="U58" s="30"/>
      <c r="V58" s="31"/>
    </row>
    <row r="59" spans="1:22">
      <c r="B59" s="29"/>
      <c r="C59" s="30"/>
      <c r="D59" s="30"/>
      <c r="E59" s="30"/>
      <c r="F59" s="30"/>
      <c r="G59" s="31"/>
      <c r="H59" s="30"/>
      <c r="I59" s="30"/>
      <c r="J59" s="30"/>
      <c r="K59" s="30"/>
      <c r="L59" s="29"/>
      <c r="M59" s="30"/>
      <c r="N59" s="30"/>
      <c r="O59" s="30"/>
      <c r="P59" s="30"/>
      <c r="Q59" s="30"/>
      <c r="R59" s="30"/>
      <c r="S59" s="30"/>
      <c r="T59" s="30"/>
      <c r="U59" s="30"/>
      <c r="V59" s="31"/>
    </row>
    <row r="60" spans="1:22">
      <c r="A60" s="1" t="s">
        <v>8</v>
      </c>
      <c r="B60" s="29">
        <f>SUM(LIFE)</f>
        <v>0</v>
      </c>
      <c r="C60" s="30">
        <f>SUM(ALLOCATED)</f>
        <v>0</v>
      </c>
      <c r="D60" s="30">
        <f>SUM(HEALTH)</f>
        <v>4051414.9099999983</v>
      </c>
      <c r="E60" s="30">
        <f>SUM(UNALLOCATED)</f>
        <v>0</v>
      </c>
      <c r="F60" s="30">
        <f>SUM(LTC)</f>
        <v>0</v>
      </c>
      <c r="G60" s="31">
        <f>SUM(ALL_BLOCKS)</f>
        <v>4051414.9099999983</v>
      </c>
      <c r="H60" s="30"/>
      <c r="I60" s="30"/>
      <c r="J60" s="30"/>
      <c r="K60" s="30"/>
      <c r="L60" s="29">
        <f>SUM(LIFE_CALLED)</f>
        <v>645876</v>
      </c>
      <c r="M60" s="30">
        <f>SUM(LIFE_REFUNDED)</f>
        <v>211787</v>
      </c>
      <c r="N60" s="30"/>
      <c r="O60" s="30">
        <f>SUM(ALLOC_CALLED)</f>
        <v>0</v>
      </c>
      <c r="P60" s="30">
        <f>SUM(ALLOC_REFUNDED)</f>
        <v>0</v>
      </c>
      <c r="Q60" s="30"/>
      <c r="R60" s="30">
        <f>SUM(HEALTH_CALLED)</f>
        <v>11548200</v>
      </c>
      <c r="S60" s="30">
        <f>SUM(HEALTH_REFUNDED)</f>
        <v>2534083</v>
      </c>
      <c r="T60" s="30"/>
      <c r="U60" s="30">
        <f>SUM(UNALLOC_CALLED)</f>
        <v>0</v>
      </c>
      <c r="V60" s="31">
        <f>SUM(UNALLOC_REFUNDED)</f>
        <v>0</v>
      </c>
    </row>
    <row r="61" spans="1:22" ht="5.0999999999999996" customHeight="1">
      <c r="B61" s="8"/>
      <c r="G61" s="11"/>
      <c r="L61" s="8"/>
      <c r="V61" s="11"/>
    </row>
    <row r="62" spans="1:22">
      <c r="B62" s="8"/>
      <c r="G62" s="11"/>
      <c r="L62" s="122" t="s">
        <v>80</v>
      </c>
      <c r="M62" s="123"/>
      <c r="N62" s="123"/>
      <c r="O62" s="123"/>
      <c r="P62" s="123"/>
      <c r="Q62" s="123"/>
      <c r="R62" s="123"/>
      <c r="S62" s="123"/>
      <c r="T62" s="123"/>
      <c r="U62" s="123"/>
      <c r="V62" s="124"/>
    </row>
    <row r="63" spans="1:22">
      <c r="B63" s="8"/>
      <c r="G63" s="11"/>
      <c r="L63" s="125"/>
      <c r="M63" s="123"/>
      <c r="N63" s="123"/>
      <c r="O63" s="123"/>
      <c r="P63" s="123"/>
      <c r="Q63" s="123"/>
      <c r="R63" s="123"/>
      <c r="S63" s="123"/>
      <c r="T63" s="123"/>
      <c r="U63" s="123"/>
      <c r="V63" s="124"/>
    </row>
    <row r="64" spans="1:22">
      <c r="B64" s="10"/>
      <c r="C64" s="7"/>
      <c r="D64" s="7"/>
      <c r="E64" s="7"/>
      <c r="F64" s="7"/>
      <c r="G64" s="13"/>
      <c r="L64" s="126"/>
      <c r="M64" s="127"/>
      <c r="N64" s="127"/>
      <c r="O64" s="127"/>
      <c r="P64" s="127"/>
      <c r="Q64" s="127"/>
      <c r="R64" s="127"/>
      <c r="S64" s="127"/>
      <c r="T64" s="127"/>
      <c r="U64" s="127"/>
      <c r="V64" s="128"/>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pageSetUpPr fitToPage="1"/>
  </sheetPr>
  <dimension ref="A1:V64"/>
  <sheetViews>
    <sheetView zoomScale="75" workbookViewId="0">
      <selection sqref="A1:XFD1048576"/>
    </sheetView>
  </sheetViews>
  <sheetFormatPr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129" t="s">
        <v>162</v>
      </c>
      <c r="B1" s="123"/>
      <c r="C1" s="123"/>
      <c r="D1" s="123"/>
      <c r="E1" s="123"/>
      <c r="F1" s="123"/>
      <c r="G1" s="123"/>
    </row>
    <row r="3" spans="1:22">
      <c r="B3" s="130" t="s">
        <v>1</v>
      </c>
      <c r="C3" s="131"/>
      <c r="D3" s="131"/>
      <c r="E3" s="131"/>
      <c r="F3" s="131"/>
      <c r="G3" s="132"/>
      <c r="L3" s="133" t="s">
        <v>2</v>
      </c>
      <c r="M3" s="134"/>
      <c r="N3" s="134"/>
      <c r="O3" s="134"/>
      <c r="P3" s="134"/>
      <c r="Q3" s="134"/>
      <c r="R3" s="134"/>
      <c r="S3" s="134"/>
      <c r="T3" s="134"/>
      <c r="U3" s="134"/>
      <c r="V3" s="135"/>
    </row>
    <row r="4" spans="1:22">
      <c r="B4" s="8"/>
      <c r="G4" s="11"/>
      <c r="L4" s="136" t="s">
        <v>3</v>
      </c>
      <c r="M4" s="137"/>
      <c r="N4" s="4"/>
      <c r="O4" s="138" t="s">
        <v>4</v>
      </c>
      <c r="P4" s="137"/>
      <c r="Q4" s="4"/>
      <c r="R4" s="138" t="s">
        <v>5</v>
      </c>
      <c r="S4" s="137"/>
      <c r="T4" s="4"/>
      <c r="U4" s="138" t="s">
        <v>6</v>
      </c>
      <c r="V4" s="139"/>
    </row>
    <row r="5" spans="1:22" ht="60" customHeight="1">
      <c r="B5" s="9" t="s">
        <v>3</v>
      </c>
      <c r="C5" s="5" t="s">
        <v>4</v>
      </c>
      <c r="D5" s="5" t="s">
        <v>5</v>
      </c>
      <c r="E5" s="5" t="s">
        <v>6</v>
      </c>
      <c r="F5" s="5" t="s">
        <v>7</v>
      </c>
      <c r="G5" s="12" t="s">
        <v>8</v>
      </c>
      <c r="L5" s="15" t="s">
        <v>9</v>
      </c>
      <c r="M5" s="14" t="s">
        <v>10</v>
      </c>
      <c r="N5" s="14"/>
      <c r="O5" s="14" t="s">
        <v>9</v>
      </c>
      <c r="P5" s="14" t="s">
        <v>10</v>
      </c>
      <c r="Q5" s="14"/>
      <c r="R5" s="14" t="s">
        <v>9</v>
      </c>
      <c r="S5" s="14" t="s">
        <v>10</v>
      </c>
      <c r="T5" s="14"/>
      <c r="U5" s="14" t="s">
        <v>9</v>
      </c>
      <c r="V5" s="16" t="s">
        <v>10</v>
      </c>
    </row>
    <row r="6" spans="1:22">
      <c r="A6" s="1" t="s">
        <v>11</v>
      </c>
      <c r="B6" s="29">
        <v>15033.139524733648</v>
      </c>
      <c r="C6" s="30">
        <v>1930.9984012742061</v>
      </c>
      <c r="D6" s="30">
        <v>0</v>
      </c>
      <c r="E6" s="30">
        <v>0</v>
      </c>
      <c r="F6" s="30">
        <v>0</v>
      </c>
      <c r="G6" s="31">
        <f>SUM(AL_FINANCIAL)</f>
        <v>16964.137926007854</v>
      </c>
      <c r="H6" s="30"/>
      <c r="I6" s="30"/>
      <c r="J6" s="30"/>
      <c r="K6" s="30"/>
      <c r="L6" s="29">
        <v>1082000</v>
      </c>
      <c r="M6" s="30">
        <v>0</v>
      </c>
      <c r="N6" s="30"/>
      <c r="O6" s="30">
        <v>117801</v>
      </c>
      <c r="P6" s="30">
        <v>0</v>
      </c>
      <c r="Q6" s="30"/>
      <c r="R6" s="30">
        <v>0</v>
      </c>
      <c r="S6" s="30">
        <v>0</v>
      </c>
      <c r="T6" s="30"/>
      <c r="U6" s="30">
        <v>0</v>
      </c>
      <c r="V6" s="31">
        <v>0</v>
      </c>
    </row>
    <row r="7" spans="1:22">
      <c r="A7" s="1" t="s">
        <v>12</v>
      </c>
      <c r="B7" s="29">
        <v>1696.0883189567812</v>
      </c>
      <c r="C7" s="30">
        <v>8794.1788358368503</v>
      </c>
      <c r="D7" s="30">
        <v>0</v>
      </c>
      <c r="E7" s="30">
        <v>0</v>
      </c>
      <c r="F7" s="30">
        <v>0</v>
      </c>
      <c r="G7" s="31">
        <f>SUM(AK_FINANCIAL)</f>
        <v>10490.267154793632</v>
      </c>
      <c r="H7" s="30"/>
      <c r="I7" s="32"/>
      <c r="J7" s="33"/>
      <c r="K7" s="30"/>
      <c r="L7" s="29">
        <v>11000</v>
      </c>
      <c r="M7" s="30">
        <v>5200</v>
      </c>
      <c r="N7" s="30"/>
      <c r="O7" s="30">
        <v>36000</v>
      </c>
      <c r="P7" s="30">
        <v>20800</v>
      </c>
      <c r="Q7" s="30"/>
      <c r="R7" s="30">
        <v>0</v>
      </c>
      <c r="S7" s="30">
        <v>8000</v>
      </c>
      <c r="T7" s="30"/>
      <c r="U7" s="30">
        <v>0</v>
      </c>
      <c r="V7" s="31">
        <v>0</v>
      </c>
    </row>
    <row r="8" spans="1:22">
      <c r="A8" s="1" t="s">
        <v>13</v>
      </c>
      <c r="B8" s="29">
        <v>200434.70171443722</v>
      </c>
      <c r="C8" s="30">
        <v>-134705.72472594678</v>
      </c>
      <c r="D8" s="30">
        <v>0</v>
      </c>
      <c r="E8" s="30">
        <v>0</v>
      </c>
      <c r="F8" s="30">
        <v>0</v>
      </c>
      <c r="G8" s="31">
        <f>SUM(AZ_FINANCIAL)</f>
        <v>65728.976988490438</v>
      </c>
      <c r="H8" s="30"/>
      <c r="I8" s="34" t="s">
        <v>14</v>
      </c>
      <c r="J8" s="35"/>
      <c r="K8" s="30"/>
      <c r="L8" s="29">
        <v>847395</v>
      </c>
      <c r="M8" s="30">
        <v>0</v>
      </c>
      <c r="N8" s="30"/>
      <c r="O8" s="30">
        <v>484870</v>
      </c>
      <c r="P8" s="30">
        <v>0</v>
      </c>
      <c r="Q8" s="30"/>
      <c r="R8" s="30">
        <v>0</v>
      </c>
      <c r="S8" s="30">
        <v>0</v>
      </c>
      <c r="T8" s="30"/>
      <c r="U8" s="30">
        <v>0</v>
      </c>
      <c r="V8" s="31">
        <v>0</v>
      </c>
    </row>
    <row r="9" spans="1:22">
      <c r="A9" s="1" t="s">
        <v>15</v>
      </c>
      <c r="B9" s="29">
        <v>41306.379822698771</v>
      </c>
      <c r="C9" s="30">
        <v>-17666.234364808013</v>
      </c>
      <c r="D9" s="30">
        <v>0</v>
      </c>
      <c r="E9" s="30">
        <v>0</v>
      </c>
      <c r="F9" s="30">
        <v>0</v>
      </c>
      <c r="G9" s="31">
        <f>SUM(AR_FINANCIAL)</f>
        <v>23640.145457890758</v>
      </c>
      <c r="H9" s="30"/>
      <c r="I9" s="34"/>
      <c r="J9" s="35"/>
      <c r="K9" s="30"/>
      <c r="L9" s="29">
        <v>1011744</v>
      </c>
      <c r="M9" s="30">
        <v>0</v>
      </c>
      <c r="N9" s="30"/>
      <c r="O9" s="30">
        <v>0</v>
      </c>
      <c r="P9" s="30">
        <v>0</v>
      </c>
      <c r="Q9" s="30"/>
      <c r="R9" s="30">
        <v>0</v>
      </c>
      <c r="S9" s="30">
        <v>0</v>
      </c>
      <c r="T9" s="30"/>
      <c r="U9" s="30">
        <v>0</v>
      </c>
      <c r="V9" s="31">
        <v>0</v>
      </c>
    </row>
    <row r="10" spans="1:22">
      <c r="A10" s="1" t="s">
        <v>16</v>
      </c>
      <c r="B10" s="29">
        <v>245460.74382022582</v>
      </c>
      <c r="C10" s="30">
        <v>10197.563119923463</v>
      </c>
      <c r="D10" s="30">
        <v>0</v>
      </c>
      <c r="E10" s="30">
        <v>0</v>
      </c>
      <c r="F10" s="30">
        <v>0</v>
      </c>
      <c r="G10" s="31">
        <f>SUM(CA_FINANCIAL)</f>
        <v>255658.30694014928</v>
      </c>
      <c r="H10" s="30"/>
      <c r="I10" s="34" t="s">
        <v>17</v>
      </c>
      <c r="J10" s="35">
        <v>141366350.56000003</v>
      </c>
      <c r="K10" s="30"/>
      <c r="L10" s="29">
        <v>6365000</v>
      </c>
      <c r="M10" s="30">
        <v>6300000</v>
      </c>
      <c r="N10" s="30"/>
      <c r="O10" s="30">
        <v>3135000</v>
      </c>
      <c r="P10" s="30">
        <v>3340000</v>
      </c>
      <c r="Q10" s="30"/>
      <c r="R10" s="30">
        <v>0</v>
      </c>
      <c r="S10" s="30">
        <v>0</v>
      </c>
      <c r="T10" s="30"/>
      <c r="U10" s="30">
        <v>0</v>
      </c>
      <c r="V10" s="31">
        <v>0</v>
      </c>
    </row>
    <row r="11" spans="1:22">
      <c r="A11" s="1" t="s">
        <v>18</v>
      </c>
      <c r="B11" s="29">
        <v>244812.15534861898</v>
      </c>
      <c r="C11" s="30">
        <v>20929.651603151869</v>
      </c>
      <c r="D11" s="30">
        <v>0</v>
      </c>
      <c r="E11" s="30">
        <v>0</v>
      </c>
      <c r="F11" s="30">
        <v>0</v>
      </c>
      <c r="G11" s="31">
        <f>SUM(CO_FINANCIAL)</f>
        <v>265741.80695177085</v>
      </c>
      <c r="H11" s="30"/>
      <c r="I11" s="34"/>
      <c r="J11" s="35"/>
      <c r="K11" s="30"/>
      <c r="L11" s="29">
        <v>5700000</v>
      </c>
      <c r="M11" s="30">
        <v>15030160</v>
      </c>
      <c r="N11" s="30"/>
      <c r="O11" s="30">
        <v>0</v>
      </c>
      <c r="P11" s="30">
        <v>0</v>
      </c>
      <c r="Q11" s="30"/>
      <c r="R11" s="30">
        <v>0</v>
      </c>
      <c r="S11" s="30">
        <v>0</v>
      </c>
      <c r="T11" s="30"/>
      <c r="U11" s="30">
        <v>0</v>
      </c>
      <c r="V11" s="31">
        <v>0</v>
      </c>
    </row>
    <row r="12" spans="1:22">
      <c r="A12" s="1" t="s">
        <v>19</v>
      </c>
      <c r="B12" s="29">
        <v>0</v>
      </c>
      <c r="C12" s="30">
        <v>0</v>
      </c>
      <c r="D12" s="30">
        <v>0</v>
      </c>
      <c r="E12" s="30">
        <v>0</v>
      </c>
      <c r="F12" s="30">
        <v>0</v>
      </c>
      <c r="G12" s="31">
        <f>SUM(CT_FINANCIAL)</f>
        <v>0</v>
      </c>
      <c r="H12" s="30"/>
      <c r="I12" s="34" t="s">
        <v>20</v>
      </c>
      <c r="J12" s="35"/>
      <c r="K12" s="30"/>
      <c r="L12" s="29"/>
      <c r="M12" s="30"/>
      <c r="N12" s="30"/>
      <c r="O12" s="30"/>
      <c r="P12" s="30"/>
      <c r="Q12" s="30"/>
      <c r="R12" s="30"/>
      <c r="S12" s="30"/>
      <c r="T12" s="30"/>
      <c r="U12" s="30"/>
      <c r="V12" s="31"/>
    </row>
    <row r="13" spans="1:22">
      <c r="A13" s="1" t="s">
        <v>21</v>
      </c>
      <c r="B13" s="29">
        <v>-15854.902828277205</v>
      </c>
      <c r="C13" s="30">
        <v>-7738.633765920822</v>
      </c>
      <c r="D13" s="30">
        <v>59992.71</v>
      </c>
      <c r="E13" s="30">
        <v>0</v>
      </c>
      <c r="F13" s="30">
        <v>0</v>
      </c>
      <c r="G13" s="31">
        <f>SUM(DE_FINANCIAL)</f>
        <v>36399.173405801972</v>
      </c>
      <c r="H13" s="30"/>
      <c r="I13" s="34" t="s">
        <v>22</v>
      </c>
      <c r="J13" s="35">
        <v>3042199.1999999997</v>
      </c>
      <c r="K13" s="30"/>
      <c r="L13" s="29">
        <v>361000</v>
      </c>
      <c r="M13" s="30">
        <v>0</v>
      </c>
      <c r="N13" s="30"/>
      <c r="O13" s="30">
        <v>114000</v>
      </c>
      <c r="P13" s="30">
        <v>0</v>
      </c>
      <c r="Q13" s="30"/>
      <c r="R13" s="30">
        <v>25000</v>
      </c>
      <c r="S13" s="30">
        <v>0</v>
      </c>
      <c r="T13" s="30"/>
      <c r="U13" s="30">
        <v>0</v>
      </c>
      <c r="V13" s="31">
        <v>0</v>
      </c>
    </row>
    <row r="14" spans="1:22">
      <c r="A14" s="1" t="s">
        <v>23</v>
      </c>
      <c r="B14" s="29">
        <v>5686.0951519903028</v>
      </c>
      <c r="C14" s="30">
        <v>3192.5713592918037</v>
      </c>
      <c r="D14" s="30">
        <v>0</v>
      </c>
      <c r="E14" s="30">
        <v>0</v>
      </c>
      <c r="F14" s="30">
        <v>0</v>
      </c>
      <c r="G14" s="31">
        <f>SUM(DC_FINANCIAL)</f>
        <v>8878.6665112821065</v>
      </c>
      <c r="H14" s="30"/>
      <c r="I14" s="34" t="s">
        <v>24</v>
      </c>
      <c r="J14" s="35">
        <v>2455021.1100000003</v>
      </c>
      <c r="K14" s="30"/>
      <c r="L14" s="29">
        <v>200000</v>
      </c>
      <c r="M14" s="30">
        <v>194500</v>
      </c>
      <c r="N14" s="30"/>
      <c r="O14" s="30">
        <v>150000</v>
      </c>
      <c r="P14" s="30">
        <v>141500</v>
      </c>
      <c r="Q14" s="30"/>
      <c r="R14" s="30">
        <v>0</v>
      </c>
      <c r="S14" s="30">
        <v>0</v>
      </c>
      <c r="T14" s="30"/>
      <c r="U14" s="30">
        <v>0</v>
      </c>
      <c r="V14" s="31">
        <v>0</v>
      </c>
    </row>
    <row r="15" spans="1:22">
      <c r="A15" s="1" t="s">
        <v>25</v>
      </c>
      <c r="B15" s="29">
        <v>176795.12698143907</v>
      </c>
      <c r="C15" s="30">
        <v>94640.230854301713</v>
      </c>
      <c r="D15" s="30">
        <v>0</v>
      </c>
      <c r="E15" s="30">
        <v>0</v>
      </c>
      <c r="F15" s="30">
        <v>0</v>
      </c>
      <c r="G15" s="31">
        <f>SUM(FL_FINANCIAL)</f>
        <v>271435.35783574078</v>
      </c>
      <c r="H15" s="30"/>
      <c r="I15" s="34" t="s">
        <v>26</v>
      </c>
      <c r="J15" s="35">
        <v>1394696.36</v>
      </c>
      <c r="K15" s="30"/>
      <c r="L15" s="29">
        <v>5150000</v>
      </c>
      <c r="M15" s="30">
        <v>0</v>
      </c>
      <c r="N15" s="30"/>
      <c r="O15" s="30">
        <v>5000000</v>
      </c>
      <c r="P15" s="30">
        <v>0</v>
      </c>
      <c r="Q15" s="30"/>
      <c r="R15" s="30">
        <v>0</v>
      </c>
      <c r="S15" s="30">
        <v>0</v>
      </c>
      <c r="T15" s="30"/>
      <c r="U15" s="30">
        <v>0</v>
      </c>
      <c r="V15" s="31">
        <v>0</v>
      </c>
    </row>
    <row r="16" spans="1:22">
      <c r="A16" s="1" t="s">
        <v>27</v>
      </c>
      <c r="B16" s="29">
        <v>63913.804693051614</v>
      </c>
      <c r="C16" s="30">
        <v>31834.704450637335</v>
      </c>
      <c r="D16" s="30">
        <v>0</v>
      </c>
      <c r="E16" s="30">
        <v>0</v>
      </c>
      <c r="F16" s="30">
        <v>0</v>
      </c>
      <c r="G16" s="31">
        <f>SUM(GA_FINANCIAL)</f>
        <v>95748.509143688949</v>
      </c>
      <c r="H16" s="30"/>
      <c r="I16" s="34" t="s">
        <v>28</v>
      </c>
      <c r="J16" s="35">
        <v>0</v>
      </c>
      <c r="K16" s="30"/>
      <c r="L16" s="29">
        <v>3383146</v>
      </c>
      <c r="M16" s="30">
        <v>0</v>
      </c>
      <c r="N16" s="30"/>
      <c r="O16" s="30">
        <v>1116854</v>
      </c>
      <c r="P16" s="30">
        <v>54811.68</v>
      </c>
      <c r="Q16" s="30"/>
      <c r="R16" s="30">
        <v>0</v>
      </c>
      <c r="S16" s="30">
        <v>0</v>
      </c>
      <c r="T16" s="30"/>
      <c r="U16" s="30">
        <v>0</v>
      </c>
      <c r="V16" s="31">
        <v>0</v>
      </c>
    </row>
    <row r="17" spans="1:22">
      <c r="A17" s="1" t="s">
        <v>29</v>
      </c>
      <c r="B17" s="29">
        <v>2391.7201478318511</v>
      </c>
      <c r="C17" s="30">
        <v>8658.9443072627982</v>
      </c>
      <c r="D17" s="30">
        <v>0</v>
      </c>
      <c r="E17" s="30">
        <v>0</v>
      </c>
      <c r="F17" s="30">
        <v>0</v>
      </c>
      <c r="G17" s="31">
        <f>SUM(HI_FINANCIAL)</f>
        <v>11050.664455094649</v>
      </c>
      <c r="H17" s="30"/>
      <c r="I17" s="34"/>
      <c r="J17" s="35"/>
      <c r="K17" s="30"/>
      <c r="L17" s="29">
        <v>8116</v>
      </c>
      <c r="M17" s="30">
        <v>0</v>
      </c>
      <c r="N17" s="30"/>
      <c r="O17" s="30">
        <v>27842</v>
      </c>
      <c r="P17" s="30">
        <v>0</v>
      </c>
      <c r="Q17" s="30"/>
      <c r="R17" s="30">
        <v>118</v>
      </c>
      <c r="S17" s="30">
        <v>0</v>
      </c>
      <c r="T17" s="30"/>
      <c r="U17" s="30">
        <v>0</v>
      </c>
      <c r="V17" s="31">
        <v>0</v>
      </c>
    </row>
    <row r="18" spans="1:22">
      <c r="A18" s="1" t="s">
        <v>30</v>
      </c>
      <c r="B18" s="29">
        <v>45933.155420857482</v>
      </c>
      <c r="C18" s="30">
        <v>17458.54184067453</v>
      </c>
      <c r="D18" s="30">
        <v>0</v>
      </c>
      <c r="E18" s="30">
        <v>0</v>
      </c>
      <c r="F18" s="30">
        <v>0</v>
      </c>
      <c r="G18" s="31">
        <f>SUM(ID_FINANCIAL)</f>
        <v>63391.697261532012</v>
      </c>
      <c r="H18" s="30"/>
      <c r="I18" s="34" t="s">
        <v>31</v>
      </c>
      <c r="J18" s="35"/>
      <c r="K18" s="30"/>
      <c r="L18" s="29">
        <v>1452565</v>
      </c>
      <c r="M18" s="30">
        <v>575959</v>
      </c>
      <c r="N18" s="30"/>
      <c r="O18" s="30">
        <v>47435</v>
      </c>
      <c r="P18" s="30">
        <v>0</v>
      </c>
      <c r="Q18" s="30"/>
      <c r="R18" s="30">
        <v>0</v>
      </c>
      <c r="S18" s="30">
        <v>0</v>
      </c>
      <c r="T18" s="30"/>
      <c r="U18" s="30">
        <v>0</v>
      </c>
      <c r="V18" s="31">
        <v>0</v>
      </c>
    </row>
    <row r="19" spans="1:22">
      <c r="A19" s="1" t="s">
        <v>32</v>
      </c>
      <c r="B19" s="29">
        <v>188880.60947754607</v>
      </c>
      <c r="C19" s="30">
        <v>128949.44682806171</v>
      </c>
      <c r="D19" s="30">
        <v>0</v>
      </c>
      <c r="E19" s="30">
        <v>0</v>
      </c>
      <c r="F19" s="30">
        <v>0</v>
      </c>
      <c r="G19" s="31">
        <f>SUM(IL_FINANCIAL)</f>
        <v>317830.05630560778</v>
      </c>
      <c r="H19" s="30"/>
      <c r="I19" s="34" t="s">
        <v>33</v>
      </c>
      <c r="J19" s="35">
        <v>9667531</v>
      </c>
      <c r="K19" s="30"/>
      <c r="L19" s="29">
        <v>8250000</v>
      </c>
      <c r="M19" s="30">
        <v>7954109</v>
      </c>
      <c r="N19" s="30"/>
      <c r="O19" s="30">
        <v>3500000</v>
      </c>
      <c r="P19" s="30">
        <v>4076745</v>
      </c>
      <c r="Q19" s="30"/>
      <c r="R19" s="30">
        <v>0</v>
      </c>
      <c r="S19" s="30">
        <v>0</v>
      </c>
      <c r="T19" s="30"/>
      <c r="U19" s="30">
        <v>0</v>
      </c>
      <c r="V19" s="31">
        <v>0</v>
      </c>
    </row>
    <row r="20" spans="1:22">
      <c r="A20" s="1" t="s">
        <v>34</v>
      </c>
      <c r="B20" s="29">
        <v>225325.03103228845</v>
      </c>
      <c r="C20" s="30">
        <v>-93505.707156196702</v>
      </c>
      <c r="D20" s="30">
        <v>0</v>
      </c>
      <c r="E20" s="30">
        <v>0</v>
      </c>
      <c r="F20" s="30">
        <v>0</v>
      </c>
      <c r="G20" s="31">
        <f>SUM(IN_FINANCIAL)</f>
        <v>131819.32387609174</v>
      </c>
      <c r="H20" s="30"/>
      <c r="I20" s="34" t="s">
        <v>35</v>
      </c>
      <c r="J20" s="35">
        <v>2064096.2</v>
      </c>
      <c r="K20" s="30"/>
      <c r="L20" s="29">
        <v>1994431</v>
      </c>
      <c r="M20" s="30">
        <v>0</v>
      </c>
      <c r="N20" s="30"/>
      <c r="O20" s="30">
        <v>0</v>
      </c>
      <c r="P20" s="30">
        <v>0</v>
      </c>
      <c r="Q20" s="30"/>
      <c r="R20" s="30">
        <v>0</v>
      </c>
      <c r="S20" s="30">
        <v>0</v>
      </c>
      <c r="T20" s="30"/>
      <c r="U20" s="30">
        <v>0</v>
      </c>
      <c r="V20" s="31">
        <v>0</v>
      </c>
    </row>
    <row r="21" spans="1:22">
      <c r="A21" s="1" t="s">
        <v>36</v>
      </c>
      <c r="B21" s="29">
        <v>23176.167813559412</v>
      </c>
      <c r="C21" s="30">
        <v>33325.530977464048</v>
      </c>
      <c r="D21" s="30">
        <v>0</v>
      </c>
      <c r="E21" s="30">
        <v>0</v>
      </c>
      <c r="F21" s="30">
        <v>0</v>
      </c>
      <c r="G21" s="31">
        <f>SUM(IA_FINANCIAL)</f>
        <v>56501.69879102346</v>
      </c>
      <c r="H21" s="30"/>
      <c r="I21" s="34" t="s">
        <v>37</v>
      </c>
      <c r="J21" s="35"/>
      <c r="K21" s="30"/>
      <c r="L21" s="29">
        <v>1100000</v>
      </c>
      <c r="M21" s="30">
        <v>0</v>
      </c>
      <c r="N21" s="30"/>
      <c r="O21" s="30">
        <v>1200000</v>
      </c>
      <c r="P21" s="30">
        <v>0</v>
      </c>
      <c r="Q21" s="30"/>
      <c r="R21" s="30">
        <v>0</v>
      </c>
      <c r="S21" s="30">
        <v>0</v>
      </c>
      <c r="T21" s="30"/>
      <c r="U21" s="30">
        <v>0</v>
      </c>
      <c r="V21" s="31">
        <v>0</v>
      </c>
    </row>
    <row r="22" spans="1:22">
      <c r="A22" s="1" t="s">
        <v>38</v>
      </c>
      <c r="B22" s="29">
        <v>9629.1155175312306</v>
      </c>
      <c r="C22" s="30">
        <v>3936.1826876645209</v>
      </c>
      <c r="D22" s="30">
        <v>0</v>
      </c>
      <c r="E22" s="30">
        <v>0</v>
      </c>
      <c r="F22" s="30">
        <v>0</v>
      </c>
      <c r="G22" s="31">
        <f>SUM(KS_FINANCIAL)</f>
        <v>13565.298205195752</v>
      </c>
      <c r="H22" s="30"/>
      <c r="I22" s="34" t="s">
        <v>39</v>
      </c>
      <c r="J22" s="35">
        <v>16832492.000000007</v>
      </c>
      <c r="K22" s="30"/>
      <c r="L22" s="29">
        <v>175000</v>
      </c>
      <c r="M22" s="30">
        <v>0</v>
      </c>
      <c r="N22" s="30"/>
      <c r="O22" s="30">
        <v>0</v>
      </c>
      <c r="P22" s="30">
        <v>0</v>
      </c>
      <c r="Q22" s="30"/>
      <c r="R22" s="30">
        <v>0</v>
      </c>
      <c r="S22" s="30">
        <v>0</v>
      </c>
      <c r="T22" s="30"/>
      <c r="U22" s="30">
        <v>0</v>
      </c>
      <c r="V22" s="31">
        <v>0</v>
      </c>
    </row>
    <row r="23" spans="1:22">
      <c r="A23" s="1" t="s">
        <v>40</v>
      </c>
      <c r="B23" s="29">
        <v>54665.655615967466</v>
      </c>
      <c r="C23" s="30">
        <v>13997.235691887559</v>
      </c>
      <c r="D23" s="30">
        <v>0</v>
      </c>
      <c r="E23" s="30">
        <v>0</v>
      </c>
      <c r="F23" s="30">
        <v>0</v>
      </c>
      <c r="G23" s="31">
        <f>SUM(KY_FINANCIAL)</f>
        <v>68662.891307855025</v>
      </c>
      <c r="H23" s="30"/>
      <c r="I23" s="34" t="s">
        <v>41</v>
      </c>
      <c r="J23" s="35"/>
      <c r="K23" s="30"/>
      <c r="L23" s="29">
        <v>5527178</v>
      </c>
      <c r="M23" s="30">
        <v>2183394</v>
      </c>
      <c r="N23" s="30"/>
      <c r="O23" s="30">
        <v>882755</v>
      </c>
      <c r="P23" s="30">
        <v>445606</v>
      </c>
      <c r="Q23" s="30"/>
      <c r="R23" s="30">
        <v>0</v>
      </c>
      <c r="S23" s="30">
        <v>0</v>
      </c>
      <c r="T23" s="30"/>
      <c r="U23" s="30">
        <v>0</v>
      </c>
      <c r="V23" s="31">
        <v>0</v>
      </c>
    </row>
    <row r="24" spans="1:22">
      <c r="A24" s="1" t="s">
        <v>42</v>
      </c>
      <c r="B24" s="29">
        <v>0</v>
      </c>
      <c r="C24" s="30">
        <v>0</v>
      </c>
      <c r="D24" s="30">
        <v>0</v>
      </c>
      <c r="E24" s="30">
        <v>0</v>
      </c>
      <c r="F24" s="30">
        <v>0</v>
      </c>
      <c r="G24" s="31">
        <f>SUM(LA_FINANCIAL)</f>
        <v>0</v>
      </c>
      <c r="H24" s="30"/>
      <c r="I24" s="34" t="s">
        <v>43</v>
      </c>
      <c r="J24" s="35">
        <v>115036898.00000001</v>
      </c>
      <c r="K24" s="30"/>
      <c r="L24" s="29"/>
      <c r="M24" s="30"/>
      <c r="N24" s="30"/>
      <c r="O24" s="30"/>
      <c r="P24" s="30"/>
      <c r="Q24" s="30"/>
      <c r="R24" s="30"/>
      <c r="S24" s="30"/>
      <c r="T24" s="30"/>
      <c r="U24" s="30"/>
      <c r="V24" s="31"/>
    </row>
    <row r="25" spans="1:22">
      <c r="A25" s="1" t="s">
        <v>44</v>
      </c>
      <c r="B25" s="29">
        <v>0</v>
      </c>
      <c r="C25" s="30">
        <v>0</v>
      </c>
      <c r="D25" s="30">
        <v>0</v>
      </c>
      <c r="E25" s="30">
        <v>0</v>
      </c>
      <c r="F25" s="30">
        <v>0</v>
      </c>
      <c r="G25" s="31">
        <f>SUM(ME_FINANCIAL)</f>
        <v>0</v>
      </c>
      <c r="H25" s="30"/>
      <c r="I25" s="34"/>
      <c r="J25" s="35"/>
      <c r="K25" s="30"/>
      <c r="L25" s="29"/>
      <c r="M25" s="30"/>
      <c r="N25" s="30"/>
      <c r="O25" s="30"/>
      <c r="P25" s="30"/>
      <c r="Q25" s="30"/>
      <c r="R25" s="30"/>
      <c r="S25" s="30"/>
      <c r="T25" s="30"/>
      <c r="U25" s="30"/>
      <c r="V25" s="31"/>
    </row>
    <row r="26" spans="1:22">
      <c r="A26" s="1" t="s">
        <v>45</v>
      </c>
      <c r="B26" s="29">
        <v>69420.103058065986</v>
      </c>
      <c r="C26" s="30">
        <v>13713.178968020045</v>
      </c>
      <c r="D26" s="30">
        <v>0</v>
      </c>
      <c r="E26" s="30">
        <v>0</v>
      </c>
      <c r="F26" s="30">
        <v>0</v>
      </c>
      <c r="G26" s="31">
        <f>SUM(MD_FINANCIAL)</f>
        <v>83133.282026086032</v>
      </c>
      <c r="H26" s="30"/>
      <c r="I26" s="34" t="s">
        <v>46</v>
      </c>
      <c r="J26" s="35">
        <f>SUM(ADD_FINANCIAL)-SUM(LESS_FINANCIAL)</f>
        <v>4657250.030000031</v>
      </c>
      <c r="K26" s="30"/>
      <c r="L26" s="29">
        <v>1420000</v>
      </c>
      <c r="M26" s="30">
        <v>0</v>
      </c>
      <c r="N26" s="30"/>
      <c r="O26" s="30">
        <v>280000</v>
      </c>
      <c r="P26" s="30">
        <v>0</v>
      </c>
      <c r="Q26" s="30"/>
      <c r="R26" s="30">
        <v>0</v>
      </c>
      <c r="S26" s="30">
        <v>0</v>
      </c>
      <c r="T26" s="30"/>
      <c r="U26" s="30">
        <v>0</v>
      </c>
      <c r="V26" s="31">
        <v>0</v>
      </c>
    </row>
    <row r="27" spans="1:22">
      <c r="A27" s="1" t="s">
        <v>47</v>
      </c>
      <c r="B27" s="29">
        <v>5037.840860619006</v>
      </c>
      <c r="C27" s="30">
        <v>2147.0116320906091</v>
      </c>
      <c r="D27" s="30">
        <v>0</v>
      </c>
      <c r="E27" s="30">
        <v>0</v>
      </c>
      <c r="F27" s="30">
        <v>0</v>
      </c>
      <c r="G27" s="31">
        <f>SUM(MA_FINANCIAL)</f>
        <v>7184.852492709615</v>
      </c>
      <c r="H27" s="30"/>
      <c r="I27" s="34" t="s">
        <v>48</v>
      </c>
      <c r="J27" s="35">
        <f>SUM(ALL_BLOCKS)</f>
        <v>4657250.0299999807</v>
      </c>
      <c r="K27" s="30"/>
      <c r="L27" s="29"/>
      <c r="M27" s="30"/>
      <c r="N27" s="30"/>
      <c r="O27" s="30"/>
      <c r="P27" s="30"/>
      <c r="Q27" s="30"/>
      <c r="R27" s="30"/>
      <c r="S27" s="30"/>
      <c r="T27" s="30"/>
      <c r="U27" s="30"/>
      <c r="V27" s="31"/>
    </row>
    <row r="28" spans="1:22">
      <c r="A28" s="1" t="s">
        <v>49</v>
      </c>
      <c r="B28" s="29">
        <v>1504.6524817432182</v>
      </c>
      <c r="C28" s="30">
        <v>47.391098727699159</v>
      </c>
      <c r="D28" s="30">
        <v>0</v>
      </c>
      <c r="E28" s="30">
        <v>0</v>
      </c>
      <c r="F28" s="30">
        <v>0</v>
      </c>
      <c r="G28" s="31">
        <f>SUM(MI_FINANCIAL)</f>
        <v>1552.0435804709173</v>
      </c>
      <c r="H28" s="30"/>
      <c r="I28" s="36"/>
      <c r="J28" s="37"/>
      <c r="K28" s="30"/>
      <c r="L28" s="29"/>
      <c r="M28" s="30"/>
      <c r="N28" s="30"/>
      <c r="O28" s="30"/>
      <c r="P28" s="30"/>
      <c r="Q28" s="30"/>
      <c r="R28" s="30"/>
      <c r="S28" s="30"/>
      <c r="T28" s="30"/>
      <c r="U28" s="30"/>
      <c r="V28" s="31"/>
    </row>
    <row r="29" spans="1:22">
      <c r="A29" s="1" t="s">
        <v>50</v>
      </c>
      <c r="B29" s="29">
        <v>210295.14582347684</v>
      </c>
      <c r="C29" s="30">
        <v>281849.03611123189</v>
      </c>
      <c r="D29" s="30">
        <v>0</v>
      </c>
      <c r="E29" s="30">
        <v>0</v>
      </c>
      <c r="F29" s="30">
        <v>0</v>
      </c>
      <c r="G29" s="31">
        <f>SUM(MN_FINANCIAL)</f>
        <v>492144.18193470873</v>
      </c>
      <c r="H29" s="30"/>
      <c r="I29" s="30"/>
      <c r="J29" s="30"/>
      <c r="K29" s="30"/>
      <c r="L29" s="29">
        <v>3800000</v>
      </c>
      <c r="M29" s="30">
        <v>0</v>
      </c>
      <c r="N29" s="30"/>
      <c r="O29" s="30">
        <v>5100000</v>
      </c>
      <c r="P29" s="30">
        <v>0</v>
      </c>
      <c r="Q29" s="30"/>
      <c r="R29" s="30">
        <v>0</v>
      </c>
      <c r="S29" s="30">
        <v>0</v>
      </c>
      <c r="T29" s="30"/>
      <c r="U29" s="30">
        <v>0</v>
      </c>
      <c r="V29" s="31">
        <v>0</v>
      </c>
    </row>
    <row r="30" spans="1:22">
      <c r="A30" s="1" t="s">
        <v>51</v>
      </c>
      <c r="B30" s="29">
        <v>42223.355968121206</v>
      </c>
      <c r="C30" s="30">
        <v>4577.110963457264</v>
      </c>
      <c r="D30" s="30">
        <v>0</v>
      </c>
      <c r="E30" s="30">
        <v>0</v>
      </c>
      <c r="F30" s="30">
        <v>0</v>
      </c>
      <c r="G30" s="31">
        <f>SUM(MS_FINANCIAL)</f>
        <v>46800.46693157847</v>
      </c>
      <c r="H30" s="30"/>
      <c r="I30" s="30"/>
      <c r="J30" s="30"/>
      <c r="K30" s="30"/>
      <c r="L30" s="29">
        <v>1431852</v>
      </c>
      <c r="M30" s="30">
        <v>0</v>
      </c>
      <c r="N30" s="30"/>
      <c r="O30" s="30">
        <v>268148</v>
      </c>
      <c r="P30" s="30">
        <v>0</v>
      </c>
      <c r="Q30" s="30"/>
      <c r="R30" s="30">
        <v>0</v>
      </c>
      <c r="S30" s="30">
        <v>0</v>
      </c>
      <c r="T30" s="30"/>
      <c r="U30" s="30">
        <v>0</v>
      </c>
      <c r="V30" s="31">
        <v>0</v>
      </c>
    </row>
    <row r="31" spans="1:22">
      <c r="A31" s="1" t="s">
        <v>52</v>
      </c>
      <c r="B31" s="29">
        <v>167763.27743106941</v>
      </c>
      <c r="C31" s="30">
        <v>-39339.646846013144</v>
      </c>
      <c r="D31" s="30">
        <v>0</v>
      </c>
      <c r="E31" s="30">
        <v>0</v>
      </c>
      <c r="F31" s="30">
        <v>0</v>
      </c>
      <c r="G31" s="31">
        <f>SUM(MO_FINANCIAL)</f>
        <v>128423.63058505626</v>
      </c>
      <c r="H31" s="30"/>
      <c r="I31" s="30"/>
      <c r="J31" s="30"/>
      <c r="K31" s="30"/>
      <c r="L31" s="29">
        <v>1794890</v>
      </c>
      <c r="M31" s="30">
        <v>0</v>
      </c>
      <c r="N31" s="30"/>
      <c r="O31" s="30">
        <v>2035480</v>
      </c>
      <c r="P31" s="30">
        <v>0</v>
      </c>
      <c r="Q31" s="30"/>
      <c r="R31" s="30">
        <v>0</v>
      </c>
      <c r="S31" s="30">
        <v>0</v>
      </c>
      <c r="T31" s="30"/>
      <c r="U31" s="30">
        <v>0</v>
      </c>
      <c r="V31" s="31">
        <v>0</v>
      </c>
    </row>
    <row r="32" spans="1:22">
      <c r="A32" s="1" t="s">
        <v>53</v>
      </c>
      <c r="B32" s="29">
        <v>27536.977915830677</v>
      </c>
      <c r="C32" s="30">
        <v>7940.9145779886167</v>
      </c>
      <c r="D32" s="30">
        <v>0</v>
      </c>
      <c r="E32" s="30">
        <v>0</v>
      </c>
      <c r="F32" s="30">
        <v>0</v>
      </c>
      <c r="G32" s="31">
        <f>SUM(MT_FINANCIAL)</f>
        <v>35477.892493819294</v>
      </c>
      <c r="H32" s="30"/>
      <c r="I32" s="30"/>
      <c r="J32" s="30"/>
      <c r="K32" s="30"/>
      <c r="L32" s="29">
        <v>616000</v>
      </c>
      <c r="M32" s="30">
        <v>0</v>
      </c>
      <c r="N32" s="30"/>
      <c r="O32" s="30">
        <v>184000</v>
      </c>
      <c r="P32" s="30">
        <v>0</v>
      </c>
      <c r="Q32" s="30"/>
      <c r="R32" s="30">
        <v>0</v>
      </c>
      <c r="S32" s="30">
        <v>0</v>
      </c>
      <c r="T32" s="30"/>
      <c r="U32" s="30">
        <v>0</v>
      </c>
      <c r="V32" s="31">
        <v>0</v>
      </c>
    </row>
    <row r="33" spans="1:22">
      <c r="A33" s="1" t="s">
        <v>54</v>
      </c>
      <c r="B33" s="29">
        <v>22624.367614467395</v>
      </c>
      <c r="C33" s="30">
        <v>14468.541359893105</v>
      </c>
      <c r="D33" s="30">
        <v>0</v>
      </c>
      <c r="E33" s="30">
        <v>0</v>
      </c>
      <c r="F33" s="30">
        <v>0</v>
      </c>
      <c r="G33" s="31">
        <f>SUM(NE_FINANCIAL)</f>
        <v>37092.9089743605</v>
      </c>
      <c r="H33" s="30"/>
      <c r="I33" s="30"/>
      <c r="J33" s="30"/>
      <c r="K33" s="30"/>
      <c r="L33" s="29">
        <v>891000</v>
      </c>
      <c r="M33" s="30">
        <v>395035</v>
      </c>
      <c r="N33" s="30"/>
      <c r="O33" s="30">
        <v>315115</v>
      </c>
      <c r="P33" s="30">
        <v>274965</v>
      </c>
      <c r="Q33" s="30"/>
      <c r="R33" s="30">
        <v>0</v>
      </c>
      <c r="S33" s="30">
        <v>0</v>
      </c>
      <c r="T33" s="30"/>
      <c r="U33" s="30">
        <v>0</v>
      </c>
      <c r="V33" s="31">
        <v>0</v>
      </c>
    </row>
    <row r="34" spans="1:22">
      <c r="A34" s="1" t="s">
        <v>55</v>
      </c>
      <c r="B34" s="29">
        <v>66688.875314358156</v>
      </c>
      <c r="C34" s="30">
        <v>-5914.0732370376936</v>
      </c>
      <c r="D34" s="30">
        <v>0</v>
      </c>
      <c r="E34" s="30">
        <v>0</v>
      </c>
      <c r="F34" s="30">
        <v>0</v>
      </c>
      <c r="G34" s="31">
        <f>SUM(NV_FINANCIAL)</f>
        <v>60774.802077320463</v>
      </c>
      <c r="H34" s="30"/>
      <c r="I34" s="30"/>
      <c r="J34" s="30"/>
      <c r="K34" s="30"/>
      <c r="L34" s="29">
        <v>1331000</v>
      </c>
      <c r="M34" s="30">
        <v>337000</v>
      </c>
      <c r="N34" s="30"/>
      <c r="O34" s="30">
        <v>229000</v>
      </c>
      <c r="P34" s="30">
        <v>55000</v>
      </c>
      <c r="Q34" s="30"/>
      <c r="R34" s="30">
        <v>0</v>
      </c>
      <c r="S34" s="30">
        <v>0</v>
      </c>
      <c r="T34" s="30"/>
      <c r="U34" s="30">
        <v>0</v>
      </c>
      <c r="V34" s="31">
        <v>0</v>
      </c>
    </row>
    <row r="35" spans="1:22">
      <c r="A35" s="1" t="s">
        <v>56</v>
      </c>
      <c r="B35" s="29">
        <v>3390.3364427334745</v>
      </c>
      <c r="C35" s="30">
        <v>115.51962634824758</v>
      </c>
      <c r="D35" s="30">
        <v>0</v>
      </c>
      <c r="E35" s="30">
        <v>0</v>
      </c>
      <c r="F35" s="30">
        <v>0</v>
      </c>
      <c r="G35" s="31">
        <f>SUM(NH_FINANCIAL)</f>
        <v>3505.8560690817221</v>
      </c>
      <c r="H35" s="30"/>
      <c r="I35" s="30"/>
      <c r="J35" s="30"/>
      <c r="K35" s="30"/>
      <c r="L35" s="29">
        <v>150000</v>
      </c>
      <c r="M35" s="30">
        <v>0</v>
      </c>
      <c r="N35" s="30"/>
      <c r="O35" s="30">
        <v>0</v>
      </c>
      <c r="P35" s="30">
        <v>0</v>
      </c>
      <c r="Q35" s="30"/>
      <c r="R35" s="30">
        <v>0</v>
      </c>
      <c r="S35" s="30">
        <v>0</v>
      </c>
      <c r="T35" s="30"/>
      <c r="U35" s="30">
        <v>0</v>
      </c>
      <c r="V35" s="31">
        <v>0</v>
      </c>
    </row>
    <row r="36" spans="1:22">
      <c r="A36" s="1" t="s">
        <v>57</v>
      </c>
      <c r="B36" s="29">
        <v>0</v>
      </c>
      <c r="C36" s="30">
        <v>0</v>
      </c>
      <c r="D36" s="30">
        <v>0</v>
      </c>
      <c r="E36" s="30">
        <v>0</v>
      </c>
      <c r="F36" s="30">
        <v>0</v>
      </c>
      <c r="G36" s="31">
        <f>SUM(NJ_FINANCIAL)</f>
        <v>0</v>
      </c>
      <c r="H36" s="30"/>
      <c r="I36" s="30"/>
      <c r="J36" s="30"/>
      <c r="K36" s="30"/>
      <c r="L36" s="29"/>
      <c r="M36" s="30"/>
      <c r="N36" s="30"/>
      <c r="O36" s="30"/>
      <c r="P36" s="30"/>
      <c r="Q36" s="30"/>
      <c r="R36" s="30"/>
      <c r="S36" s="30"/>
      <c r="T36" s="30"/>
      <c r="U36" s="30"/>
      <c r="V36" s="31"/>
    </row>
    <row r="37" spans="1:22">
      <c r="A37" s="1" t="s">
        <v>58</v>
      </c>
      <c r="B37" s="29">
        <v>31825.851136973419</v>
      </c>
      <c r="C37" s="30">
        <v>35633.229741279152</v>
      </c>
      <c r="D37" s="30">
        <v>0</v>
      </c>
      <c r="E37" s="30">
        <v>0</v>
      </c>
      <c r="F37" s="30">
        <v>0</v>
      </c>
      <c r="G37" s="31">
        <f>SUM(NM_FINANCIAL)</f>
        <v>67459.080878252571</v>
      </c>
      <c r="H37" s="30"/>
      <c r="I37" s="30"/>
      <c r="J37" s="30"/>
      <c r="K37" s="30"/>
      <c r="L37" s="29"/>
      <c r="M37" s="30"/>
      <c r="N37" s="30"/>
      <c r="O37" s="30"/>
      <c r="P37" s="30"/>
      <c r="Q37" s="30"/>
      <c r="R37" s="30"/>
      <c r="S37" s="30"/>
      <c r="T37" s="30"/>
      <c r="U37" s="30"/>
      <c r="V37" s="31"/>
    </row>
    <row r="38" spans="1:22">
      <c r="A38" s="1" t="s">
        <v>59</v>
      </c>
      <c r="B38" s="29">
        <v>0</v>
      </c>
      <c r="C38" s="30">
        <v>0</v>
      </c>
      <c r="D38" s="30">
        <v>0</v>
      </c>
      <c r="E38" s="30">
        <v>0</v>
      </c>
      <c r="F38" s="30">
        <v>0</v>
      </c>
      <c r="G38" s="31">
        <f>SUM(NY_FINANCIAL)</f>
        <v>0</v>
      </c>
      <c r="H38" s="30"/>
      <c r="I38" s="30"/>
      <c r="J38" s="30"/>
      <c r="K38" s="30"/>
      <c r="L38" s="29"/>
      <c r="M38" s="30"/>
      <c r="N38" s="30"/>
      <c r="O38" s="30"/>
      <c r="P38" s="30"/>
      <c r="Q38" s="30"/>
      <c r="R38" s="30"/>
      <c r="S38" s="30"/>
      <c r="T38" s="30"/>
      <c r="U38" s="30"/>
      <c r="V38" s="31"/>
    </row>
    <row r="39" spans="1:22">
      <c r="A39" s="1" t="s">
        <v>60</v>
      </c>
      <c r="B39" s="29">
        <v>70603.491815781686</v>
      </c>
      <c r="C39" s="30">
        <v>9355.6153316235868</v>
      </c>
      <c r="D39" s="30">
        <v>-444.17</v>
      </c>
      <c r="E39" s="30">
        <v>0</v>
      </c>
      <c r="F39" s="30">
        <v>0</v>
      </c>
      <c r="G39" s="31">
        <f>SUM(NC_FINANCIAL)</f>
        <v>79514.937147405275</v>
      </c>
      <c r="H39" s="30"/>
      <c r="I39" s="30"/>
      <c r="J39" s="30"/>
      <c r="K39" s="30"/>
      <c r="L39" s="29"/>
      <c r="M39" s="30"/>
      <c r="N39" s="30"/>
      <c r="O39" s="30"/>
      <c r="P39" s="30"/>
      <c r="Q39" s="30"/>
      <c r="R39" s="30"/>
      <c r="S39" s="30"/>
      <c r="T39" s="30"/>
      <c r="U39" s="30"/>
      <c r="V39" s="31"/>
    </row>
    <row r="40" spans="1:22">
      <c r="A40" s="1" t="s">
        <v>61</v>
      </c>
      <c r="B40" s="29">
        <v>13662.332956366183</v>
      </c>
      <c r="C40" s="30">
        <v>8735.2779685525456</v>
      </c>
      <c r="D40" s="30">
        <v>0</v>
      </c>
      <c r="E40" s="30">
        <v>0</v>
      </c>
      <c r="F40" s="30">
        <v>0</v>
      </c>
      <c r="G40" s="31">
        <f>SUM(ND_FINANCIAL)</f>
        <v>22397.610924918728</v>
      </c>
      <c r="H40" s="30"/>
      <c r="I40" s="30"/>
      <c r="J40" s="30"/>
      <c r="K40" s="30"/>
      <c r="L40" s="29">
        <v>442600</v>
      </c>
      <c r="M40" s="30">
        <v>423000</v>
      </c>
      <c r="N40" s="30"/>
      <c r="O40" s="30">
        <v>282400</v>
      </c>
      <c r="P40" s="30">
        <v>214000</v>
      </c>
      <c r="Q40" s="30"/>
      <c r="R40" s="30">
        <v>0</v>
      </c>
      <c r="S40" s="30">
        <v>0</v>
      </c>
      <c r="T40" s="30"/>
      <c r="U40" s="30">
        <v>0</v>
      </c>
      <c r="V40" s="31">
        <v>0</v>
      </c>
    </row>
    <row r="41" spans="1:22">
      <c r="A41" s="1" t="s">
        <v>62</v>
      </c>
      <c r="B41" s="29">
        <v>0</v>
      </c>
      <c r="C41" s="30">
        <v>0</v>
      </c>
      <c r="D41" s="30">
        <v>0</v>
      </c>
      <c r="E41" s="30">
        <v>0</v>
      </c>
      <c r="F41" s="30">
        <v>0</v>
      </c>
      <c r="G41" s="31">
        <f>SUM(OH_FINANCIAL)</f>
        <v>0</v>
      </c>
      <c r="H41" s="30"/>
      <c r="I41" s="30"/>
      <c r="J41" s="30"/>
      <c r="K41" s="30"/>
      <c r="L41" s="29"/>
      <c r="M41" s="30"/>
      <c r="N41" s="30"/>
      <c r="O41" s="30"/>
      <c r="P41" s="30"/>
      <c r="Q41" s="30"/>
      <c r="R41" s="30"/>
      <c r="S41" s="30"/>
      <c r="T41" s="30"/>
      <c r="U41" s="30"/>
      <c r="V41" s="31"/>
    </row>
    <row r="42" spans="1:22">
      <c r="A42" s="1" t="s">
        <v>63</v>
      </c>
      <c r="B42" s="29">
        <v>52898.816631057882</v>
      </c>
      <c r="C42" s="30">
        <v>126367.11288955202</v>
      </c>
      <c r="D42" s="30">
        <v>0</v>
      </c>
      <c r="E42" s="30">
        <v>0</v>
      </c>
      <c r="F42" s="30">
        <v>0</v>
      </c>
      <c r="G42" s="31">
        <f>SUM(OK_FINANCIAL)</f>
        <v>179265.92952060991</v>
      </c>
      <c r="H42" s="30"/>
      <c r="I42" s="30"/>
      <c r="J42" s="30"/>
      <c r="K42" s="30"/>
      <c r="L42" s="29">
        <v>560000</v>
      </c>
      <c r="M42" s="30">
        <v>501200</v>
      </c>
      <c r="N42" s="30"/>
      <c r="O42" s="30">
        <v>1440000</v>
      </c>
      <c r="P42" s="30">
        <v>1288800</v>
      </c>
      <c r="Q42" s="30"/>
      <c r="R42" s="30">
        <v>0</v>
      </c>
      <c r="S42" s="30">
        <v>0</v>
      </c>
      <c r="T42" s="30"/>
      <c r="U42" s="30">
        <v>0</v>
      </c>
      <c r="V42" s="31">
        <v>0</v>
      </c>
    </row>
    <row r="43" spans="1:22">
      <c r="A43" s="1" t="s">
        <v>64</v>
      </c>
      <c r="B43" s="29">
        <v>51554.010727281449</v>
      </c>
      <c r="C43" s="30">
        <v>16173.158069419675</v>
      </c>
      <c r="D43" s="30">
        <v>0</v>
      </c>
      <c r="E43" s="30">
        <v>0</v>
      </c>
      <c r="F43" s="30">
        <v>0</v>
      </c>
      <c r="G43" s="31">
        <f>SUM(OR_FINANCIAL)</f>
        <v>67727.168796701124</v>
      </c>
      <c r="H43" s="30"/>
      <c r="I43" s="30"/>
      <c r="J43" s="30"/>
      <c r="K43" s="30"/>
      <c r="L43" s="29">
        <v>2446348</v>
      </c>
      <c r="M43" s="30">
        <v>0</v>
      </c>
      <c r="N43" s="30"/>
      <c r="O43" s="30">
        <v>726253</v>
      </c>
      <c r="P43" s="30">
        <v>0</v>
      </c>
      <c r="Q43" s="30"/>
      <c r="R43" s="30">
        <v>0</v>
      </c>
      <c r="S43" s="30">
        <v>0</v>
      </c>
      <c r="T43" s="30"/>
      <c r="U43" s="30">
        <v>0</v>
      </c>
      <c r="V43" s="31">
        <v>0</v>
      </c>
    </row>
    <row r="44" spans="1:22">
      <c r="A44" s="1" t="s">
        <v>65</v>
      </c>
      <c r="B44" s="29">
        <v>279122.73981498741</v>
      </c>
      <c r="C44" s="30">
        <v>-75258.341906746849</v>
      </c>
      <c r="D44" s="30">
        <v>0</v>
      </c>
      <c r="E44" s="30">
        <v>0</v>
      </c>
      <c r="F44" s="30">
        <v>0</v>
      </c>
      <c r="G44" s="31">
        <f>SUM(PA_FINANCIAL)</f>
        <v>203864.39790824056</v>
      </c>
      <c r="H44" s="30"/>
      <c r="I44" s="30"/>
      <c r="J44" s="30"/>
      <c r="K44" s="30"/>
      <c r="L44" s="29"/>
      <c r="M44" s="30"/>
      <c r="N44" s="30"/>
      <c r="O44" s="30"/>
      <c r="P44" s="30"/>
      <c r="Q44" s="30"/>
      <c r="R44" s="30"/>
      <c r="S44" s="30"/>
      <c r="T44" s="30"/>
      <c r="U44" s="30"/>
      <c r="V44" s="31"/>
    </row>
    <row r="45" spans="1:22">
      <c r="A45" s="1" t="s">
        <v>66</v>
      </c>
      <c r="B45" s="29">
        <v>0</v>
      </c>
      <c r="C45" s="30">
        <v>0</v>
      </c>
      <c r="D45" s="30">
        <v>0</v>
      </c>
      <c r="E45" s="30">
        <v>0</v>
      </c>
      <c r="F45" s="30">
        <v>0</v>
      </c>
      <c r="G45" s="31">
        <f>SUM(PR_FINANCIAL)</f>
        <v>0</v>
      </c>
      <c r="H45" s="30"/>
      <c r="I45" s="30"/>
      <c r="J45" s="30"/>
      <c r="K45" s="30"/>
      <c r="L45" s="29"/>
      <c r="M45" s="30"/>
      <c r="N45" s="30"/>
      <c r="O45" s="30"/>
      <c r="P45" s="30"/>
      <c r="Q45" s="30"/>
      <c r="R45" s="30"/>
      <c r="S45" s="30"/>
      <c r="T45" s="30"/>
      <c r="U45" s="30"/>
      <c r="V45" s="31"/>
    </row>
    <row r="46" spans="1:22">
      <c r="A46" s="1" t="s">
        <v>67</v>
      </c>
      <c r="B46" s="29">
        <v>579.15875678729208</v>
      </c>
      <c r="C46" s="30">
        <v>8.4648380294229355</v>
      </c>
      <c r="D46" s="30">
        <v>0</v>
      </c>
      <c r="E46" s="30">
        <v>0</v>
      </c>
      <c r="F46" s="30">
        <v>0</v>
      </c>
      <c r="G46" s="31">
        <f>SUM(RI_FINANCIAL)</f>
        <v>587.62359481671501</v>
      </c>
      <c r="H46" s="30"/>
      <c r="I46" s="30"/>
      <c r="J46" s="30"/>
      <c r="K46" s="30"/>
      <c r="L46" s="29"/>
      <c r="M46" s="30"/>
      <c r="N46" s="30"/>
      <c r="O46" s="30"/>
      <c r="P46" s="30"/>
      <c r="Q46" s="30"/>
      <c r="R46" s="30"/>
      <c r="S46" s="30"/>
      <c r="T46" s="30"/>
      <c r="U46" s="30"/>
      <c r="V46" s="31"/>
    </row>
    <row r="47" spans="1:22">
      <c r="A47" s="1" t="s">
        <v>68</v>
      </c>
      <c r="B47" s="29">
        <v>469312.65048129251</v>
      </c>
      <c r="C47" s="30">
        <v>122125.0727520592</v>
      </c>
      <c r="D47" s="30">
        <v>0</v>
      </c>
      <c r="E47" s="30">
        <v>0</v>
      </c>
      <c r="F47" s="30">
        <v>0</v>
      </c>
      <c r="G47" s="31">
        <f>SUM(SC_FINANCIAL)</f>
        <v>591437.72323335172</v>
      </c>
      <c r="H47" s="30"/>
      <c r="I47" s="30"/>
      <c r="J47" s="30"/>
      <c r="K47" s="30"/>
      <c r="L47" s="29">
        <v>1960000</v>
      </c>
      <c r="M47" s="30">
        <v>0</v>
      </c>
      <c r="N47" s="30"/>
      <c r="O47" s="30">
        <v>840000</v>
      </c>
      <c r="P47" s="30">
        <v>0</v>
      </c>
      <c r="Q47" s="30"/>
      <c r="R47" s="30">
        <v>0</v>
      </c>
      <c r="S47" s="30">
        <v>0</v>
      </c>
      <c r="T47" s="30"/>
      <c r="U47" s="30">
        <v>0</v>
      </c>
      <c r="V47" s="31">
        <v>0</v>
      </c>
    </row>
    <row r="48" spans="1:22">
      <c r="A48" s="1" t="s">
        <v>69</v>
      </c>
      <c r="B48" s="29">
        <v>9530.5460977717885</v>
      </c>
      <c r="C48" s="30">
        <v>4655.7217815694457</v>
      </c>
      <c r="D48" s="30">
        <v>0</v>
      </c>
      <c r="E48" s="30">
        <v>0</v>
      </c>
      <c r="F48" s="30">
        <v>0</v>
      </c>
      <c r="G48" s="31">
        <f>SUM(SD_FINANCIAL)</f>
        <v>14186.267879341234</v>
      </c>
      <c r="H48" s="30"/>
      <c r="I48" s="30"/>
      <c r="J48" s="30"/>
      <c r="K48" s="30"/>
      <c r="L48" s="29">
        <v>299991</v>
      </c>
      <c r="M48" s="30">
        <v>0</v>
      </c>
      <c r="N48" s="30"/>
      <c r="O48" s="30">
        <v>156000</v>
      </c>
      <c r="P48" s="30">
        <v>0</v>
      </c>
      <c r="Q48" s="30"/>
      <c r="R48" s="30">
        <v>0</v>
      </c>
      <c r="S48" s="30">
        <v>0</v>
      </c>
      <c r="T48" s="30"/>
      <c r="U48" s="30">
        <v>0</v>
      </c>
      <c r="V48" s="31">
        <v>0</v>
      </c>
    </row>
    <row r="49" spans="1:22">
      <c r="A49" s="1" t="s">
        <v>70</v>
      </c>
      <c r="B49" s="29">
        <v>2061.0181004591286</v>
      </c>
      <c r="C49" s="30">
        <v>94500.334991954151</v>
      </c>
      <c r="D49" s="30">
        <v>0</v>
      </c>
      <c r="E49" s="30">
        <v>0</v>
      </c>
      <c r="F49" s="30">
        <v>0</v>
      </c>
      <c r="G49" s="31">
        <f>SUM(TN_FINANCIAL)</f>
        <v>96561.353092413279</v>
      </c>
      <c r="H49" s="30"/>
      <c r="I49" s="30"/>
      <c r="J49" s="30"/>
      <c r="K49" s="30"/>
      <c r="L49" s="29">
        <v>2050000</v>
      </c>
      <c r="M49" s="30">
        <v>0</v>
      </c>
      <c r="N49" s="30"/>
      <c r="O49" s="30">
        <v>750000</v>
      </c>
      <c r="P49" s="30">
        <v>0</v>
      </c>
      <c r="Q49" s="30"/>
      <c r="R49" s="30">
        <v>0</v>
      </c>
      <c r="S49" s="30">
        <v>0</v>
      </c>
      <c r="T49" s="30"/>
      <c r="U49" s="30">
        <v>0</v>
      </c>
      <c r="V49" s="31">
        <v>0</v>
      </c>
    </row>
    <row r="50" spans="1:22">
      <c r="A50" s="1" t="s">
        <v>71</v>
      </c>
      <c r="B50" s="29">
        <v>144765.80631322204</v>
      </c>
      <c r="C50" s="30">
        <v>224664.34266604576</v>
      </c>
      <c r="D50" s="30">
        <v>0</v>
      </c>
      <c r="E50" s="30">
        <v>0</v>
      </c>
      <c r="F50" s="30">
        <v>0</v>
      </c>
      <c r="G50" s="31">
        <f>SUM(TX_FINANCIAL)</f>
        <v>369430.1489792678</v>
      </c>
      <c r="H50" s="30"/>
      <c r="I50" s="30"/>
      <c r="J50" s="30"/>
      <c r="K50" s="30"/>
      <c r="L50" s="29">
        <v>2765448</v>
      </c>
      <c r="M50" s="30">
        <v>2298097.341364</v>
      </c>
      <c r="N50" s="30"/>
      <c r="O50" s="30">
        <v>419087</v>
      </c>
      <c r="P50" s="30">
        <v>348261.36863599997</v>
      </c>
      <c r="Q50" s="30"/>
      <c r="R50" s="30">
        <v>0</v>
      </c>
      <c r="S50" s="30">
        <v>0</v>
      </c>
      <c r="T50" s="30"/>
      <c r="U50" s="30">
        <v>0</v>
      </c>
      <c r="V50" s="31">
        <v>0</v>
      </c>
    </row>
    <row r="51" spans="1:22">
      <c r="A51" s="1" t="s">
        <v>72</v>
      </c>
      <c r="B51" s="29">
        <v>56147.568903752312</v>
      </c>
      <c r="C51" s="30">
        <v>51460.710517846746</v>
      </c>
      <c r="D51" s="30">
        <v>0</v>
      </c>
      <c r="E51" s="30">
        <v>0</v>
      </c>
      <c r="F51" s="30">
        <v>0</v>
      </c>
      <c r="G51" s="31">
        <f>SUM(UT_FINANCIAL)</f>
        <v>107608.27942159906</v>
      </c>
      <c r="H51" s="30"/>
      <c r="I51" s="30"/>
      <c r="J51" s="30"/>
      <c r="K51" s="30"/>
      <c r="L51" s="29">
        <v>421547</v>
      </c>
      <c r="M51" s="30">
        <v>0</v>
      </c>
      <c r="N51" s="30"/>
      <c r="O51" s="30">
        <v>283452</v>
      </c>
      <c r="P51" s="30">
        <v>0</v>
      </c>
      <c r="Q51" s="30"/>
      <c r="R51" s="30">
        <v>0</v>
      </c>
      <c r="S51" s="30">
        <v>0</v>
      </c>
      <c r="T51" s="30"/>
      <c r="U51" s="30">
        <v>0</v>
      </c>
      <c r="V51" s="31">
        <v>0</v>
      </c>
    </row>
    <row r="52" spans="1:22">
      <c r="A52" s="1" t="s">
        <v>73</v>
      </c>
      <c r="B52" s="29">
        <v>0</v>
      </c>
      <c r="C52" s="30">
        <v>0</v>
      </c>
      <c r="D52" s="30">
        <v>0</v>
      </c>
      <c r="E52" s="30">
        <v>0</v>
      </c>
      <c r="F52" s="30">
        <v>0</v>
      </c>
      <c r="G52" s="31">
        <f>SUM(VT_FINANCIAL)</f>
        <v>0</v>
      </c>
      <c r="H52" s="30"/>
      <c r="I52" s="30"/>
      <c r="J52" s="30"/>
      <c r="K52" s="30"/>
      <c r="L52" s="29"/>
      <c r="M52" s="30"/>
      <c r="N52" s="30"/>
      <c r="O52" s="30"/>
      <c r="P52" s="30"/>
      <c r="Q52" s="30"/>
      <c r="R52" s="30"/>
      <c r="S52" s="30"/>
      <c r="T52" s="30"/>
      <c r="U52" s="30"/>
      <c r="V52" s="31"/>
    </row>
    <row r="53" spans="1:22">
      <c r="A53" s="1" t="s">
        <v>74</v>
      </c>
      <c r="B53" s="29">
        <v>48962.358281258494</v>
      </c>
      <c r="C53" s="30">
        <v>21064.779871461447</v>
      </c>
      <c r="D53" s="30">
        <v>8022.24</v>
      </c>
      <c r="E53" s="30">
        <v>0</v>
      </c>
      <c r="F53" s="30">
        <v>0</v>
      </c>
      <c r="G53" s="31">
        <f>SUM(VA_FINANCIAL)</f>
        <v>78049.378152719946</v>
      </c>
      <c r="H53" s="30"/>
      <c r="I53" s="30"/>
      <c r="J53" s="30"/>
      <c r="K53" s="30"/>
      <c r="L53" s="29">
        <v>2131843</v>
      </c>
      <c r="M53" s="30">
        <v>1763245</v>
      </c>
      <c r="N53" s="30"/>
      <c r="O53" s="30">
        <v>979596</v>
      </c>
      <c r="P53" s="30">
        <v>794786</v>
      </c>
      <c r="Q53" s="30"/>
      <c r="R53" s="30">
        <v>4700</v>
      </c>
      <c r="S53" s="30">
        <v>0</v>
      </c>
      <c r="T53" s="30"/>
      <c r="U53" s="30">
        <v>0</v>
      </c>
      <c r="V53" s="31">
        <v>0</v>
      </c>
    </row>
    <row r="54" spans="1:22">
      <c r="A54" s="1" t="s">
        <v>75</v>
      </c>
      <c r="B54" s="29">
        <v>265884.14379843371</v>
      </c>
      <c r="C54" s="30">
        <v>-142837.44446871965</v>
      </c>
      <c r="D54" s="30">
        <v>0</v>
      </c>
      <c r="E54" s="30">
        <v>0</v>
      </c>
      <c r="F54" s="30">
        <v>0</v>
      </c>
      <c r="G54" s="31">
        <f>SUM(WA_FINANCIAL)</f>
        <v>123046.69932971406</v>
      </c>
      <c r="H54" s="30"/>
      <c r="I54" s="30"/>
      <c r="J54" s="30"/>
      <c r="K54" s="30"/>
      <c r="L54" s="29">
        <v>3200000</v>
      </c>
      <c r="M54" s="30">
        <v>1200000</v>
      </c>
      <c r="N54" s="30"/>
      <c r="O54" s="30">
        <v>1100000</v>
      </c>
      <c r="P54" s="30">
        <v>1200000</v>
      </c>
      <c r="Q54" s="30"/>
      <c r="R54" s="30">
        <v>0</v>
      </c>
      <c r="S54" s="30">
        <v>0</v>
      </c>
      <c r="T54" s="30"/>
      <c r="U54" s="30">
        <v>0</v>
      </c>
      <c r="V54" s="31">
        <v>0</v>
      </c>
    </row>
    <row r="55" spans="1:22">
      <c r="A55" s="1" t="s">
        <v>76</v>
      </c>
      <c r="B55" s="29">
        <v>115031.36793060612</v>
      </c>
      <c r="C55" s="30">
        <v>-94678.887242947763</v>
      </c>
      <c r="D55" s="30">
        <v>5460.32</v>
      </c>
      <c r="E55" s="30">
        <v>0</v>
      </c>
      <c r="F55" s="30">
        <v>0</v>
      </c>
      <c r="G55" s="31">
        <f>SUM(WV_FINANCIAL)</f>
        <v>25812.80068765836</v>
      </c>
      <c r="H55" s="30"/>
      <c r="I55" s="30"/>
      <c r="J55" s="30"/>
      <c r="K55" s="30"/>
      <c r="L55" s="29">
        <v>515621</v>
      </c>
      <c r="M55" s="30">
        <v>503796</v>
      </c>
      <c r="N55" s="30"/>
      <c r="O55" s="30">
        <v>221407</v>
      </c>
      <c r="P55" s="30">
        <v>251424</v>
      </c>
      <c r="Q55" s="30"/>
      <c r="R55" s="30">
        <v>50000</v>
      </c>
      <c r="S55" s="30">
        <v>103672</v>
      </c>
      <c r="T55" s="30"/>
      <c r="U55" s="30">
        <v>0</v>
      </c>
      <c r="V55" s="31">
        <v>0</v>
      </c>
    </row>
    <row r="56" spans="1:22">
      <c r="A56" s="1" t="s">
        <v>77</v>
      </c>
      <c r="B56" s="29">
        <v>7219.4396229423</v>
      </c>
      <c r="C56" s="30">
        <v>5966.4629389768816</v>
      </c>
      <c r="D56" s="30">
        <v>0</v>
      </c>
      <c r="E56" s="30">
        <v>0</v>
      </c>
      <c r="F56" s="30">
        <v>0</v>
      </c>
      <c r="G56" s="31">
        <f>SUM(WI_FINANCIAL)</f>
        <v>13185.902561919182</v>
      </c>
      <c r="H56" s="30"/>
      <c r="I56" s="30"/>
      <c r="J56" s="30"/>
      <c r="K56" s="30"/>
      <c r="L56" s="29">
        <v>200000</v>
      </c>
      <c r="M56" s="30">
        <v>0</v>
      </c>
      <c r="N56" s="30"/>
      <c r="O56" s="30">
        <v>250000</v>
      </c>
      <c r="P56" s="30">
        <v>0</v>
      </c>
      <c r="Q56" s="30"/>
      <c r="R56" s="30">
        <v>0</v>
      </c>
      <c r="S56" s="30">
        <v>0</v>
      </c>
      <c r="T56" s="30"/>
      <c r="U56" s="30">
        <v>0</v>
      </c>
      <c r="V56" s="31">
        <v>0</v>
      </c>
    </row>
    <row r="57" spans="1:22">
      <c r="A57" s="1" t="s">
        <v>78</v>
      </c>
      <c r="B57" s="29">
        <v>3911.6383606036543</v>
      </c>
      <c r="C57" s="30">
        <v>3606.1938472393813</v>
      </c>
      <c r="D57" s="30">
        <v>0</v>
      </c>
      <c r="E57" s="30">
        <v>0</v>
      </c>
      <c r="F57" s="30">
        <v>0</v>
      </c>
      <c r="G57" s="31">
        <f>SUM(WY_FINANCIAL)</f>
        <v>7517.8322078430356</v>
      </c>
      <c r="H57" s="30"/>
      <c r="I57" s="30"/>
      <c r="J57" s="30"/>
      <c r="K57" s="30"/>
      <c r="L57" s="29">
        <v>0</v>
      </c>
      <c r="M57" s="30">
        <v>389679</v>
      </c>
      <c r="N57" s="30"/>
      <c r="O57" s="30">
        <v>0</v>
      </c>
      <c r="P57" s="30">
        <v>0</v>
      </c>
      <c r="Q57" s="30"/>
      <c r="R57" s="30">
        <v>0</v>
      </c>
      <c r="S57" s="30">
        <v>0</v>
      </c>
      <c r="T57" s="30"/>
      <c r="U57" s="30">
        <v>0</v>
      </c>
      <c r="V57" s="31">
        <v>0</v>
      </c>
    </row>
    <row r="58" spans="1:22">
      <c r="A58" s="1" t="s">
        <v>79</v>
      </c>
      <c r="B58" s="29">
        <v>0</v>
      </c>
      <c r="C58" s="30">
        <v>0</v>
      </c>
      <c r="D58" s="30">
        <v>0</v>
      </c>
      <c r="E58" s="30">
        <v>0</v>
      </c>
      <c r="F58" s="30">
        <v>0</v>
      </c>
      <c r="G58" s="31">
        <f>SUM(OT_FINANCIAL)</f>
        <v>0</v>
      </c>
      <c r="H58" s="30"/>
      <c r="I58" s="30"/>
      <c r="J58" s="30"/>
      <c r="K58" s="30"/>
      <c r="L58" s="29"/>
      <c r="M58" s="30"/>
      <c r="N58" s="30"/>
      <c r="O58" s="30"/>
      <c r="P58" s="30"/>
      <c r="Q58" s="30"/>
      <c r="R58" s="30"/>
      <c r="S58" s="30"/>
      <c r="T58" s="30"/>
      <c r="U58" s="30"/>
      <c r="V58" s="31"/>
    </row>
    <row r="59" spans="1:22">
      <c r="B59" s="29"/>
      <c r="C59" s="30"/>
      <c r="D59" s="30"/>
      <c r="E59" s="30"/>
      <c r="F59" s="30"/>
      <c r="G59" s="31"/>
      <c r="H59" s="30"/>
      <c r="I59" s="30"/>
      <c r="J59" s="30"/>
      <c r="K59" s="30"/>
      <c r="L59" s="29"/>
      <c r="M59" s="30"/>
      <c r="N59" s="30"/>
      <c r="O59" s="30"/>
      <c r="P59" s="30"/>
      <c r="Q59" s="30"/>
      <c r="R59" s="30"/>
      <c r="S59" s="30"/>
      <c r="T59" s="30"/>
      <c r="U59" s="30"/>
      <c r="V59" s="31"/>
    </row>
    <row r="60" spans="1:22">
      <c r="A60" s="1" t="s">
        <v>8</v>
      </c>
      <c r="B60" s="29">
        <f>SUM(LIFE)</f>
        <v>3768842.6602135198</v>
      </c>
      <c r="C60" s="30">
        <f>SUM(ALLOCATED)</f>
        <v>815376.26978646184</v>
      </c>
      <c r="D60" s="30">
        <f>SUM(HEALTH)</f>
        <v>73031.100000000006</v>
      </c>
      <c r="E60" s="30">
        <f>SUM(UNALLOCATED)</f>
        <v>0</v>
      </c>
      <c r="F60" s="30">
        <f>SUM(LTC)</f>
        <v>0</v>
      </c>
      <c r="G60" s="31">
        <f>SUM(ALL_BLOCKS)</f>
        <v>4657250.0299999807</v>
      </c>
      <c r="H60" s="30"/>
      <c r="I60" s="30"/>
      <c r="J60" s="30"/>
      <c r="K60" s="30"/>
      <c r="L60" s="29">
        <f>SUM(LIFE_CALLED)</f>
        <v>71046715</v>
      </c>
      <c r="M60" s="30">
        <f>SUM(LIFE_REFUNDED)</f>
        <v>40054374.341363996</v>
      </c>
      <c r="N60" s="30"/>
      <c r="O60" s="30">
        <f>SUM(ALLOC_CALLED)</f>
        <v>31672495</v>
      </c>
      <c r="P60" s="30">
        <f>SUM(ALLOC_REFUNDED)</f>
        <v>12506699.048636001</v>
      </c>
      <c r="Q60" s="30"/>
      <c r="R60" s="30">
        <f>SUM(HEALTH_CALLED)</f>
        <v>79818</v>
      </c>
      <c r="S60" s="30">
        <f>SUM(HEALTH_REFUNDED)</f>
        <v>111672</v>
      </c>
      <c r="T60" s="30"/>
      <c r="U60" s="30">
        <f>SUM(UNALLOC_CALLED)</f>
        <v>0</v>
      </c>
      <c r="V60" s="31">
        <f>SUM(UNALLOC_REFUNDED)</f>
        <v>0</v>
      </c>
    </row>
    <row r="61" spans="1:22" ht="5.0999999999999996" customHeight="1">
      <c r="B61" s="8"/>
      <c r="G61" s="11"/>
      <c r="L61" s="8"/>
      <c r="V61" s="11"/>
    </row>
    <row r="62" spans="1:22">
      <c r="B62" s="8"/>
      <c r="G62" s="11"/>
      <c r="L62" s="122" t="s">
        <v>80</v>
      </c>
      <c r="M62" s="123"/>
      <c r="N62" s="123"/>
      <c r="O62" s="123"/>
      <c r="P62" s="123"/>
      <c r="Q62" s="123"/>
      <c r="R62" s="123"/>
      <c r="S62" s="123"/>
      <c r="T62" s="123"/>
      <c r="U62" s="123"/>
      <c r="V62" s="124"/>
    </row>
    <row r="63" spans="1:22">
      <c r="B63" s="8"/>
      <c r="G63" s="11"/>
      <c r="L63" s="125"/>
      <c r="M63" s="123"/>
      <c r="N63" s="123"/>
      <c r="O63" s="123"/>
      <c r="P63" s="123"/>
      <c r="Q63" s="123"/>
      <c r="R63" s="123"/>
      <c r="S63" s="123"/>
      <c r="T63" s="123"/>
      <c r="U63" s="123"/>
      <c r="V63" s="124"/>
    </row>
    <row r="64" spans="1:22">
      <c r="B64" s="10"/>
      <c r="C64" s="7"/>
      <c r="D64" s="7"/>
      <c r="E64" s="7"/>
      <c r="F64" s="7"/>
      <c r="G64" s="13"/>
      <c r="L64" s="126"/>
      <c r="M64" s="127"/>
      <c r="N64" s="127"/>
      <c r="O64" s="127"/>
      <c r="P64" s="127"/>
      <c r="Q64" s="127"/>
      <c r="R64" s="127"/>
      <c r="S64" s="127"/>
      <c r="T64" s="127"/>
      <c r="U64" s="127"/>
      <c r="V64" s="128"/>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pageSetUpPr fitToPage="1"/>
  </sheetPr>
  <dimension ref="A1:V64"/>
  <sheetViews>
    <sheetView zoomScale="75" workbookViewId="0">
      <selection sqref="A1:XFD1048576"/>
    </sheetView>
  </sheetViews>
  <sheetFormatPr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129" t="s">
        <v>163</v>
      </c>
      <c r="B1" s="123"/>
      <c r="C1" s="123"/>
      <c r="D1" s="123"/>
      <c r="E1" s="123"/>
      <c r="F1" s="123"/>
      <c r="G1" s="123"/>
    </row>
    <row r="3" spans="1:22">
      <c r="B3" s="130" t="s">
        <v>1</v>
      </c>
      <c r="C3" s="131"/>
      <c r="D3" s="131"/>
      <c r="E3" s="131"/>
      <c r="F3" s="131"/>
      <c r="G3" s="132"/>
      <c r="L3" s="133" t="s">
        <v>2</v>
      </c>
      <c r="M3" s="134"/>
      <c r="N3" s="134"/>
      <c r="O3" s="134"/>
      <c r="P3" s="134"/>
      <c r="Q3" s="134"/>
      <c r="R3" s="134"/>
      <c r="S3" s="134"/>
      <c r="T3" s="134"/>
      <c r="U3" s="134"/>
      <c r="V3" s="135"/>
    </row>
    <row r="4" spans="1:22">
      <c r="B4" s="8"/>
      <c r="G4" s="11"/>
      <c r="L4" s="136" t="s">
        <v>3</v>
      </c>
      <c r="M4" s="137"/>
      <c r="N4" s="4"/>
      <c r="O4" s="138" t="s">
        <v>4</v>
      </c>
      <c r="P4" s="137"/>
      <c r="Q4" s="4"/>
      <c r="R4" s="138" t="s">
        <v>5</v>
      </c>
      <c r="S4" s="137"/>
      <c r="T4" s="4"/>
      <c r="U4" s="138" t="s">
        <v>6</v>
      </c>
      <c r="V4" s="139"/>
    </row>
    <row r="5" spans="1:22" ht="60" customHeight="1">
      <c r="B5" s="9" t="s">
        <v>3</v>
      </c>
      <c r="C5" s="5" t="s">
        <v>4</v>
      </c>
      <c r="D5" s="5" t="s">
        <v>5</v>
      </c>
      <c r="E5" s="5" t="s">
        <v>6</v>
      </c>
      <c r="F5" s="5" t="s">
        <v>7</v>
      </c>
      <c r="G5" s="12" t="s">
        <v>8</v>
      </c>
      <c r="L5" s="15" t="s">
        <v>9</v>
      </c>
      <c r="M5" s="14" t="s">
        <v>10</v>
      </c>
      <c r="N5" s="14"/>
      <c r="O5" s="14" t="s">
        <v>9</v>
      </c>
      <c r="P5" s="14" t="s">
        <v>10</v>
      </c>
      <c r="Q5" s="14"/>
      <c r="R5" s="14" t="s">
        <v>9</v>
      </c>
      <c r="S5" s="14" t="s">
        <v>10</v>
      </c>
      <c r="T5" s="14"/>
      <c r="U5" s="14" t="s">
        <v>9</v>
      </c>
      <c r="V5" s="16" t="s">
        <v>10</v>
      </c>
    </row>
    <row r="6" spans="1:22">
      <c r="A6" s="1" t="s">
        <v>11</v>
      </c>
      <c r="B6" s="29">
        <v>0</v>
      </c>
      <c r="C6" s="30">
        <v>0</v>
      </c>
      <c r="D6" s="30">
        <v>0</v>
      </c>
      <c r="E6" s="30">
        <v>0</v>
      </c>
      <c r="F6" s="30">
        <v>0</v>
      </c>
      <c r="G6" s="31">
        <f>SUM(AL_FINANCIAL)</f>
        <v>0</v>
      </c>
      <c r="H6" s="30"/>
      <c r="I6" s="30"/>
      <c r="J6" s="30"/>
      <c r="K6" s="30"/>
      <c r="L6" s="29"/>
      <c r="M6" s="30"/>
      <c r="N6" s="30"/>
      <c r="O6" s="30"/>
      <c r="P6" s="30"/>
      <c r="Q6" s="30"/>
      <c r="R6" s="30"/>
      <c r="S6" s="30"/>
      <c r="T6" s="30"/>
      <c r="U6" s="30"/>
      <c r="V6" s="31"/>
    </row>
    <row r="7" spans="1:22">
      <c r="A7" s="1" t="s">
        <v>12</v>
      </c>
      <c r="B7" s="29">
        <v>0</v>
      </c>
      <c r="C7" s="30">
        <v>0</v>
      </c>
      <c r="D7" s="30">
        <v>0</v>
      </c>
      <c r="E7" s="30">
        <v>0</v>
      </c>
      <c r="F7" s="30">
        <v>0</v>
      </c>
      <c r="G7" s="31">
        <f>SUM(AK_FINANCIAL)</f>
        <v>0</v>
      </c>
      <c r="H7" s="30"/>
      <c r="I7" s="32"/>
      <c r="J7" s="33"/>
      <c r="K7" s="30"/>
      <c r="L7" s="29"/>
      <c r="M7" s="30"/>
      <c r="N7" s="30"/>
      <c r="O7" s="30"/>
      <c r="P7" s="30"/>
      <c r="Q7" s="30"/>
      <c r="R7" s="30"/>
      <c r="S7" s="30"/>
      <c r="T7" s="30"/>
      <c r="U7" s="30"/>
      <c r="V7" s="31"/>
    </row>
    <row r="8" spans="1:22">
      <c r="A8" s="1" t="s">
        <v>13</v>
      </c>
      <c r="B8" s="29">
        <v>0</v>
      </c>
      <c r="C8" s="30">
        <v>0</v>
      </c>
      <c r="D8" s="30">
        <v>0</v>
      </c>
      <c r="E8" s="30">
        <v>0</v>
      </c>
      <c r="F8" s="30">
        <v>0</v>
      </c>
      <c r="G8" s="31">
        <f>SUM(AZ_FINANCIAL)</f>
        <v>0</v>
      </c>
      <c r="H8" s="30"/>
      <c r="I8" s="34" t="s">
        <v>14</v>
      </c>
      <c r="J8" s="35"/>
      <c r="K8" s="30"/>
      <c r="L8" s="29"/>
      <c r="M8" s="30"/>
      <c r="N8" s="30"/>
      <c r="O8" s="30"/>
      <c r="P8" s="30"/>
      <c r="Q8" s="30"/>
      <c r="R8" s="30"/>
      <c r="S8" s="30"/>
      <c r="T8" s="30"/>
      <c r="U8" s="30"/>
      <c r="V8" s="31"/>
    </row>
    <row r="9" spans="1:22">
      <c r="A9" s="1" t="s">
        <v>15</v>
      </c>
      <c r="B9" s="29">
        <v>0</v>
      </c>
      <c r="C9" s="30">
        <v>0</v>
      </c>
      <c r="D9" s="30">
        <v>0</v>
      </c>
      <c r="E9" s="30">
        <v>0</v>
      </c>
      <c r="F9" s="30">
        <v>0</v>
      </c>
      <c r="G9" s="31">
        <f>SUM(AR_FINANCIAL)</f>
        <v>0</v>
      </c>
      <c r="H9" s="30"/>
      <c r="I9" s="34"/>
      <c r="J9" s="35"/>
      <c r="K9" s="30"/>
      <c r="L9" s="29"/>
      <c r="M9" s="30"/>
      <c r="N9" s="30"/>
      <c r="O9" s="30"/>
      <c r="P9" s="30"/>
      <c r="Q9" s="30"/>
      <c r="R9" s="30"/>
      <c r="S9" s="30"/>
      <c r="T9" s="30"/>
      <c r="U9" s="30"/>
      <c r="V9" s="31"/>
    </row>
    <row r="10" spans="1:22">
      <c r="A10" s="1" t="s">
        <v>16</v>
      </c>
      <c r="B10" s="29">
        <v>1795.8211484868311</v>
      </c>
      <c r="C10" s="30">
        <v>0</v>
      </c>
      <c r="D10" s="30">
        <v>161.73061342008884</v>
      </c>
      <c r="E10" s="30">
        <v>0</v>
      </c>
      <c r="F10" s="30">
        <v>0</v>
      </c>
      <c r="G10" s="31">
        <f>SUM(CA_FINANCIAL)</f>
        <v>1957.5517619069201</v>
      </c>
      <c r="H10" s="30"/>
      <c r="I10" s="34" t="s">
        <v>17</v>
      </c>
      <c r="J10" s="35">
        <v>0</v>
      </c>
      <c r="K10" s="30"/>
      <c r="L10" s="29"/>
      <c r="M10" s="30"/>
      <c r="N10" s="30"/>
      <c r="O10" s="30"/>
      <c r="P10" s="30"/>
      <c r="Q10" s="30"/>
      <c r="R10" s="30"/>
      <c r="S10" s="30"/>
      <c r="T10" s="30"/>
      <c r="U10" s="30"/>
      <c r="V10" s="31"/>
    </row>
    <row r="11" spans="1:22">
      <c r="A11" s="1" t="s">
        <v>18</v>
      </c>
      <c r="B11" s="29">
        <v>0</v>
      </c>
      <c r="C11" s="30">
        <v>0</v>
      </c>
      <c r="D11" s="30">
        <v>0</v>
      </c>
      <c r="E11" s="30">
        <v>0</v>
      </c>
      <c r="F11" s="30">
        <v>0</v>
      </c>
      <c r="G11" s="31">
        <f>SUM(CO_FINANCIAL)</f>
        <v>0</v>
      </c>
      <c r="H11" s="30"/>
      <c r="I11" s="34"/>
      <c r="J11" s="35"/>
      <c r="K11" s="30"/>
      <c r="L11" s="29"/>
      <c r="M11" s="30"/>
      <c r="N11" s="30"/>
      <c r="O11" s="30"/>
      <c r="P11" s="30"/>
      <c r="Q11" s="30"/>
      <c r="R11" s="30"/>
      <c r="S11" s="30"/>
      <c r="T11" s="30"/>
      <c r="U11" s="30"/>
      <c r="V11" s="31"/>
    </row>
    <row r="12" spans="1:22">
      <c r="A12" s="1" t="s">
        <v>19</v>
      </c>
      <c r="B12" s="29">
        <v>0</v>
      </c>
      <c r="C12" s="30">
        <v>0</v>
      </c>
      <c r="D12" s="30">
        <v>0</v>
      </c>
      <c r="E12" s="30">
        <v>0</v>
      </c>
      <c r="F12" s="30">
        <v>0</v>
      </c>
      <c r="G12" s="31">
        <f>SUM(CT_FINANCIAL)</f>
        <v>0</v>
      </c>
      <c r="H12" s="30"/>
      <c r="I12" s="34" t="s">
        <v>20</v>
      </c>
      <c r="J12" s="35"/>
      <c r="K12" s="30"/>
      <c r="L12" s="29"/>
      <c r="M12" s="30"/>
      <c r="N12" s="30"/>
      <c r="O12" s="30"/>
      <c r="P12" s="30"/>
      <c r="Q12" s="30"/>
      <c r="R12" s="30"/>
      <c r="S12" s="30"/>
      <c r="T12" s="30"/>
      <c r="U12" s="30"/>
      <c r="V12" s="31"/>
    </row>
    <row r="13" spans="1:22">
      <c r="A13" s="1" t="s">
        <v>21</v>
      </c>
      <c r="B13" s="29">
        <v>0</v>
      </c>
      <c r="C13" s="30">
        <v>0</v>
      </c>
      <c r="D13" s="30">
        <v>0</v>
      </c>
      <c r="E13" s="30">
        <v>0</v>
      </c>
      <c r="F13" s="30">
        <v>0</v>
      </c>
      <c r="G13" s="31">
        <f>SUM(DE_FINANCIAL)</f>
        <v>0</v>
      </c>
      <c r="H13" s="30"/>
      <c r="I13" s="34" t="s">
        <v>22</v>
      </c>
      <c r="J13" s="35">
        <v>0</v>
      </c>
      <c r="K13" s="30"/>
      <c r="L13" s="29"/>
      <c r="M13" s="30"/>
      <c r="N13" s="30"/>
      <c r="O13" s="30"/>
      <c r="P13" s="30"/>
      <c r="Q13" s="30"/>
      <c r="R13" s="30"/>
      <c r="S13" s="30"/>
      <c r="T13" s="30"/>
      <c r="U13" s="30"/>
      <c r="V13" s="31"/>
    </row>
    <row r="14" spans="1:22">
      <c r="A14" s="1" t="s">
        <v>23</v>
      </c>
      <c r="B14" s="29">
        <v>1253.1596812673035</v>
      </c>
      <c r="C14" s="30">
        <v>0</v>
      </c>
      <c r="D14" s="30">
        <v>254.54634560540239</v>
      </c>
      <c r="E14" s="30">
        <v>0</v>
      </c>
      <c r="F14" s="30">
        <v>0</v>
      </c>
      <c r="G14" s="31">
        <f>SUM(DC_FINANCIAL)</f>
        <v>1507.7060268727059</v>
      </c>
      <c r="H14" s="30"/>
      <c r="I14" s="34" t="s">
        <v>24</v>
      </c>
      <c r="J14" s="35">
        <v>0</v>
      </c>
      <c r="K14" s="30"/>
      <c r="L14" s="29"/>
      <c r="M14" s="30"/>
      <c r="N14" s="30"/>
      <c r="O14" s="30"/>
      <c r="P14" s="30"/>
      <c r="Q14" s="30"/>
      <c r="R14" s="30"/>
      <c r="S14" s="30"/>
      <c r="T14" s="30"/>
      <c r="U14" s="30"/>
      <c r="V14" s="31"/>
    </row>
    <row r="15" spans="1:22">
      <c r="A15" s="1" t="s">
        <v>25</v>
      </c>
      <c r="B15" s="29">
        <v>0</v>
      </c>
      <c r="C15" s="30">
        <v>0</v>
      </c>
      <c r="D15" s="30">
        <v>0</v>
      </c>
      <c r="E15" s="30">
        <v>0</v>
      </c>
      <c r="F15" s="30">
        <v>0</v>
      </c>
      <c r="G15" s="31">
        <f>SUM(FL_FINANCIAL)</f>
        <v>0</v>
      </c>
      <c r="H15" s="30"/>
      <c r="I15" s="34" t="s">
        <v>26</v>
      </c>
      <c r="J15" s="35">
        <v>37530.230000000003</v>
      </c>
      <c r="K15" s="30"/>
      <c r="L15" s="29"/>
      <c r="M15" s="30"/>
      <c r="N15" s="30"/>
      <c r="O15" s="30"/>
      <c r="P15" s="30"/>
      <c r="Q15" s="30"/>
      <c r="R15" s="30"/>
      <c r="S15" s="30"/>
      <c r="T15" s="30"/>
      <c r="U15" s="30"/>
      <c r="V15" s="31"/>
    </row>
    <row r="16" spans="1:22">
      <c r="A16" s="1" t="s">
        <v>27</v>
      </c>
      <c r="B16" s="29">
        <v>0</v>
      </c>
      <c r="C16" s="30">
        <v>0</v>
      </c>
      <c r="D16" s="30">
        <v>0</v>
      </c>
      <c r="E16" s="30">
        <v>0</v>
      </c>
      <c r="F16" s="30">
        <v>0</v>
      </c>
      <c r="G16" s="31">
        <f>SUM(GA_FINANCIAL)</f>
        <v>0</v>
      </c>
      <c r="H16" s="30"/>
      <c r="I16" s="34" t="s">
        <v>28</v>
      </c>
      <c r="J16" s="35">
        <v>0</v>
      </c>
      <c r="K16" s="30"/>
      <c r="L16" s="29"/>
      <c r="M16" s="30"/>
      <c r="N16" s="30"/>
      <c r="O16" s="30"/>
      <c r="P16" s="30"/>
      <c r="Q16" s="30"/>
      <c r="R16" s="30"/>
      <c r="S16" s="30"/>
      <c r="T16" s="30"/>
      <c r="U16" s="30"/>
      <c r="V16" s="31"/>
    </row>
    <row r="17" spans="1:22">
      <c r="A17" s="1" t="s">
        <v>29</v>
      </c>
      <c r="B17" s="29">
        <v>0</v>
      </c>
      <c r="C17" s="30">
        <v>0</v>
      </c>
      <c r="D17" s="30">
        <v>0</v>
      </c>
      <c r="E17" s="30">
        <v>0</v>
      </c>
      <c r="F17" s="30">
        <v>0</v>
      </c>
      <c r="G17" s="31">
        <f>SUM(HI_FINANCIAL)</f>
        <v>0</v>
      </c>
      <c r="H17" s="30"/>
      <c r="I17" s="34"/>
      <c r="J17" s="35"/>
      <c r="K17" s="30"/>
      <c r="L17" s="29"/>
      <c r="M17" s="30"/>
      <c r="N17" s="30"/>
      <c r="O17" s="30"/>
      <c r="P17" s="30"/>
      <c r="Q17" s="30"/>
      <c r="R17" s="30"/>
      <c r="S17" s="30"/>
      <c r="T17" s="30"/>
      <c r="U17" s="30"/>
      <c r="V17" s="31"/>
    </row>
    <row r="18" spans="1:22">
      <c r="A18" s="1" t="s">
        <v>30</v>
      </c>
      <c r="B18" s="29">
        <v>0</v>
      </c>
      <c r="C18" s="30">
        <v>0</v>
      </c>
      <c r="D18" s="30">
        <v>0</v>
      </c>
      <c r="E18" s="30">
        <v>0</v>
      </c>
      <c r="F18" s="30">
        <v>0</v>
      </c>
      <c r="G18" s="31">
        <f>SUM(ID_FINANCIAL)</f>
        <v>0</v>
      </c>
      <c r="H18" s="30"/>
      <c r="I18" s="34" t="s">
        <v>31</v>
      </c>
      <c r="J18" s="35"/>
      <c r="K18" s="30"/>
      <c r="L18" s="29"/>
      <c r="M18" s="30"/>
      <c r="N18" s="30"/>
      <c r="O18" s="30"/>
      <c r="P18" s="30"/>
      <c r="Q18" s="30"/>
      <c r="R18" s="30"/>
      <c r="S18" s="30"/>
      <c r="T18" s="30"/>
      <c r="U18" s="30"/>
      <c r="V18" s="31"/>
    </row>
    <row r="19" spans="1:22">
      <c r="A19" s="1" t="s">
        <v>32</v>
      </c>
      <c r="B19" s="29">
        <v>9845.048879317992</v>
      </c>
      <c r="C19" s="30">
        <v>0</v>
      </c>
      <c r="D19" s="30">
        <v>5669.1015743005346</v>
      </c>
      <c r="E19" s="30">
        <v>0</v>
      </c>
      <c r="F19" s="30">
        <v>0</v>
      </c>
      <c r="G19" s="31">
        <f>SUM(IL_FINANCIAL)</f>
        <v>15514.150453618528</v>
      </c>
      <c r="H19" s="30"/>
      <c r="I19" s="34" t="s">
        <v>33</v>
      </c>
      <c r="J19" s="35">
        <v>0</v>
      </c>
      <c r="K19" s="30"/>
      <c r="L19" s="29">
        <v>80000</v>
      </c>
      <c r="M19" s="30">
        <v>54000</v>
      </c>
      <c r="N19" s="30"/>
      <c r="O19" s="30">
        <v>0</v>
      </c>
      <c r="P19" s="30">
        <v>0</v>
      </c>
      <c r="Q19" s="30"/>
      <c r="R19" s="30">
        <v>20000</v>
      </c>
      <c r="S19" s="30">
        <v>24000</v>
      </c>
      <c r="T19" s="30"/>
      <c r="U19" s="30">
        <v>0</v>
      </c>
      <c r="V19" s="31">
        <v>0</v>
      </c>
    </row>
    <row r="20" spans="1:22">
      <c r="A20" s="1" t="s">
        <v>34</v>
      </c>
      <c r="B20" s="29">
        <v>1260.6514903054633</v>
      </c>
      <c r="C20" s="30">
        <v>0</v>
      </c>
      <c r="D20" s="30">
        <v>311.6826572904946</v>
      </c>
      <c r="E20" s="30">
        <v>0</v>
      </c>
      <c r="F20" s="30">
        <v>0</v>
      </c>
      <c r="G20" s="31">
        <f>SUM(IN_FINANCIAL)</f>
        <v>1572.3341475959578</v>
      </c>
      <c r="H20" s="30"/>
      <c r="I20" s="34" t="s">
        <v>35</v>
      </c>
      <c r="J20" s="35">
        <v>0</v>
      </c>
      <c r="K20" s="30"/>
      <c r="L20" s="29"/>
      <c r="M20" s="30"/>
      <c r="N20" s="30"/>
      <c r="O20" s="30"/>
      <c r="P20" s="30"/>
      <c r="Q20" s="30"/>
      <c r="R20" s="30"/>
      <c r="S20" s="30"/>
      <c r="T20" s="30"/>
      <c r="U20" s="30"/>
      <c r="V20" s="31"/>
    </row>
    <row r="21" spans="1:22">
      <c r="A21" s="1" t="s">
        <v>36</v>
      </c>
      <c r="B21" s="29">
        <v>0</v>
      </c>
      <c r="C21" s="30">
        <v>0</v>
      </c>
      <c r="D21" s="30">
        <v>0</v>
      </c>
      <c r="E21" s="30">
        <v>0</v>
      </c>
      <c r="F21" s="30">
        <v>0</v>
      </c>
      <c r="G21" s="31">
        <f>SUM(IA_FINANCIAL)</f>
        <v>0</v>
      </c>
      <c r="H21" s="30"/>
      <c r="I21" s="34" t="s">
        <v>37</v>
      </c>
      <c r="J21" s="35"/>
      <c r="K21" s="30"/>
      <c r="L21" s="29"/>
      <c r="M21" s="30"/>
      <c r="N21" s="30"/>
      <c r="O21" s="30"/>
      <c r="P21" s="30"/>
      <c r="Q21" s="30"/>
      <c r="R21" s="30"/>
      <c r="S21" s="30"/>
      <c r="T21" s="30"/>
      <c r="U21" s="30"/>
      <c r="V21" s="31"/>
    </row>
    <row r="22" spans="1:22">
      <c r="A22" s="1" t="s">
        <v>38</v>
      </c>
      <c r="B22" s="29">
        <v>0</v>
      </c>
      <c r="C22" s="30">
        <v>0</v>
      </c>
      <c r="D22" s="30">
        <v>0</v>
      </c>
      <c r="E22" s="30">
        <v>0</v>
      </c>
      <c r="F22" s="30">
        <v>0</v>
      </c>
      <c r="G22" s="31">
        <f>SUM(KS_FINANCIAL)</f>
        <v>0</v>
      </c>
      <c r="H22" s="30"/>
      <c r="I22" s="34" t="s">
        <v>39</v>
      </c>
      <c r="J22" s="35">
        <v>0</v>
      </c>
      <c r="K22" s="30"/>
      <c r="L22" s="29"/>
      <c r="M22" s="30"/>
      <c r="N22" s="30"/>
      <c r="O22" s="30"/>
      <c r="P22" s="30"/>
      <c r="Q22" s="30"/>
      <c r="R22" s="30"/>
      <c r="S22" s="30"/>
      <c r="T22" s="30"/>
      <c r="U22" s="30"/>
      <c r="V22" s="31"/>
    </row>
    <row r="23" spans="1:22">
      <c r="A23" s="1" t="s">
        <v>40</v>
      </c>
      <c r="B23" s="29">
        <v>1456.5713818114373</v>
      </c>
      <c r="C23" s="30">
        <v>0</v>
      </c>
      <c r="D23" s="30">
        <v>670.20401198926083</v>
      </c>
      <c r="E23" s="30">
        <v>0</v>
      </c>
      <c r="F23" s="30">
        <v>0</v>
      </c>
      <c r="G23" s="31">
        <f>SUM(KY_FINANCIAL)</f>
        <v>2126.7753938006981</v>
      </c>
      <c r="H23" s="30"/>
      <c r="I23" s="34" t="s">
        <v>41</v>
      </c>
      <c r="J23" s="35"/>
      <c r="K23" s="30"/>
      <c r="L23" s="29"/>
      <c r="M23" s="30"/>
      <c r="N23" s="30"/>
      <c r="O23" s="30"/>
      <c r="P23" s="30"/>
      <c r="Q23" s="30"/>
      <c r="R23" s="30"/>
      <c r="S23" s="30"/>
      <c r="T23" s="30"/>
      <c r="U23" s="30"/>
      <c r="V23" s="31"/>
    </row>
    <row r="24" spans="1:22">
      <c r="A24" s="1" t="s">
        <v>42</v>
      </c>
      <c r="B24" s="29">
        <v>0</v>
      </c>
      <c r="C24" s="30">
        <v>0</v>
      </c>
      <c r="D24" s="30">
        <v>0</v>
      </c>
      <c r="E24" s="30">
        <v>0</v>
      </c>
      <c r="F24" s="30">
        <v>0</v>
      </c>
      <c r="G24" s="31">
        <f>SUM(LA_FINANCIAL)</f>
        <v>0</v>
      </c>
      <c r="H24" s="30"/>
      <c r="I24" s="34" t="s">
        <v>43</v>
      </c>
      <c r="J24" s="35">
        <v>0</v>
      </c>
      <c r="K24" s="30"/>
      <c r="L24" s="29"/>
      <c r="M24" s="30"/>
      <c r="N24" s="30"/>
      <c r="O24" s="30"/>
      <c r="P24" s="30"/>
      <c r="Q24" s="30"/>
      <c r="R24" s="30"/>
      <c r="S24" s="30"/>
      <c r="T24" s="30"/>
      <c r="U24" s="30"/>
      <c r="V24" s="31"/>
    </row>
    <row r="25" spans="1:22">
      <c r="A25" s="1" t="s">
        <v>44</v>
      </c>
      <c r="B25" s="29">
        <v>0</v>
      </c>
      <c r="C25" s="30">
        <v>0</v>
      </c>
      <c r="D25" s="30">
        <v>0</v>
      </c>
      <c r="E25" s="30">
        <v>0</v>
      </c>
      <c r="F25" s="30">
        <v>0</v>
      </c>
      <c r="G25" s="31">
        <f>SUM(ME_FINANCIAL)</f>
        <v>0</v>
      </c>
      <c r="H25" s="30"/>
      <c r="I25" s="34"/>
      <c r="J25" s="35"/>
      <c r="K25" s="30"/>
      <c r="L25" s="29"/>
      <c r="M25" s="30"/>
      <c r="N25" s="30"/>
      <c r="O25" s="30"/>
      <c r="P25" s="30"/>
      <c r="Q25" s="30"/>
      <c r="R25" s="30"/>
      <c r="S25" s="30"/>
      <c r="T25" s="30"/>
      <c r="U25" s="30"/>
      <c r="V25" s="31"/>
    </row>
    <row r="26" spans="1:22">
      <c r="A26" s="1" t="s">
        <v>45</v>
      </c>
      <c r="B26" s="29">
        <v>1263.7515462845488</v>
      </c>
      <c r="C26" s="30">
        <v>0</v>
      </c>
      <c r="D26" s="30">
        <v>112.1471291131039</v>
      </c>
      <c r="E26" s="30">
        <v>0</v>
      </c>
      <c r="F26" s="30">
        <v>0</v>
      </c>
      <c r="G26" s="31">
        <f>SUM(MD_FINANCIAL)</f>
        <v>1375.8986753976526</v>
      </c>
      <c r="H26" s="30"/>
      <c r="I26" s="34" t="s">
        <v>46</v>
      </c>
      <c r="J26" s="35">
        <f>SUM(ADD_FINANCIAL)-SUM(LESS_FINANCIAL)</f>
        <v>37530.230000000003</v>
      </c>
      <c r="K26" s="30"/>
      <c r="L26" s="29"/>
      <c r="M26" s="30"/>
      <c r="N26" s="30"/>
      <c r="O26" s="30"/>
      <c r="P26" s="30"/>
      <c r="Q26" s="30"/>
      <c r="R26" s="30"/>
      <c r="S26" s="30"/>
      <c r="T26" s="30"/>
      <c r="U26" s="30"/>
      <c r="V26" s="31"/>
    </row>
    <row r="27" spans="1:22">
      <c r="A27" s="1" t="s">
        <v>47</v>
      </c>
      <c r="B27" s="29">
        <v>0</v>
      </c>
      <c r="C27" s="30">
        <v>0</v>
      </c>
      <c r="D27" s="30">
        <v>0</v>
      </c>
      <c r="E27" s="30">
        <v>0</v>
      </c>
      <c r="F27" s="30">
        <v>0</v>
      </c>
      <c r="G27" s="31">
        <f>SUM(MA_FINANCIAL)</f>
        <v>0</v>
      </c>
      <c r="H27" s="30"/>
      <c r="I27" s="34" t="s">
        <v>48</v>
      </c>
      <c r="J27" s="35">
        <f>SUM(ALL_BLOCKS)</f>
        <v>37530.230000000003</v>
      </c>
      <c r="K27" s="30"/>
      <c r="L27" s="29"/>
      <c r="M27" s="30"/>
      <c r="N27" s="30"/>
      <c r="O27" s="30"/>
      <c r="P27" s="30"/>
      <c r="Q27" s="30"/>
      <c r="R27" s="30"/>
      <c r="S27" s="30"/>
      <c r="T27" s="30"/>
      <c r="U27" s="30"/>
      <c r="V27" s="31"/>
    </row>
    <row r="28" spans="1:22">
      <c r="A28" s="1" t="s">
        <v>49</v>
      </c>
      <c r="B28" s="29">
        <v>1966.9118658632019</v>
      </c>
      <c r="C28" s="30">
        <v>0</v>
      </c>
      <c r="D28" s="30">
        <v>294.22198944109914</v>
      </c>
      <c r="E28" s="30">
        <v>0</v>
      </c>
      <c r="F28" s="30">
        <v>0</v>
      </c>
      <c r="G28" s="31">
        <f>SUM(MI_FINANCIAL)</f>
        <v>2261.1338553043011</v>
      </c>
      <c r="H28" s="30"/>
      <c r="I28" s="36"/>
      <c r="J28" s="37"/>
      <c r="K28" s="30"/>
      <c r="L28" s="29"/>
      <c r="M28" s="30"/>
      <c r="N28" s="30"/>
      <c r="O28" s="30"/>
      <c r="P28" s="30"/>
      <c r="Q28" s="30"/>
      <c r="R28" s="30"/>
      <c r="S28" s="30"/>
      <c r="T28" s="30"/>
      <c r="U28" s="30"/>
      <c r="V28" s="31"/>
    </row>
    <row r="29" spans="1:22">
      <c r="A29" s="1" t="s">
        <v>50</v>
      </c>
      <c r="B29" s="29">
        <v>0</v>
      </c>
      <c r="C29" s="30">
        <v>0</v>
      </c>
      <c r="D29" s="30">
        <v>0</v>
      </c>
      <c r="E29" s="30">
        <v>0</v>
      </c>
      <c r="F29" s="30">
        <v>0</v>
      </c>
      <c r="G29" s="31">
        <f>SUM(MN_FINANCIAL)</f>
        <v>0</v>
      </c>
      <c r="H29" s="30"/>
      <c r="I29" s="30"/>
      <c r="J29" s="30"/>
      <c r="K29" s="30"/>
      <c r="L29" s="29"/>
      <c r="M29" s="30"/>
      <c r="N29" s="30"/>
      <c r="O29" s="30"/>
      <c r="P29" s="30"/>
      <c r="Q29" s="30"/>
      <c r="R29" s="30"/>
      <c r="S29" s="30"/>
      <c r="T29" s="30"/>
      <c r="U29" s="30"/>
      <c r="V29" s="31"/>
    </row>
    <row r="30" spans="1:22">
      <c r="A30" s="1" t="s">
        <v>51</v>
      </c>
      <c r="B30" s="29">
        <v>0</v>
      </c>
      <c r="C30" s="30">
        <v>0</v>
      </c>
      <c r="D30" s="30">
        <v>0</v>
      </c>
      <c r="E30" s="30">
        <v>0</v>
      </c>
      <c r="F30" s="30">
        <v>0</v>
      </c>
      <c r="G30" s="31">
        <f>SUM(MS_FINANCIAL)</f>
        <v>0</v>
      </c>
      <c r="H30" s="30"/>
      <c r="I30" s="30"/>
      <c r="J30" s="30"/>
      <c r="K30" s="30"/>
      <c r="L30" s="29"/>
      <c r="M30" s="30"/>
      <c r="N30" s="30"/>
      <c r="O30" s="30"/>
      <c r="P30" s="30"/>
      <c r="Q30" s="30"/>
      <c r="R30" s="30"/>
      <c r="S30" s="30"/>
      <c r="T30" s="30"/>
      <c r="U30" s="30"/>
      <c r="V30" s="31"/>
    </row>
    <row r="31" spans="1:22">
      <c r="A31" s="1" t="s">
        <v>52</v>
      </c>
      <c r="B31" s="29">
        <v>473.99865322462387</v>
      </c>
      <c r="C31" s="30">
        <v>0</v>
      </c>
      <c r="D31" s="30">
        <v>154.42478380804948</v>
      </c>
      <c r="E31" s="30">
        <v>0</v>
      </c>
      <c r="F31" s="30">
        <v>0</v>
      </c>
      <c r="G31" s="31">
        <f>SUM(MO_FINANCIAL)</f>
        <v>628.42343703267329</v>
      </c>
      <c r="H31" s="30"/>
      <c r="I31" s="30"/>
      <c r="J31" s="30"/>
      <c r="K31" s="30"/>
      <c r="L31" s="29"/>
      <c r="M31" s="30"/>
      <c r="N31" s="30"/>
      <c r="O31" s="30"/>
      <c r="P31" s="30"/>
      <c r="Q31" s="30"/>
      <c r="R31" s="30"/>
      <c r="S31" s="30"/>
      <c r="T31" s="30"/>
      <c r="U31" s="30"/>
      <c r="V31" s="31"/>
    </row>
    <row r="32" spans="1:22">
      <c r="A32" s="1" t="s">
        <v>53</v>
      </c>
      <c r="B32" s="29">
        <v>0</v>
      </c>
      <c r="C32" s="30">
        <v>0</v>
      </c>
      <c r="D32" s="30">
        <v>0</v>
      </c>
      <c r="E32" s="30">
        <v>0</v>
      </c>
      <c r="F32" s="30">
        <v>0</v>
      </c>
      <c r="G32" s="31">
        <f>SUM(MT_FINANCIAL)</f>
        <v>0</v>
      </c>
      <c r="H32" s="30"/>
      <c r="I32" s="30"/>
      <c r="J32" s="30"/>
      <c r="K32" s="30"/>
      <c r="L32" s="29"/>
      <c r="M32" s="30"/>
      <c r="N32" s="30"/>
      <c r="O32" s="30"/>
      <c r="P32" s="30"/>
      <c r="Q32" s="30"/>
      <c r="R32" s="30"/>
      <c r="S32" s="30"/>
      <c r="T32" s="30"/>
      <c r="U32" s="30"/>
      <c r="V32" s="31"/>
    </row>
    <row r="33" spans="1:22">
      <c r="A33" s="1" t="s">
        <v>54</v>
      </c>
      <c r="B33" s="29">
        <v>0</v>
      </c>
      <c r="C33" s="30">
        <v>0</v>
      </c>
      <c r="D33" s="30">
        <v>0</v>
      </c>
      <c r="E33" s="30">
        <v>0</v>
      </c>
      <c r="F33" s="30">
        <v>0</v>
      </c>
      <c r="G33" s="31">
        <f>SUM(NE_FINANCIAL)</f>
        <v>0</v>
      </c>
      <c r="H33" s="30"/>
      <c r="I33" s="30"/>
      <c r="J33" s="30"/>
      <c r="K33" s="30"/>
      <c r="L33" s="29"/>
      <c r="M33" s="30"/>
      <c r="N33" s="30"/>
      <c r="O33" s="30"/>
      <c r="P33" s="30"/>
      <c r="Q33" s="30"/>
      <c r="R33" s="30"/>
      <c r="S33" s="30"/>
      <c r="T33" s="30"/>
      <c r="U33" s="30"/>
      <c r="V33" s="31"/>
    </row>
    <row r="34" spans="1:22">
      <c r="A34" s="1" t="s">
        <v>55</v>
      </c>
      <c r="B34" s="29">
        <v>0</v>
      </c>
      <c r="C34" s="30">
        <v>0</v>
      </c>
      <c r="D34" s="30">
        <v>0</v>
      </c>
      <c r="E34" s="30">
        <v>0</v>
      </c>
      <c r="F34" s="30">
        <v>0</v>
      </c>
      <c r="G34" s="31">
        <f>SUM(NV_FINANCIAL)</f>
        <v>0</v>
      </c>
      <c r="H34" s="30"/>
      <c r="I34" s="30"/>
      <c r="J34" s="30"/>
      <c r="K34" s="30"/>
      <c r="L34" s="29"/>
      <c r="M34" s="30"/>
      <c r="N34" s="30"/>
      <c r="O34" s="30"/>
      <c r="P34" s="30"/>
      <c r="Q34" s="30"/>
      <c r="R34" s="30"/>
      <c r="S34" s="30"/>
      <c r="T34" s="30"/>
      <c r="U34" s="30"/>
      <c r="V34" s="31"/>
    </row>
    <row r="35" spans="1:22">
      <c r="A35" s="1" t="s">
        <v>56</v>
      </c>
      <c r="B35" s="29">
        <v>0</v>
      </c>
      <c r="C35" s="30">
        <v>0</v>
      </c>
      <c r="D35" s="30">
        <v>0</v>
      </c>
      <c r="E35" s="30">
        <v>0</v>
      </c>
      <c r="F35" s="30">
        <v>0</v>
      </c>
      <c r="G35" s="31">
        <f>SUM(NH_FINANCIAL)</f>
        <v>0</v>
      </c>
      <c r="H35" s="30"/>
      <c r="I35" s="30"/>
      <c r="J35" s="30"/>
      <c r="K35" s="30"/>
      <c r="L35" s="29"/>
      <c r="M35" s="30"/>
      <c r="N35" s="30"/>
      <c r="O35" s="30"/>
      <c r="P35" s="30"/>
      <c r="Q35" s="30"/>
      <c r="R35" s="30"/>
      <c r="S35" s="30"/>
      <c r="T35" s="30"/>
      <c r="U35" s="30"/>
      <c r="V35" s="31"/>
    </row>
    <row r="36" spans="1:22">
      <c r="A36" s="1" t="s">
        <v>57</v>
      </c>
      <c r="B36" s="29">
        <v>0</v>
      </c>
      <c r="C36" s="30">
        <v>0</v>
      </c>
      <c r="D36" s="30">
        <v>0</v>
      </c>
      <c r="E36" s="30">
        <v>0</v>
      </c>
      <c r="F36" s="30">
        <v>0</v>
      </c>
      <c r="G36" s="31">
        <f>SUM(NJ_FINANCIAL)</f>
        <v>0</v>
      </c>
      <c r="H36" s="30"/>
      <c r="I36" s="30"/>
      <c r="J36" s="30"/>
      <c r="K36" s="30"/>
      <c r="L36" s="29"/>
      <c r="M36" s="30"/>
      <c r="N36" s="30"/>
      <c r="O36" s="30"/>
      <c r="P36" s="30"/>
      <c r="Q36" s="30"/>
      <c r="R36" s="30"/>
      <c r="S36" s="30"/>
      <c r="T36" s="30"/>
      <c r="U36" s="30"/>
      <c r="V36" s="31"/>
    </row>
    <row r="37" spans="1:22">
      <c r="A37" s="1" t="s">
        <v>58</v>
      </c>
      <c r="B37" s="29">
        <v>0</v>
      </c>
      <c r="C37" s="30">
        <v>0</v>
      </c>
      <c r="D37" s="30">
        <v>0</v>
      </c>
      <c r="E37" s="30">
        <v>0</v>
      </c>
      <c r="F37" s="30">
        <v>0</v>
      </c>
      <c r="G37" s="31">
        <f>SUM(NM_FINANCIAL)</f>
        <v>0</v>
      </c>
      <c r="H37" s="30"/>
      <c r="I37" s="30"/>
      <c r="J37" s="30"/>
      <c r="K37" s="30"/>
      <c r="L37" s="29"/>
      <c r="M37" s="30"/>
      <c r="N37" s="30"/>
      <c r="O37" s="30"/>
      <c r="P37" s="30"/>
      <c r="Q37" s="30"/>
      <c r="R37" s="30"/>
      <c r="S37" s="30"/>
      <c r="T37" s="30"/>
      <c r="U37" s="30"/>
      <c r="V37" s="31"/>
    </row>
    <row r="38" spans="1:22">
      <c r="A38" s="1" t="s">
        <v>59</v>
      </c>
      <c r="B38" s="29">
        <v>0</v>
      </c>
      <c r="C38" s="30">
        <v>0</v>
      </c>
      <c r="D38" s="30">
        <v>0</v>
      </c>
      <c r="E38" s="30">
        <v>0</v>
      </c>
      <c r="F38" s="30">
        <v>0</v>
      </c>
      <c r="G38" s="31">
        <f>SUM(NY_FINANCIAL)</f>
        <v>0</v>
      </c>
      <c r="H38" s="30"/>
      <c r="I38" s="30"/>
      <c r="J38" s="30"/>
      <c r="K38" s="30"/>
      <c r="L38" s="29"/>
      <c r="M38" s="30"/>
      <c r="N38" s="30"/>
      <c r="O38" s="30"/>
      <c r="P38" s="30"/>
      <c r="Q38" s="30"/>
      <c r="R38" s="30"/>
      <c r="S38" s="30"/>
      <c r="T38" s="30"/>
      <c r="U38" s="30"/>
      <c r="V38" s="31"/>
    </row>
    <row r="39" spans="1:22">
      <c r="A39" s="1" t="s">
        <v>60</v>
      </c>
      <c r="B39" s="29">
        <v>0</v>
      </c>
      <c r="C39" s="30">
        <v>0</v>
      </c>
      <c r="D39" s="30">
        <v>0</v>
      </c>
      <c r="E39" s="30">
        <v>0</v>
      </c>
      <c r="F39" s="30">
        <v>0</v>
      </c>
      <c r="G39" s="31">
        <f>SUM(NC_FINANCIAL)</f>
        <v>0</v>
      </c>
      <c r="H39" s="30"/>
      <c r="I39" s="30"/>
      <c r="J39" s="30"/>
      <c r="K39" s="30"/>
      <c r="L39" s="29"/>
      <c r="M39" s="30"/>
      <c r="N39" s="30"/>
      <c r="O39" s="30"/>
      <c r="P39" s="30"/>
      <c r="Q39" s="30"/>
      <c r="R39" s="30"/>
      <c r="S39" s="30"/>
      <c r="T39" s="30"/>
      <c r="U39" s="30"/>
      <c r="V39" s="31"/>
    </row>
    <row r="40" spans="1:22">
      <c r="A40" s="1" t="s">
        <v>61</v>
      </c>
      <c r="B40" s="29">
        <v>0</v>
      </c>
      <c r="C40" s="30">
        <v>0</v>
      </c>
      <c r="D40" s="30">
        <v>0</v>
      </c>
      <c r="E40" s="30">
        <v>0</v>
      </c>
      <c r="F40" s="30">
        <v>0</v>
      </c>
      <c r="G40" s="31">
        <f>SUM(ND_FINANCIAL)</f>
        <v>0</v>
      </c>
      <c r="H40" s="30"/>
      <c r="I40" s="30"/>
      <c r="J40" s="30"/>
      <c r="K40" s="30"/>
      <c r="L40" s="29"/>
      <c r="M40" s="30"/>
      <c r="N40" s="30"/>
      <c r="O40" s="30"/>
      <c r="P40" s="30"/>
      <c r="Q40" s="30"/>
      <c r="R40" s="30"/>
      <c r="S40" s="30"/>
      <c r="T40" s="30"/>
      <c r="U40" s="30"/>
      <c r="V40" s="31"/>
    </row>
    <row r="41" spans="1:22">
      <c r="A41" s="1" t="s">
        <v>62</v>
      </c>
      <c r="B41" s="29">
        <v>7358.9662134389018</v>
      </c>
      <c r="C41" s="30">
        <v>0</v>
      </c>
      <c r="D41" s="30">
        <v>1621.7914570645657</v>
      </c>
      <c r="E41" s="30">
        <v>0</v>
      </c>
      <c r="F41" s="30">
        <v>0</v>
      </c>
      <c r="G41" s="31">
        <f>SUM(OH_FINANCIAL)</f>
        <v>8980.757670503468</v>
      </c>
      <c r="H41" s="30"/>
      <c r="I41" s="30"/>
      <c r="J41" s="30"/>
      <c r="K41" s="30"/>
      <c r="L41" s="29"/>
      <c r="M41" s="30"/>
      <c r="N41" s="30"/>
      <c r="O41" s="30"/>
      <c r="P41" s="30"/>
      <c r="Q41" s="30"/>
      <c r="R41" s="30"/>
      <c r="S41" s="30"/>
      <c r="T41" s="30"/>
      <c r="U41" s="30"/>
      <c r="V41" s="31"/>
    </row>
    <row r="42" spans="1:22">
      <c r="A42" s="1" t="s">
        <v>63</v>
      </c>
      <c r="B42" s="29">
        <v>0</v>
      </c>
      <c r="C42" s="30">
        <v>0</v>
      </c>
      <c r="D42" s="30">
        <v>0</v>
      </c>
      <c r="E42" s="30">
        <v>0</v>
      </c>
      <c r="F42" s="30">
        <v>0</v>
      </c>
      <c r="G42" s="31">
        <f>SUM(OK_FINANCIAL)</f>
        <v>0</v>
      </c>
      <c r="H42" s="30"/>
      <c r="I42" s="30"/>
      <c r="J42" s="30"/>
      <c r="K42" s="30"/>
      <c r="L42" s="29"/>
      <c r="M42" s="30"/>
      <c r="N42" s="30"/>
      <c r="O42" s="30"/>
      <c r="P42" s="30"/>
      <c r="Q42" s="30"/>
      <c r="R42" s="30"/>
      <c r="S42" s="30"/>
      <c r="T42" s="30"/>
      <c r="U42" s="30"/>
      <c r="V42" s="31"/>
    </row>
    <row r="43" spans="1:22">
      <c r="A43" s="1" t="s">
        <v>64</v>
      </c>
      <c r="B43" s="29">
        <v>0</v>
      </c>
      <c r="C43" s="30">
        <v>0</v>
      </c>
      <c r="D43" s="30">
        <v>0</v>
      </c>
      <c r="E43" s="30">
        <v>0</v>
      </c>
      <c r="F43" s="30">
        <v>0</v>
      </c>
      <c r="G43" s="31">
        <f>SUM(OR_FINANCIAL)</f>
        <v>0</v>
      </c>
      <c r="H43" s="30"/>
      <c r="I43" s="30"/>
      <c r="J43" s="30"/>
      <c r="K43" s="30"/>
      <c r="L43" s="29"/>
      <c r="M43" s="30"/>
      <c r="N43" s="30"/>
      <c r="O43" s="30"/>
      <c r="P43" s="30"/>
      <c r="Q43" s="30"/>
      <c r="R43" s="30"/>
      <c r="S43" s="30"/>
      <c r="T43" s="30"/>
      <c r="U43" s="30"/>
      <c r="V43" s="31"/>
    </row>
    <row r="44" spans="1:22">
      <c r="A44" s="1" t="s">
        <v>65</v>
      </c>
      <c r="B44" s="29">
        <v>0</v>
      </c>
      <c r="C44" s="30">
        <v>0</v>
      </c>
      <c r="D44" s="30">
        <v>0</v>
      </c>
      <c r="E44" s="30">
        <v>0</v>
      </c>
      <c r="F44" s="30">
        <v>0</v>
      </c>
      <c r="G44" s="31">
        <f>SUM(PA_FINANCIAL)</f>
        <v>0</v>
      </c>
      <c r="H44" s="30"/>
      <c r="I44" s="30"/>
      <c r="J44" s="30"/>
      <c r="K44" s="30"/>
      <c r="L44" s="29"/>
      <c r="M44" s="30"/>
      <c r="N44" s="30"/>
      <c r="O44" s="30"/>
      <c r="P44" s="30"/>
      <c r="Q44" s="30"/>
      <c r="R44" s="30"/>
      <c r="S44" s="30"/>
      <c r="T44" s="30"/>
      <c r="U44" s="30"/>
      <c r="V44" s="31"/>
    </row>
    <row r="45" spans="1:22">
      <c r="A45" s="1" t="s">
        <v>66</v>
      </c>
      <c r="B45" s="29">
        <v>0</v>
      </c>
      <c r="C45" s="30">
        <v>0</v>
      </c>
      <c r="D45" s="30">
        <v>0</v>
      </c>
      <c r="E45" s="30">
        <v>0</v>
      </c>
      <c r="F45" s="30">
        <v>0</v>
      </c>
      <c r="G45" s="31">
        <f>SUM(PR_FINANCIAL)</f>
        <v>0</v>
      </c>
      <c r="H45" s="30"/>
      <c r="I45" s="30"/>
      <c r="J45" s="30"/>
      <c r="K45" s="30"/>
      <c r="L45" s="29"/>
      <c r="M45" s="30"/>
      <c r="N45" s="30"/>
      <c r="O45" s="30"/>
      <c r="P45" s="30"/>
      <c r="Q45" s="30"/>
      <c r="R45" s="30"/>
      <c r="S45" s="30"/>
      <c r="T45" s="30"/>
      <c r="U45" s="30"/>
      <c r="V45" s="31"/>
    </row>
    <row r="46" spans="1:22">
      <c r="A46" s="1" t="s">
        <v>67</v>
      </c>
      <c r="B46" s="29">
        <v>0</v>
      </c>
      <c r="C46" s="30">
        <v>0</v>
      </c>
      <c r="D46" s="30">
        <v>0</v>
      </c>
      <c r="E46" s="30">
        <v>0</v>
      </c>
      <c r="F46" s="30">
        <v>0</v>
      </c>
      <c r="G46" s="31">
        <f>SUM(RI_FINANCIAL)</f>
        <v>0</v>
      </c>
      <c r="H46" s="30"/>
      <c r="I46" s="30"/>
      <c r="J46" s="30"/>
      <c r="K46" s="30"/>
      <c r="L46" s="29"/>
      <c r="M46" s="30"/>
      <c r="N46" s="30"/>
      <c r="O46" s="30"/>
      <c r="P46" s="30"/>
      <c r="Q46" s="30"/>
      <c r="R46" s="30"/>
      <c r="S46" s="30"/>
      <c r="T46" s="30"/>
      <c r="U46" s="30"/>
      <c r="V46" s="31"/>
    </row>
    <row r="47" spans="1:22">
      <c r="A47" s="1" t="s">
        <v>68</v>
      </c>
      <c r="B47" s="29">
        <v>0</v>
      </c>
      <c r="C47" s="30">
        <v>0</v>
      </c>
      <c r="D47" s="30">
        <v>0</v>
      </c>
      <c r="E47" s="30">
        <v>0</v>
      </c>
      <c r="F47" s="30">
        <v>0</v>
      </c>
      <c r="G47" s="31">
        <f>SUM(SC_FINANCIAL)</f>
        <v>0</v>
      </c>
      <c r="H47" s="30"/>
      <c r="I47" s="30"/>
      <c r="J47" s="30"/>
      <c r="K47" s="30"/>
      <c r="L47" s="29"/>
      <c r="M47" s="30"/>
      <c r="N47" s="30"/>
      <c r="O47" s="30"/>
      <c r="P47" s="30"/>
      <c r="Q47" s="30"/>
      <c r="R47" s="30"/>
      <c r="S47" s="30"/>
      <c r="T47" s="30"/>
      <c r="U47" s="30"/>
      <c r="V47" s="31"/>
    </row>
    <row r="48" spans="1:22">
      <c r="A48" s="1" t="s">
        <v>69</v>
      </c>
      <c r="B48" s="29">
        <v>0</v>
      </c>
      <c r="C48" s="30">
        <v>0</v>
      </c>
      <c r="D48" s="30">
        <v>0</v>
      </c>
      <c r="E48" s="30">
        <v>0</v>
      </c>
      <c r="F48" s="30">
        <v>0</v>
      </c>
      <c r="G48" s="31">
        <f>SUM(SD_FINANCIAL)</f>
        <v>0</v>
      </c>
      <c r="H48" s="30"/>
      <c r="I48" s="30"/>
      <c r="J48" s="30"/>
      <c r="K48" s="30"/>
      <c r="L48" s="29"/>
      <c r="M48" s="30"/>
      <c r="N48" s="30"/>
      <c r="O48" s="30"/>
      <c r="P48" s="30"/>
      <c r="Q48" s="30"/>
      <c r="R48" s="30"/>
      <c r="S48" s="30"/>
      <c r="T48" s="30"/>
      <c r="U48" s="30"/>
      <c r="V48" s="31"/>
    </row>
    <row r="49" spans="1:22">
      <c r="A49" s="1" t="s">
        <v>70</v>
      </c>
      <c r="B49" s="29">
        <v>0</v>
      </c>
      <c r="C49" s="30">
        <v>0</v>
      </c>
      <c r="D49" s="30">
        <v>0</v>
      </c>
      <c r="E49" s="30">
        <v>0</v>
      </c>
      <c r="F49" s="30">
        <v>0</v>
      </c>
      <c r="G49" s="31">
        <f>SUM(TN_FINANCIAL)</f>
        <v>0</v>
      </c>
      <c r="H49" s="30"/>
      <c r="I49" s="30"/>
      <c r="J49" s="30"/>
      <c r="K49" s="30"/>
      <c r="L49" s="29"/>
      <c r="M49" s="30"/>
      <c r="N49" s="30"/>
      <c r="O49" s="30"/>
      <c r="P49" s="30"/>
      <c r="Q49" s="30"/>
      <c r="R49" s="30"/>
      <c r="S49" s="30"/>
      <c r="T49" s="30"/>
      <c r="U49" s="30"/>
      <c r="V49" s="31"/>
    </row>
    <row r="50" spans="1:22">
      <c r="A50" s="1" t="s">
        <v>71</v>
      </c>
      <c r="B50" s="29">
        <v>0</v>
      </c>
      <c r="C50" s="30">
        <v>0</v>
      </c>
      <c r="D50" s="30">
        <v>0</v>
      </c>
      <c r="E50" s="30">
        <v>0</v>
      </c>
      <c r="F50" s="30">
        <v>0</v>
      </c>
      <c r="G50" s="31">
        <f>SUM(TX_FINANCIAL)</f>
        <v>0</v>
      </c>
      <c r="H50" s="30"/>
      <c r="I50" s="30"/>
      <c r="J50" s="30"/>
      <c r="K50" s="30"/>
      <c r="L50" s="29"/>
      <c r="M50" s="30"/>
      <c r="N50" s="30"/>
      <c r="O50" s="30"/>
      <c r="P50" s="30"/>
      <c r="Q50" s="30"/>
      <c r="R50" s="30"/>
      <c r="S50" s="30"/>
      <c r="T50" s="30"/>
      <c r="U50" s="30"/>
      <c r="V50" s="31"/>
    </row>
    <row r="51" spans="1:22">
      <c r="A51" s="1" t="s">
        <v>72</v>
      </c>
      <c r="B51" s="29">
        <v>0</v>
      </c>
      <c r="C51" s="30">
        <v>0</v>
      </c>
      <c r="D51" s="30">
        <v>0</v>
      </c>
      <c r="E51" s="30">
        <v>0</v>
      </c>
      <c r="F51" s="30">
        <v>0</v>
      </c>
      <c r="G51" s="31">
        <f>SUM(UT_FINANCIAL)</f>
        <v>0</v>
      </c>
      <c r="H51" s="30"/>
      <c r="I51" s="30"/>
      <c r="J51" s="30"/>
      <c r="K51" s="30"/>
      <c r="L51" s="29"/>
      <c r="M51" s="30"/>
      <c r="N51" s="30"/>
      <c r="O51" s="30"/>
      <c r="P51" s="30"/>
      <c r="Q51" s="30"/>
      <c r="R51" s="30"/>
      <c r="S51" s="30"/>
      <c r="T51" s="30"/>
      <c r="U51" s="30"/>
      <c r="V51" s="31"/>
    </row>
    <row r="52" spans="1:22">
      <c r="A52" s="1" t="s">
        <v>73</v>
      </c>
      <c r="B52" s="29">
        <v>0</v>
      </c>
      <c r="C52" s="30">
        <v>0</v>
      </c>
      <c r="D52" s="30">
        <v>0</v>
      </c>
      <c r="E52" s="30">
        <v>0</v>
      </c>
      <c r="F52" s="30">
        <v>0</v>
      </c>
      <c r="G52" s="31">
        <f>SUM(VT_FINANCIAL)</f>
        <v>0</v>
      </c>
      <c r="H52" s="30"/>
      <c r="I52" s="30"/>
      <c r="J52" s="30"/>
      <c r="K52" s="30"/>
      <c r="L52" s="29"/>
      <c r="M52" s="30"/>
      <c r="N52" s="30"/>
      <c r="O52" s="30"/>
      <c r="P52" s="30"/>
      <c r="Q52" s="30"/>
      <c r="R52" s="30"/>
      <c r="S52" s="30"/>
      <c r="T52" s="30"/>
      <c r="U52" s="30"/>
      <c r="V52" s="31"/>
    </row>
    <row r="53" spans="1:22">
      <c r="A53" s="1" t="s">
        <v>74</v>
      </c>
      <c r="B53" s="29">
        <v>0</v>
      </c>
      <c r="C53" s="30">
        <v>0</v>
      </c>
      <c r="D53" s="30">
        <v>0</v>
      </c>
      <c r="E53" s="30">
        <v>0</v>
      </c>
      <c r="F53" s="30">
        <v>0</v>
      </c>
      <c r="G53" s="31">
        <f>SUM(VA_FINANCIAL)</f>
        <v>0</v>
      </c>
      <c r="H53" s="30"/>
      <c r="I53" s="30"/>
      <c r="J53" s="30"/>
      <c r="K53" s="30"/>
      <c r="L53" s="29"/>
      <c r="M53" s="30"/>
      <c r="N53" s="30"/>
      <c r="O53" s="30"/>
      <c r="P53" s="30"/>
      <c r="Q53" s="30"/>
      <c r="R53" s="30"/>
      <c r="S53" s="30"/>
      <c r="T53" s="30"/>
      <c r="U53" s="30"/>
      <c r="V53" s="31"/>
    </row>
    <row r="54" spans="1:22">
      <c r="A54" s="1" t="s">
        <v>75</v>
      </c>
      <c r="B54" s="29">
        <v>0</v>
      </c>
      <c r="C54" s="30">
        <v>0</v>
      </c>
      <c r="D54" s="30">
        <v>0</v>
      </c>
      <c r="E54" s="30">
        <v>0</v>
      </c>
      <c r="F54" s="30">
        <v>0</v>
      </c>
      <c r="G54" s="31">
        <f>SUM(WA_FINANCIAL)</f>
        <v>0</v>
      </c>
      <c r="H54" s="30"/>
      <c r="I54" s="30"/>
      <c r="J54" s="30"/>
      <c r="K54" s="30"/>
      <c r="L54" s="29"/>
      <c r="M54" s="30"/>
      <c r="N54" s="30"/>
      <c r="O54" s="30"/>
      <c r="P54" s="30"/>
      <c r="Q54" s="30"/>
      <c r="R54" s="30"/>
      <c r="S54" s="30"/>
      <c r="T54" s="30"/>
      <c r="U54" s="30"/>
      <c r="V54" s="31"/>
    </row>
    <row r="55" spans="1:22">
      <c r="A55" s="1" t="s">
        <v>76</v>
      </c>
      <c r="B55" s="29">
        <v>1230.8303932154763</v>
      </c>
      <c r="C55" s="30">
        <v>0</v>
      </c>
      <c r="D55" s="30">
        <v>374.66818475162393</v>
      </c>
      <c r="E55" s="30">
        <v>0</v>
      </c>
      <c r="F55" s="30">
        <v>0</v>
      </c>
      <c r="G55" s="31">
        <f>SUM(WV_FINANCIAL)</f>
        <v>1605.4985779671001</v>
      </c>
      <c r="H55" s="30"/>
      <c r="I55" s="30"/>
      <c r="J55" s="30"/>
      <c r="K55" s="30"/>
      <c r="L55" s="29"/>
      <c r="M55" s="30"/>
      <c r="N55" s="30"/>
      <c r="O55" s="30"/>
      <c r="P55" s="30"/>
      <c r="Q55" s="30"/>
      <c r="R55" s="30"/>
      <c r="S55" s="30"/>
      <c r="T55" s="30"/>
      <c r="U55" s="30"/>
      <c r="V55" s="31"/>
    </row>
    <row r="56" spans="1:22">
      <c r="A56" s="1" t="s">
        <v>77</v>
      </c>
      <c r="B56" s="29">
        <v>0</v>
      </c>
      <c r="C56" s="30">
        <v>0</v>
      </c>
      <c r="D56" s="30">
        <v>0</v>
      </c>
      <c r="E56" s="30">
        <v>0</v>
      </c>
      <c r="F56" s="30">
        <v>0</v>
      </c>
      <c r="G56" s="31">
        <f>SUM(WI_FINANCIAL)</f>
        <v>0</v>
      </c>
      <c r="H56" s="30"/>
      <c r="I56" s="30"/>
      <c r="J56" s="30"/>
      <c r="K56" s="30"/>
      <c r="L56" s="29"/>
      <c r="M56" s="30"/>
      <c r="N56" s="30"/>
      <c r="O56" s="30"/>
      <c r="P56" s="30"/>
      <c r="Q56" s="30"/>
      <c r="R56" s="30"/>
      <c r="S56" s="30"/>
      <c r="T56" s="30"/>
      <c r="U56" s="30"/>
      <c r="V56" s="31"/>
    </row>
    <row r="57" spans="1:22">
      <c r="A57" s="1" t="s">
        <v>78</v>
      </c>
      <c r="B57" s="29">
        <v>0</v>
      </c>
      <c r="C57" s="30">
        <v>0</v>
      </c>
      <c r="D57" s="30">
        <v>0</v>
      </c>
      <c r="E57" s="30">
        <v>0</v>
      </c>
      <c r="F57" s="30">
        <v>0</v>
      </c>
      <c r="G57" s="31">
        <f>SUM(WY_FINANCIAL)</f>
        <v>0</v>
      </c>
      <c r="H57" s="30"/>
      <c r="I57" s="30"/>
      <c r="J57" s="30"/>
      <c r="K57" s="30"/>
      <c r="L57" s="29"/>
      <c r="M57" s="30"/>
      <c r="N57" s="30"/>
      <c r="O57" s="30"/>
      <c r="P57" s="30"/>
      <c r="Q57" s="30"/>
      <c r="R57" s="30"/>
      <c r="S57" s="30"/>
      <c r="T57" s="30"/>
      <c r="U57" s="30"/>
      <c r="V57" s="31"/>
    </row>
    <row r="58" spans="1:22">
      <c r="A58" s="1" t="s">
        <v>79</v>
      </c>
      <c r="B58" s="29">
        <v>0</v>
      </c>
      <c r="C58" s="30">
        <v>0</v>
      </c>
      <c r="D58" s="30">
        <v>0</v>
      </c>
      <c r="E58" s="30">
        <v>0</v>
      </c>
      <c r="F58" s="30">
        <v>0</v>
      </c>
      <c r="G58" s="31">
        <f>SUM(OT_FINANCIAL)</f>
        <v>0</v>
      </c>
      <c r="H58" s="30"/>
      <c r="I58" s="30"/>
      <c r="J58" s="30"/>
      <c r="K58" s="30"/>
      <c r="L58" s="29"/>
      <c r="M58" s="30"/>
      <c r="N58" s="30"/>
      <c r="O58" s="30"/>
      <c r="P58" s="30"/>
      <c r="Q58" s="30"/>
      <c r="R58" s="30"/>
      <c r="S58" s="30"/>
      <c r="T58" s="30"/>
      <c r="U58" s="30"/>
      <c r="V58" s="31"/>
    </row>
    <row r="59" spans="1:22">
      <c r="B59" s="29"/>
      <c r="C59" s="30"/>
      <c r="D59" s="30"/>
      <c r="E59" s="30"/>
      <c r="F59" s="30"/>
      <c r="G59" s="31"/>
      <c r="H59" s="30"/>
      <c r="I59" s="30"/>
      <c r="J59" s="30"/>
      <c r="K59" s="30"/>
      <c r="L59" s="29"/>
      <c r="M59" s="30"/>
      <c r="N59" s="30"/>
      <c r="O59" s="30"/>
      <c r="P59" s="30"/>
      <c r="Q59" s="30"/>
      <c r="R59" s="30"/>
      <c r="S59" s="30"/>
      <c r="T59" s="30"/>
      <c r="U59" s="30"/>
      <c r="V59" s="31"/>
    </row>
    <row r="60" spans="1:22">
      <c r="A60" s="1" t="s">
        <v>8</v>
      </c>
      <c r="B60" s="29">
        <f>SUM(LIFE)</f>
        <v>27905.711253215781</v>
      </c>
      <c r="C60" s="30">
        <f>SUM(ALLOCATED)</f>
        <v>0</v>
      </c>
      <c r="D60" s="30">
        <f>SUM(HEALTH)</f>
        <v>9624.5187467842243</v>
      </c>
      <c r="E60" s="30">
        <f>SUM(UNALLOCATED)</f>
        <v>0</v>
      </c>
      <c r="F60" s="30">
        <f>SUM(LTC)</f>
        <v>0</v>
      </c>
      <c r="G60" s="31">
        <f>SUM(ALL_BLOCKS)</f>
        <v>37530.230000000003</v>
      </c>
      <c r="H60" s="30"/>
      <c r="I60" s="30"/>
      <c r="J60" s="30"/>
      <c r="K60" s="30"/>
      <c r="L60" s="29">
        <f>SUM(LIFE_CALLED)</f>
        <v>80000</v>
      </c>
      <c r="M60" s="30">
        <f>SUM(LIFE_REFUNDED)</f>
        <v>54000</v>
      </c>
      <c r="N60" s="30"/>
      <c r="O60" s="30">
        <f>SUM(ALLOC_CALLED)</f>
        <v>0</v>
      </c>
      <c r="P60" s="30">
        <f>SUM(ALLOC_REFUNDED)</f>
        <v>0</v>
      </c>
      <c r="Q60" s="30"/>
      <c r="R60" s="30">
        <f>SUM(HEALTH_CALLED)</f>
        <v>20000</v>
      </c>
      <c r="S60" s="30">
        <f>SUM(HEALTH_REFUNDED)</f>
        <v>24000</v>
      </c>
      <c r="T60" s="30"/>
      <c r="U60" s="30">
        <f>SUM(UNALLOC_CALLED)</f>
        <v>0</v>
      </c>
      <c r="V60" s="31">
        <f>SUM(UNALLOC_REFUNDED)</f>
        <v>0</v>
      </c>
    </row>
    <row r="61" spans="1:22" ht="5.0999999999999996" customHeight="1">
      <c r="B61" s="8"/>
      <c r="G61" s="11"/>
      <c r="L61" s="8"/>
      <c r="V61" s="11"/>
    </row>
    <row r="62" spans="1:22">
      <c r="B62" s="8"/>
      <c r="G62" s="11"/>
      <c r="L62" s="122" t="s">
        <v>80</v>
      </c>
      <c r="M62" s="123"/>
      <c r="N62" s="123"/>
      <c r="O62" s="123"/>
      <c r="P62" s="123"/>
      <c r="Q62" s="123"/>
      <c r="R62" s="123"/>
      <c r="S62" s="123"/>
      <c r="T62" s="123"/>
      <c r="U62" s="123"/>
      <c r="V62" s="124"/>
    </row>
    <row r="63" spans="1:22">
      <c r="B63" s="8"/>
      <c r="G63" s="11"/>
      <c r="L63" s="125"/>
      <c r="M63" s="123"/>
      <c r="N63" s="123"/>
      <c r="O63" s="123"/>
      <c r="P63" s="123"/>
      <c r="Q63" s="123"/>
      <c r="R63" s="123"/>
      <c r="S63" s="123"/>
      <c r="T63" s="123"/>
      <c r="U63" s="123"/>
      <c r="V63" s="124"/>
    </row>
    <row r="64" spans="1:22">
      <c r="B64" s="10"/>
      <c r="C64" s="7"/>
      <c r="D64" s="7"/>
      <c r="E64" s="7"/>
      <c r="F64" s="7"/>
      <c r="G64" s="13"/>
      <c r="L64" s="126"/>
      <c r="M64" s="127"/>
      <c r="N64" s="127"/>
      <c r="O64" s="127"/>
      <c r="P64" s="127"/>
      <c r="Q64" s="127"/>
      <c r="R64" s="127"/>
      <c r="S64" s="127"/>
      <c r="T64" s="127"/>
      <c r="U64" s="127"/>
      <c r="V64" s="128"/>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pageSetUpPr fitToPage="1"/>
  </sheetPr>
  <dimension ref="A1:V64"/>
  <sheetViews>
    <sheetView zoomScale="75" workbookViewId="0">
      <selection sqref="A1:XFD1048576"/>
    </sheetView>
  </sheetViews>
  <sheetFormatPr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129" t="s">
        <v>164</v>
      </c>
      <c r="B1" s="123"/>
      <c r="C1" s="123"/>
      <c r="D1" s="123"/>
      <c r="E1" s="123"/>
      <c r="F1" s="123"/>
      <c r="G1" s="123"/>
    </row>
    <row r="3" spans="1:22">
      <c r="B3" s="130" t="s">
        <v>1</v>
      </c>
      <c r="C3" s="131"/>
      <c r="D3" s="131"/>
      <c r="E3" s="131"/>
      <c r="F3" s="131"/>
      <c r="G3" s="132"/>
      <c r="L3" s="133" t="s">
        <v>2</v>
      </c>
      <c r="M3" s="134"/>
      <c r="N3" s="134"/>
      <c r="O3" s="134"/>
      <c r="P3" s="134"/>
      <c r="Q3" s="134"/>
      <c r="R3" s="134"/>
      <c r="S3" s="134"/>
      <c r="T3" s="134"/>
      <c r="U3" s="134"/>
      <c r="V3" s="135"/>
    </row>
    <row r="4" spans="1:22">
      <c r="B4" s="8"/>
      <c r="G4" s="11"/>
      <c r="L4" s="136" t="s">
        <v>3</v>
      </c>
      <c r="M4" s="137"/>
      <c r="N4" s="4"/>
      <c r="O4" s="138" t="s">
        <v>4</v>
      </c>
      <c r="P4" s="137"/>
      <c r="Q4" s="4"/>
      <c r="R4" s="138" t="s">
        <v>5</v>
      </c>
      <c r="S4" s="137"/>
      <c r="T4" s="4"/>
      <c r="U4" s="138" t="s">
        <v>6</v>
      </c>
      <c r="V4" s="139"/>
    </row>
    <row r="5" spans="1:22" ht="60" customHeight="1">
      <c r="B5" s="9" t="s">
        <v>3</v>
      </c>
      <c r="C5" s="5" t="s">
        <v>4</v>
      </c>
      <c r="D5" s="5" t="s">
        <v>5</v>
      </c>
      <c r="E5" s="5" t="s">
        <v>6</v>
      </c>
      <c r="F5" s="5" t="s">
        <v>7</v>
      </c>
      <c r="G5" s="12" t="s">
        <v>8</v>
      </c>
      <c r="L5" s="15" t="s">
        <v>9</v>
      </c>
      <c r="M5" s="14" t="s">
        <v>10</v>
      </c>
      <c r="N5" s="14"/>
      <c r="O5" s="14" t="s">
        <v>9</v>
      </c>
      <c r="P5" s="14" t="s">
        <v>10</v>
      </c>
      <c r="Q5" s="14"/>
      <c r="R5" s="14" t="s">
        <v>9</v>
      </c>
      <c r="S5" s="14" t="s">
        <v>10</v>
      </c>
      <c r="T5" s="14"/>
      <c r="U5" s="14" t="s">
        <v>9</v>
      </c>
      <c r="V5" s="16" t="s">
        <v>10</v>
      </c>
    </row>
    <row r="6" spans="1:22">
      <c r="A6" s="1" t="s">
        <v>11</v>
      </c>
      <c r="B6" s="29">
        <v>0</v>
      </c>
      <c r="C6" s="30">
        <v>0</v>
      </c>
      <c r="D6" s="30">
        <v>557191</v>
      </c>
      <c r="E6" s="30">
        <v>0</v>
      </c>
      <c r="F6" s="30">
        <v>0</v>
      </c>
      <c r="G6" s="31">
        <f>SUM(AL_FINANCIAL)</f>
        <v>557191</v>
      </c>
      <c r="H6" s="30"/>
      <c r="I6" s="30"/>
      <c r="J6" s="30"/>
      <c r="K6" s="30"/>
      <c r="L6" s="29">
        <v>0</v>
      </c>
      <c r="M6" s="30">
        <v>0</v>
      </c>
      <c r="N6" s="30"/>
      <c r="O6" s="30">
        <v>0</v>
      </c>
      <c r="P6" s="30">
        <v>0</v>
      </c>
      <c r="Q6" s="30"/>
      <c r="R6" s="30">
        <v>555000</v>
      </c>
      <c r="S6" s="30">
        <v>0</v>
      </c>
      <c r="T6" s="30"/>
      <c r="U6" s="30">
        <v>0</v>
      </c>
      <c r="V6" s="31">
        <v>0</v>
      </c>
    </row>
    <row r="7" spans="1:22">
      <c r="A7" s="1" t="s">
        <v>12</v>
      </c>
      <c r="B7" s="29">
        <v>0</v>
      </c>
      <c r="C7" s="30">
        <v>0</v>
      </c>
      <c r="D7" s="30">
        <v>0</v>
      </c>
      <c r="E7" s="30">
        <v>0</v>
      </c>
      <c r="F7" s="30">
        <v>0</v>
      </c>
      <c r="G7" s="31">
        <f>SUM(AK_FINANCIAL)</f>
        <v>0</v>
      </c>
      <c r="H7" s="30"/>
      <c r="I7" s="32"/>
      <c r="J7" s="33"/>
      <c r="K7" s="30"/>
      <c r="L7" s="29"/>
      <c r="M7" s="30"/>
      <c r="N7" s="30"/>
      <c r="O7" s="30"/>
      <c r="P7" s="30"/>
      <c r="Q7" s="30"/>
      <c r="R7" s="30"/>
      <c r="S7" s="30"/>
      <c r="T7" s="30"/>
      <c r="U7" s="30"/>
      <c r="V7" s="31"/>
    </row>
    <row r="8" spans="1:22">
      <c r="A8" s="1" t="s">
        <v>13</v>
      </c>
      <c r="B8" s="29">
        <v>0</v>
      </c>
      <c r="C8" s="30">
        <v>0</v>
      </c>
      <c r="D8" s="30">
        <v>193164</v>
      </c>
      <c r="E8" s="30">
        <v>0</v>
      </c>
      <c r="F8" s="30">
        <v>0</v>
      </c>
      <c r="G8" s="31">
        <f>SUM(AZ_FINANCIAL)</f>
        <v>193164</v>
      </c>
      <c r="H8" s="30"/>
      <c r="I8" s="34" t="s">
        <v>14</v>
      </c>
      <c r="J8" s="35"/>
      <c r="K8" s="30"/>
      <c r="L8" s="29">
        <v>0</v>
      </c>
      <c r="M8" s="30">
        <v>0</v>
      </c>
      <c r="N8" s="30"/>
      <c r="O8" s="30">
        <v>0</v>
      </c>
      <c r="P8" s="30">
        <v>0</v>
      </c>
      <c r="Q8" s="30"/>
      <c r="R8" s="30">
        <v>90283</v>
      </c>
      <c r="S8" s="30">
        <v>0</v>
      </c>
      <c r="T8" s="30"/>
      <c r="U8" s="30">
        <v>0</v>
      </c>
      <c r="V8" s="31">
        <v>0</v>
      </c>
    </row>
    <row r="9" spans="1:22">
      <c r="A9" s="1" t="s">
        <v>15</v>
      </c>
      <c r="B9" s="29">
        <v>0</v>
      </c>
      <c r="C9" s="30">
        <v>0</v>
      </c>
      <c r="D9" s="30">
        <v>87320</v>
      </c>
      <c r="E9" s="30">
        <v>0</v>
      </c>
      <c r="F9" s="30">
        <v>0</v>
      </c>
      <c r="G9" s="31">
        <f>SUM(AR_FINANCIAL)</f>
        <v>87320</v>
      </c>
      <c r="H9" s="30"/>
      <c r="I9" s="34"/>
      <c r="J9" s="35"/>
      <c r="K9" s="30"/>
      <c r="L9" s="29"/>
      <c r="M9" s="30"/>
      <c r="N9" s="30"/>
      <c r="O9" s="30"/>
      <c r="P9" s="30"/>
      <c r="Q9" s="30"/>
      <c r="R9" s="30"/>
      <c r="S9" s="30"/>
      <c r="T9" s="30"/>
      <c r="U9" s="30"/>
      <c r="V9" s="31"/>
    </row>
    <row r="10" spans="1:22">
      <c r="A10" s="1" t="s">
        <v>16</v>
      </c>
      <c r="B10" s="29">
        <v>0</v>
      </c>
      <c r="C10" s="30">
        <v>0</v>
      </c>
      <c r="D10" s="30">
        <v>164443</v>
      </c>
      <c r="E10" s="30">
        <v>0</v>
      </c>
      <c r="F10" s="30">
        <v>0</v>
      </c>
      <c r="G10" s="31">
        <f>SUM(CA_FINANCIAL)</f>
        <v>164443</v>
      </c>
      <c r="H10" s="30"/>
      <c r="I10" s="34" t="s">
        <v>17</v>
      </c>
      <c r="J10" s="35">
        <v>8039193</v>
      </c>
      <c r="K10" s="30"/>
      <c r="L10" s="29"/>
      <c r="M10" s="30"/>
      <c r="N10" s="30"/>
      <c r="O10" s="30"/>
      <c r="P10" s="30"/>
      <c r="Q10" s="30"/>
      <c r="R10" s="30"/>
      <c r="S10" s="30"/>
      <c r="T10" s="30"/>
      <c r="U10" s="30"/>
      <c r="V10" s="31"/>
    </row>
    <row r="11" spans="1:22">
      <c r="A11" s="1" t="s">
        <v>18</v>
      </c>
      <c r="B11" s="29">
        <v>0</v>
      </c>
      <c r="C11" s="30">
        <v>0</v>
      </c>
      <c r="D11" s="30">
        <v>55203</v>
      </c>
      <c r="E11" s="30">
        <v>0</v>
      </c>
      <c r="F11" s="30">
        <v>0</v>
      </c>
      <c r="G11" s="31">
        <f>SUM(CO_FINANCIAL)</f>
        <v>55203</v>
      </c>
      <c r="H11" s="30"/>
      <c r="I11" s="34"/>
      <c r="J11" s="35"/>
      <c r="K11" s="30"/>
      <c r="L11" s="29">
        <v>0</v>
      </c>
      <c r="M11" s="30">
        <v>0</v>
      </c>
      <c r="N11" s="30"/>
      <c r="O11" s="30">
        <v>0</v>
      </c>
      <c r="P11" s="30">
        <v>0</v>
      </c>
      <c r="Q11" s="30"/>
      <c r="R11" s="30">
        <v>10000</v>
      </c>
      <c r="S11" s="30">
        <v>0</v>
      </c>
      <c r="T11" s="30"/>
      <c r="U11" s="30">
        <v>0</v>
      </c>
      <c r="V11" s="31">
        <v>0</v>
      </c>
    </row>
    <row r="12" spans="1:22">
      <c r="A12" s="1" t="s">
        <v>19</v>
      </c>
      <c r="B12" s="29">
        <v>0</v>
      </c>
      <c r="C12" s="30">
        <v>0</v>
      </c>
      <c r="D12" s="30">
        <v>0</v>
      </c>
      <c r="E12" s="30">
        <v>0</v>
      </c>
      <c r="F12" s="30">
        <v>0</v>
      </c>
      <c r="G12" s="31">
        <f>SUM(CT_FINANCIAL)</f>
        <v>0</v>
      </c>
      <c r="H12" s="30"/>
      <c r="I12" s="34" t="s">
        <v>20</v>
      </c>
      <c r="J12" s="35"/>
      <c r="K12" s="30"/>
      <c r="L12" s="29"/>
      <c r="M12" s="30"/>
      <c r="N12" s="30"/>
      <c r="O12" s="30"/>
      <c r="P12" s="30"/>
      <c r="Q12" s="30"/>
      <c r="R12" s="30"/>
      <c r="S12" s="30"/>
      <c r="T12" s="30"/>
      <c r="U12" s="30"/>
      <c r="V12" s="31"/>
    </row>
    <row r="13" spans="1:22">
      <c r="A13" s="1" t="s">
        <v>21</v>
      </c>
      <c r="B13" s="29">
        <v>0</v>
      </c>
      <c r="C13" s="30">
        <v>0</v>
      </c>
      <c r="D13" s="30">
        <v>264</v>
      </c>
      <c r="E13" s="30">
        <v>0</v>
      </c>
      <c r="F13" s="30">
        <v>0</v>
      </c>
      <c r="G13" s="31">
        <f>SUM(DE_FINANCIAL)</f>
        <v>264</v>
      </c>
      <c r="H13" s="30"/>
      <c r="I13" s="34" t="s">
        <v>22</v>
      </c>
      <c r="J13" s="35">
        <v>8039193</v>
      </c>
      <c r="K13" s="30"/>
      <c r="L13" s="29"/>
      <c r="M13" s="30"/>
      <c r="N13" s="30"/>
      <c r="O13" s="30"/>
      <c r="P13" s="30"/>
      <c r="Q13" s="30"/>
      <c r="R13" s="30"/>
      <c r="S13" s="30"/>
      <c r="T13" s="30"/>
      <c r="U13" s="30"/>
      <c r="V13" s="31"/>
    </row>
    <row r="14" spans="1:22">
      <c r="A14" s="1" t="s">
        <v>23</v>
      </c>
      <c r="B14" s="29">
        <v>0</v>
      </c>
      <c r="C14" s="30">
        <v>0</v>
      </c>
      <c r="D14" s="30">
        <v>0</v>
      </c>
      <c r="E14" s="30">
        <v>0</v>
      </c>
      <c r="F14" s="30">
        <v>0</v>
      </c>
      <c r="G14" s="31">
        <f>SUM(DC_FINANCIAL)</f>
        <v>0</v>
      </c>
      <c r="H14" s="30"/>
      <c r="I14" s="34" t="s">
        <v>24</v>
      </c>
      <c r="J14" s="35">
        <v>0</v>
      </c>
      <c r="K14" s="30"/>
      <c r="L14" s="29"/>
      <c r="M14" s="30"/>
      <c r="N14" s="30"/>
      <c r="O14" s="30"/>
      <c r="P14" s="30"/>
      <c r="Q14" s="30"/>
      <c r="R14" s="30"/>
      <c r="S14" s="30"/>
      <c r="T14" s="30"/>
      <c r="U14" s="30"/>
      <c r="V14" s="31"/>
    </row>
    <row r="15" spans="1:22">
      <c r="A15" s="1" t="s">
        <v>25</v>
      </c>
      <c r="B15" s="29">
        <v>0</v>
      </c>
      <c r="C15" s="30">
        <v>0</v>
      </c>
      <c r="D15" s="30">
        <v>13820</v>
      </c>
      <c r="E15" s="30">
        <v>0</v>
      </c>
      <c r="F15" s="30">
        <v>0</v>
      </c>
      <c r="G15" s="31">
        <f>SUM(FL_FINANCIAL)</f>
        <v>13820</v>
      </c>
      <c r="H15" s="30"/>
      <c r="I15" s="34" t="s">
        <v>26</v>
      </c>
      <c r="J15" s="35">
        <v>67801</v>
      </c>
      <c r="K15" s="30"/>
      <c r="L15" s="29"/>
      <c r="M15" s="30"/>
      <c r="N15" s="30"/>
      <c r="O15" s="30"/>
      <c r="P15" s="30"/>
      <c r="Q15" s="30"/>
      <c r="R15" s="30"/>
      <c r="S15" s="30"/>
      <c r="T15" s="30"/>
      <c r="U15" s="30"/>
      <c r="V15" s="31"/>
    </row>
    <row r="16" spans="1:22">
      <c r="A16" s="1" t="s">
        <v>27</v>
      </c>
      <c r="B16" s="29">
        <v>0</v>
      </c>
      <c r="C16" s="30">
        <v>0</v>
      </c>
      <c r="D16" s="30">
        <v>2711387</v>
      </c>
      <c r="E16" s="30">
        <v>0</v>
      </c>
      <c r="F16" s="30">
        <v>0</v>
      </c>
      <c r="G16" s="31">
        <f>SUM(GA_FINANCIAL)</f>
        <v>2711387</v>
      </c>
      <c r="H16" s="30"/>
      <c r="I16" s="34" t="s">
        <v>28</v>
      </c>
      <c r="J16" s="35">
        <v>0</v>
      </c>
      <c r="K16" s="30"/>
      <c r="L16" s="29">
        <v>0</v>
      </c>
      <c r="M16" s="30">
        <v>0</v>
      </c>
      <c r="N16" s="30"/>
      <c r="O16" s="30">
        <v>0</v>
      </c>
      <c r="P16" s="30">
        <v>0</v>
      </c>
      <c r="Q16" s="30"/>
      <c r="R16" s="30">
        <v>3083986</v>
      </c>
      <c r="S16" s="30">
        <v>0</v>
      </c>
      <c r="T16" s="30"/>
      <c r="U16" s="30">
        <v>0</v>
      </c>
      <c r="V16" s="31">
        <v>0</v>
      </c>
    </row>
    <row r="17" spans="1:22">
      <c r="A17" s="1" t="s">
        <v>29</v>
      </c>
      <c r="B17" s="29">
        <v>0</v>
      </c>
      <c r="C17" s="30">
        <v>0</v>
      </c>
      <c r="D17" s="30">
        <v>0</v>
      </c>
      <c r="E17" s="30">
        <v>0</v>
      </c>
      <c r="F17" s="30">
        <v>0</v>
      </c>
      <c r="G17" s="31">
        <f>SUM(HI_FINANCIAL)</f>
        <v>0</v>
      </c>
      <c r="H17" s="30"/>
      <c r="I17" s="34"/>
      <c r="J17" s="35"/>
      <c r="K17" s="30"/>
      <c r="L17" s="29"/>
      <c r="M17" s="30"/>
      <c r="N17" s="30"/>
      <c r="O17" s="30"/>
      <c r="P17" s="30"/>
      <c r="Q17" s="30"/>
      <c r="R17" s="30"/>
      <c r="S17" s="30"/>
      <c r="T17" s="30"/>
      <c r="U17" s="30"/>
      <c r="V17" s="31"/>
    </row>
    <row r="18" spans="1:22">
      <c r="A18" s="1" t="s">
        <v>30</v>
      </c>
      <c r="B18" s="29">
        <v>0</v>
      </c>
      <c r="C18" s="30">
        <v>0</v>
      </c>
      <c r="D18" s="30">
        <v>21960</v>
      </c>
      <c r="E18" s="30">
        <v>0</v>
      </c>
      <c r="F18" s="30">
        <v>0</v>
      </c>
      <c r="G18" s="31">
        <f>SUM(ID_FINANCIAL)</f>
        <v>21960</v>
      </c>
      <c r="H18" s="30"/>
      <c r="I18" s="34" t="s">
        <v>31</v>
      </c>
      <c r="J18" s="35"/>
      <c r="K18" s="30"/>
      <c r="L18" s="29">
        <v>13000</v>
      </c>
      <c r="M18" s="30">
        <v>12848</v>
      </c>
      <c r="N18" s="30"/>
      <c r="O18" s="30">
        <v>0</v>
      </c>
      <c r="P18" s="30">
        <v>0</v>
      </c>
      <c r="Q18" s="30"/>
      <c r="R18" s="30">
        <v>12000</v>
      </c>
      <c r="S18" s="30">
        <v>0</v>
      </c>
      <c r="T18" s="30"/>
      <c r="U18" s="30">
        <v>0</v>
      </c>
      <c r="V18" s="31">
        <v>0</v>
      </c>
    </row>
    <row r="19" spans="1:22">
      <c r="A19" s="1" t="s">
        <v>32</v>
      </c>
      <c r="B19" s="29">
        <v>0</v>
      </c>
      <c r="C19" s="30">
        <v>0</v>
      </c>
      <c r="D19" s="30">
        <v>122013</v>
      </c>
      <c r="E19" s="30">
        <v>0</v>
      </c>
      <c r="F19" s="30">
        <v>0</v>
      </c>
      <c r="G19" s="31">
        <f>SUM(IL_FINANCIAL)</f>
        <v>122013</v>
      </c>
      <c r="H19" s="30"/>
      <c r="I19" s="34" t="s">
        <v>33</v>
      </c>
      <c r="J19" s="35">
        <v>0</v>
      </c>
      <c r="K19" s="30"/>
      <c r="L19" s="29">
        <v>0</v>
      </c>
      <c r="M19" s="30">
        <v>0</v>
      </c>
      <c r="N19" s="30"/>
      <c r="O19" s="30">
        <v>0</v>
      </c>
      <c r="P19" s="30">
        <v>0</v>
      </c>
      <c r="Q19" s="30"/>
      <c r="R19" s="30">
        <v>145000</v>
      </c>
      <c r="S19" s="30">
        <v>20700</v>
      </c>
      <c r="T19" s="30"/>
      <c r="U19" s="30">
        <v>0</v>
      </c>
      <c r="V19" s="31">
        <v>0</v>
      </c>
    </row>
    <row r="20" spans="1:22">
      <c r="A20" s="1" t="s">
        <v>34</v>
      </c>
      <c r="B20" s="29">
        <v>0</v>
      </c>
      <c r="C20" s="30">
        <v>0</v>
      </c>
      <c r="D20" s="30">
        <v>27047</v>
      </c>
      <c r="E20" s="30">
        <v>0</v>
      </c>
      <c r="F20" s="30">
        <v>0</v>
      </c>
      <c r="G20" s="31">
        <f>SUM(IN_FINANCIAL)</f>
        <v>27047</v>
      </c>
      <c r="H20" s="30"/>
      <c r="I20" s="34" t="s">
        <v>35</v>
      </c>
      <c r="J20" s="35">
        <v>8039193</v>
      </c>
      <c r="K20" s="30"/>
      <c r="L20" s="29">
        <v>0</v>
      </c>
      <c r="M20" s="30">
        <v>0</v>
      </c>
      <c r="N20" s="30"/>
      <c r="O20" s="30">
        <v>0</v>
      </c>
      <c r="P20" s="30">
        <v>0</v>
      </c>
      <c r="Q20" s="30"/>
      <c r="R20" s="30">
        <v>240011</v>
      </c>
      <c r="S20" s="30">
        <v>0</v>
      </c>
      <c r="T20" s="30"/>
      <c r="U20" s="30">
        <v>0</v>
      </c>
      <c r="V20" s="31">
        <v>0</v>
      </c>
    </row>
    <row r="21" spans="1:22">
      <c r="A21" s="1" t="s">
        <v>36</v>
      </c>
      <c r="B21" s="29">
        <v>0</v>
      </c>
      <c r="C21" s="30">
        <v>0</v>
      </c>
      <c r="D21" s="30">
        <v>25481</v>
      </c>
      <c r="E21" s="30">
        <v>0</v>
      </c>
      <c r="F21" s="30">
        <v>0</v>
      </c>
      <c r="G21" s="31">
        <f>SUM(IA_FINANCIAL)</f>
        <v>25481</v>
      </c>
      <c r="H21" s="30"/>
      <c r="I21" s="34" t="s">
        <v>37</v>
      </c>
      <c r="J21" s="35"/>
      <c r="K21" s="30"/>
      <c r="L21" s="29">
        <v>0</v>
      </c>
      <c r="M21" s="30">
        <v>0</v>
      </c>
      <c r="N21" s="30"/>
      <c r="O21" s="30">
        <v>0</v>
      </c>
      <c r="P21" s="30">
        <v>0</v>
      </c>
      <c r="Q21" s="30"/>
      <c r="R21" s="30">
        <v>43800</v>
      </c>
      <c r="S21" s="30">
        <v>0</v>
      </c>
      <c r="T21" s="30"/>
      <c r="U21" s="30">
        <v>0</v>
      </c>
      <c r="V21" s="31">
        <v>0</v>
      </c>
    </row>
    <row r="22" spans="1:22">
      <c r="A22" s="1" t="s">
        <v>38</v>
      </c>
      <c r="B22" s="29">
        <v>0</v>
      </c>
      <c r="C22" s="30">
        <v>0</v>
      </c>
      <c r="D22" s="30">
        <v>14496</v>
      </c>
      <c r="E22" s="30">
        <v>0</v>
      </c>
      <c r="F22" s="30">
        <v>0</v>
      </c>
      <c r="G22" s="31">
        <f>SUM(KS_FINANCIAL)</f>
        <v>14496</v>
      </c>
      <c r="H22" s="30"/>
      <c r="I22" s="34" t="s">
        <v>39</v>
      </c>
      <c r="J22" s="35">
        <v>0</v>
      </c>
      <c r="K22" s="30"/>
      <c r="L22" s="29"/>
      <c r="M22" s="30"/>
      <c r="N22" s="30"/>
      <c r="O22" s="30"/>
      <c r="P22" s="30"/>
      <c r="Q22" s="30"/>
      <c r="R22" s="30"/>
      <c r="S22" s="30"/>
      <c r="T22" s="30"/>
      <c r="U22" s="30"/>
      <c r="V22" s="31"/>
    </row>
    <row r="23" spans="1:22">
      <c r="A23" s="1" t="s">
        <v>40</v>
      </c>
      <c r="B23" s="29">
        <v>0</v>
      </c>
      <c r="C23" s="30">
        <v>0</v>
      </c>
      <c r="D23" s="30">
        <v>463038</v>
      </c>
      <c r="E23" s="30">
        <v>0</v>
      </c>
      <c r="F23" s="30">
        <v>0</v>
      </c>
      <c r="G23" s="31">
        <f>SUM(KY_FINANCIAL)</f>
        <v>463038</v>
      </c>
      <c r="H23" s="30"/>
      <c r="I23" s="34" t="s">
        <v>41</v>
      </c>
      <c r="J23" s="35"/>
      <c r="K23" s="30"/>
      <c r="L23" s="29">
        <v>15900</v>
      </c>
      <c r="M23" s="30">
        <v>10160.379999999999</v>
      </c>
      <c r="N23" s="30"/>
      <c r="O23" s="30">
        <v>514100</v>
      </c>
      <c r="P23" s="30">
        <v>0</v>
      </c>
      <c r="Q23" s="30"/>
      <c r="R23" s="30">
        <v>0</v>
      </c>
      <c r="S23" s="30">
        <v>240218.01</v>
      </c>
      <c r="T23" s="30"/>
      <c r="U23" s="30">
        <v>0</v>
      </c>
      <c r="V23" s="31">
        <v>0</v>
      </c>
    </row>
    <row r="24" spans="1:22">
      <c r="A24" s="1" t="s">
        <v>42</v>
      </c>
      <c r="B24" s="29">
        <v>0</v>
      </c>
      <c r="C24" s="30">
        <v>0</v>
      </c>
      <c r="D24" s="30">
        <v>70448</v>
      </c>
      <c r="E24" s="30">
        <v>0</v>
      </c>
      <c r="F24" s="30">
        <v>0</v>
      </c>
      <c r="G24" s="31">
        <f>SUM(LA_FINANCIAL)</f>
        <v>70448</v>
      </c>
      <c r="H24" s="30"/>
      <c r="I24" s="34" t="s">
        <v>43</v>
      </c>
      <c r="J24" s="35">
        <v>0</v>
      </c>
      <c r="K24" s="30"/>
      <c r="L24" s="29"/>
      <c r="M24" s="30"/>
      <c r="N24" s="30"/>
      <c r="O24" s="30"/>
      <c r="P24" s="30"/>
      <c r="Q24" s="30"/>
      <c r="R24" s="30"/>
      <c r="S24" s="30"/>
      <c r="T24" s="30"/>
      <c r="U24" s="30"/>
      <c r="V24" s="31"/>
    </row>
    <row r="25" spans="1:22">
      <c r="A25" s="1" t="s">
        <v>44</v>
      </c>
      <c r="B25" s="29">
        <v>0</v>
      </c>
      <c r="C25" s="30">
        <v>0</v>
      </c>
      <c r="D25" s="30">
        <v>0</v>
      </c>
      <c r="E25" s="30">
        <v>0</v>
      </c>
      <c r="F25" s="30">
        <v>0</v>
      </c>
      <c r="G25" s="31">
        <f>SUM(ME_FINANCIAL)</f>
        <v>0</v>
      </c>
      <c r="H25" s="30"/>
      <c r="I25" s="34"/>
      <c r="J25" s="35"/>
      <c r="K25" s="30"/>
      <c r="L25" s="29"/>
      <c r="M25" s="30"/>
      <c r="N25" s="30"/>
      <c r="O25" s="30"/>
      <c r="P25" s="30"/>
      <c r="Q25" s="30"/>
      <c r="R25" s="30"/>
      <c r="S25" s="30"/>
      <c r="T25" s="30"/>
      <c r="U25" s="30"/>
      <c r="V25" s="31"/>
    </row>
    <row r="26" spans="1:22">
      <c r="A26" s="1" t="s">
        <v>45</v>
      </c>
      <c r="B26" s="29">
        <v>0</v>
      </c>
      <c r="C26" s="30">
        <v>0</v>
      </c>
      <c r="D26" s="30">
        <v>6769</v>
      </c>
      <c r="E26" s="30">
        <v>0</v>
      </c>
      <c r="F26" s="30">
        <v>0</v>
      </c>
      <c r="G26" s="31">
        <f>SUM(MD_FINANCIAL)</f>
        <v>6769</v>
      </c>
      <c r="H26" s="30"/>
      <c r="I26" s="34" t="s">
        <v>46</v>
      </c>
      <c r="J26" s="35">
        <f>SUM(ADD_FINANCIAL)-SUM(LESS_FINANCIAL)</f>
        <v>8106994</v>
      </c>
      <c r="K26" s="30"/>
      <c r="L26" s="29"/>
      <c r="M26" s="30"/>
      <c r="N26" s="30"/>
      <c r="O26" s="30"/>
      <c r="P26" s="30"/>
      <c r="Q26" s="30"/>
      <c r="R26" s="30"/>
      <c r="S26" s="30"/>
      <c r="T26" s="30"/>
      <c r="U26" s="30"/>
      <c r="V26" s="31"/>
    </row>
    <row r="27" spans="1:22">
      <c r="A27" s="1" t="s">
        <v>47</v>
      </c>
      <c r="B27" s="29">
        <v>0</v>
      </c>
      <c r="C27" s="30">
        <v>0</v>
      </c>
      <c r="D27" s="30">
        <v>0</v>
      </c>
      <c r="E27" s="30">
        <v>0</v>
      </c>
      <c r="F27" s="30">
        <v>0</v>
      </c>
      <c r="G27" s="31">
        <f>SUM(MA_FINANCIAL)</f>
        <v>0</v>
      </c>
      <c r="H27" s="30"/>
      <c r="I27" s="34" t="s">
        <v>48</v>
      </c>
      <c r="J27" s="35">
        <f>SUM(ALL_BLOCKS)</f>
        <v>8106994</v>
      </c>
      <c r="K27" s="30"/>
      <c r="L27" s="29"/>
      <c r="M27" s="30"/>
      <c r="N27" s="30"/>
      <c r="O27" s="30"/>
      <c r="P27" s="30"/>
      <c r="Q27" s="30"/>
      <c r="R27" s="30"/>
      <c r="S27" s="30"/>
      <c r="T27" s="30"/>
      <c r="U27" s="30"/>
      <c r="V27" s="31"/>
    </row>
    <row r="28" spans="1:22">
      <c r="A28" s="1" t="s">
        <v>49</v>
      </c>
      <c r="B28" s="29">
        <v>0</v>
      </c>
      <c r="C28" s="30">
        <v>0</v>
      </c>
      <c r="D28" s="30">
        <v>111797</v>
      </c>
      <c r="E28" s="30">
        <v>0</v>
      </c>
      <c r="F28" s="30">
        <v>0</v>
      </c>
      <c r="G28" s="31">
        <f>SUM(MI_FINANCIAL)</f>
        <v>111797</v>
      </c>
      <c r="H28" s="30"/>
      <c r="I28" s="36"/>
      <c r="J28" s="37"/>
      <c r="K28" s="30"/>
      <c r="L28" s="29"/>
      <c r="M28" s="30"/>
      <c r="N28" s="30"/>
      <c r="O28" s="30"/>
      <c r="P28" s="30"/>
      <c r="Q28" s="30"/>
      <c r="R28" s="30"/>
      <c r="S28" s="30"/>
      <c r="T28" s="30"/>
      <c r="U28" s="30"/>
      <c r="V28" s="31"/>
    </row>
    <row r="29" spans="1:22">
      <c r="A29" s="1" t="s">
        <v>50</v>
      </c>
      <c r="B29" s="29">
        <v>0</v>
      </c>
      <c r="C29" s="30">
        <v>0</v>
      </c>
      <c r="D29" s="30">
        <v>0</v>
      </c>
      <c r="E29" s="30">
        <v>0</v>
      </c>
      <c r="F29" s="30">
        <v>0</v>
      </c>
      <c r="G29" s="31">
        <f>SUM(MN_FINANCIAL)</f>
        <v>0</v>
      </c>
      <c r="H29" s="30"/>
      <c r="I29" s="30"/>
      <c r="J29" s="30"/>
      <c r="K29" s="30"/>
      <c r="L29" s="29"/>
      <c r="M29" s="30"/>
      <c r="N29" s="30"/>
      <c r="O29" s="30"/>
      <c r="P29" s="30"/>
      <c r="Q29" s="30"/>
      <c r="R29" s="30"/>
      <c r="S29" s="30"/>
      <c r="T29" s="30"/>
      <c r="U29" s="30"/>
      <c r="V29" s="31"/>
    </row>
    <row r="30" spans="1:22">
      <c r="A30" s="1" t="s">
        <v>51</v>
      </c>
      <c r="B30" s="29">
        <v>0</v>
      </c>
      <c r="C30" s="30">
        <v>0</v>
      </c>
      <c r="D30" s="30">
        <v>189833</v>
      </c>
      <c r="E30" s="30">
        <v>0</v>
      </c>
      <c r="F30" s="30">
        <v>0</v>
      </c>
      <c r="G30" s="31">
        <f>SUM(MS_FINANCIAL)</f>
        <v>189833</v>
      </c>
      <c r="H30" s="30"/>
      <c r="I30" s="30"/>
      <c r="J30" s="30"/>
      <c r="K30" s="30"/>
      <c r="L30" s="29">
        <v>75235</v>
      </c>
      <c r="M30" s="30">
        <v>14145</v>
      </c>
      <c r="N30" s="30"/>
      <c r="O30" s="30">
        <v>0</v>
      </c>
      <c r="P30" s="30">
        <v>0</v>
      </c>
      <c r="Q30" s="30"/>
      <c r="R30" s="30">
        <v>154765</v>
      </c>
      <c r="S30" s="30">
        <v>28210</v>
      </c>
      <c r="T30" s="30"/>
      <c r="U30" s="30">
        <v>0</v>
      </c>
      <c r="V30" s="31">
        <v>0</v>
      </c>
    </row>
    <row r="31" spans="1:22">
      <c r="A31" s="1" t="s">
        <v>52</v>
      </c>
      <c r="B31" s="29">
        <v>0</v>
      </c>
      <c r="C31" s="30">
        <v>0</v>
      </c>
      <c r="D31" s="30">
        <v>143266</v>
      </c>
      <c r="E31" s="30">
        <v>0</v>
      </c>
      <c r="F31" s="30">
        <v>0</v>
      </c>
      <c r="G31" s="31">
        <f>SUM(MO_FINANCIAL)</f>
        <v>143266</v>
      </c>
      <c r="H31" s="30"/>
      <c r="I31" s="30"/>
      <c r="J31" s="30"/>
      <c r="K31" s="30"/>
      <c r="L31" s="29"/>
      <c r="M31" s="30"/>
      <c r="N31" s="30"/>
      <c r="O31" s="30"/>
      <c r="P31" s="30"/>
      <c r="Q31" s="30"/>
      <c r="R31" s="30"/>
      <c r="S31" s="30"/>
      <c r="T31" s="30"/>
      <c r="U31" s="30"/>
      <c r="V31" s="31"/>
    </row>
    <row r="32" spans="1:22">
      <c r="A32" s="1" t="s">
        <v>53</v>
      </c>
      <c r="B32" s="29">
        <v>0</v>
      </c>
      <c r="C32" s="30">
        <v>0</v>
      </c>
      <c r="D32" s="30">
        <v>15589</v>
      </c>
      <c r="E32" s="30">
        <v>0</v>
      </c>
      <c r="F32" s="30">
        <v>0</v>
      </c>
      <c r="G32" s="31">
        <f>SUM(MT_FINANCIAL)</f>
        <v>15589</v>
      </c>
      <c r="H32" s="30"/>
      <c r="I32" s="30"/>
      <c r="J32" s="30"/>
      <c r="K32" s="30"/>
      <c r="L32" s="29">
        <v>11160</v>
      </c>
      <c r="M32" s="30">
        <v>0</v>
      </c>
      <c r="N32" s="30"/>
      <c r="O32" s="30">
        <v>0</v>
      </c>
      <c r="P32" s="30">
        <v>0</v>
      </c>
      <c r="Q32" s="30"/>
      <c r="R32" s="30">
        <v>19840</v>
      </c>
      <c r="S32" s="30">
        <v>0</v>
      </c>
      <c r="T32" s="30"/>
      <c r="U32" s="30">
        <v>0</v>
      </c>
      <c r="V32" s="31">
        <v>0</v>
      </c>
    </row>
    <row r="33" spans="1:22">
      <c r="A33" s="1" t="s">
        <v>54</v>
      </c>
      <c r="B33" s="29">
        <v>0</v>
      </c>
      <c r="C33" s="30">
        <v>0</v>
      </c>
      <c r="D33" s="30">
        <v>47648</v>
      </c>
      <c r="E33" s="30">
        <v>0</v>
      </c>
      <c r="F33" s="30">
        <v>0</v>
      </c>
      <c r="G33" s="31">
        <f>SUM(NE_FINANCIAL)</f>
        <v>47648</v>
      </c>
      <c r="H33" s="30"/>
      <c r="I33" s="30"/>
      <c r="J33" s="30"/>
      <c r="K33" s="30"/>
      <c r="L33" s="29">
        <v>0</v>
      </c>
      <c r="M33" s="30">
        <v>0</v>
      </c>
      <c r="N33" s="30"/>
      <c r="O33" s="30">
        <v>0</v>
      </c>
      <c r="P33" s="30">
        <v>0</v>
      </c>
      <c r="Q33" s="30"/>
      <c r="R33" s="30">
        <v>55000</v>
      </c>
      <c r="S33" s="30">
        <v>0</v>
      </c>
      <c r="T33" s="30"/>
      <c r="U33" s="30">
        <v>0</v>
      </c>
      <c r="V33" s="31">
        <v>0</v>
      </c>
    </row>
    <row r="34" spans="1:22">
      <c r="A34" s="1" t="s">
        <v>55</v>
      </c>
      <c r="B34" s="29">
        <v>0</v>
      </c>
      <c r="C34" s="30">
        <v>0</v>
      </c>
      <c r="D34" s="30">
        <v>371517</v>
      </c>
      <c r="E34" s="30">
        <v>0</v>
      </c>
      <c r="F34" s="30">
        <v>0</v>
      </c>
      <c r="G34" s="31">
        <f>SUM(NV_FINANCIAL)</f>
        <v>371517</v>
      </c>
      <c r="H34" s="30"/>
      <c r="I34" s="30"/>
      <c r="J34" s="30"/>
      <c r="K34" s="30"/>
      <c r="L34" s="29">
        <v>0</v>
      </c>
      <c r="M34" s="30">
        <v>0</v>
      </c>
      <c r="N34" s="30"/>
      <c r="O34" s="30">
        <v>0</v>
      </c>
      <c r="P34" s="30">
        <v>0</v>
      </c>
      <c r="Q34" s="30"/>
      <c r="R34" s="30">
        <v>419800</v>
      </c>
      <c r="S34" s="30">
        <v>0</v>
      </c>
      <c r="T34" s="30"/>
      <c r="U34" s="30">
        <v>0</v>
      </c>
      <c r="V34" s="31">
        <v>0</v>
      </c>
    </row>
    <row r="35" spans="1:22">
      <c r="A35" s="1" t="s">
        <v>56</v>
      </c>
      <c r="B35" s="29">
        <v>0</v>
      </c>
      <c r="C35" s="30">
        <v>0</v>
      </c>
      <c r="D35" s="30">
        <v>0</v>
      </c>
      <c r="E35" s="30">
        <v>0</v>
      </c>
      <c r="F35" s="30">
        <v>0</v>
      </c>
      <c r="G35" s="31">
        <f>SUM(NH_FINANCIAL)</f>
        <v>0</v>
      </c>
      <c r="H35" s="30"/>
      <c r="I35" s="30"/>
      <c r="J35" s="30"/>
      <c r="K35" s="30"/>
      <c r="L35" s="29"/>
      <c r="M35" s="30"/>
      <c r="N35" s="30"/>
      <c r="O35" s="30"/>
      <c r="P35" s="30"/>
      <c r="Q35" s="30"/>
      <c r="R35" s="30"/>
      <c r="S35" s="30"/>
      <c r="T35" s="30"/>
      <c r="U35" s="30"/>
      <c r="V35" s="31"/>
    </row>
    <row r="36" spans="1:22">
      <c r="A36" s="1" t="s">
        <v>57</v>
      </c>
      <c r="B36" s="29">
        <v>0</v>
      </c>
      <c r="C36" s="30">
        <v>0</v>
      </c>
      <c r="D36" s="30">
        <v>4027</v>
      </c>
      <c r="E36" s="30">
        <v>0</v>
      </c>
      <c r="F36" s="30">
        <v>0</v>
      </c>
      <c r="G36" s="31">
        <f>SUM(NJ_FINANCIAL)</f>
        <v>4027</v>
      </c>
      <c r="H36" s="30"/>
      <c r="I36" s="30"/>
      <c r="J36" s="30"/>
      <c r="K36" s="30"/>
      <c r="L36" s="29"/>
      <c r="M36" s="30"/>
      <c r="N36" s="30"/>
      <c r="O36" s="30"/>
      <c r="P36" s="30"/>
      <c r="Q36" s="30"/>
      <c r="R36" s="30"/>
      <c r="S36" s="30"/>
      <c r="T36" s="30"/>
      <c r="U36" s="30"/>
      <c r="V36" s="31"/>
    </row>
    <row r="37" spans="1:22">
      <c r="A37" s="1" t="s">
        <v>58</v>
      </c>
      <c r="B37" s="29">
        <v>0</v>
      </c>
      <c r="C37" s="30">
        <v>0</v>
      </c>
      <c r="D37" s="30">
        <v>121733</v>
      </c>
      <c r="E37" s="30">
        <v>0</v>
      </c>
      <c r="F37" s="30">
        <v>0</v>
      </c>
      <c r="G37" s="31">
        <f>SUM(NM_FINANCIAL)</f>
        <v>121733</v>
      </c>
      <c r="H37" s="30"/>
      <c r="I37" s="30"/>
      <c r="J37" s="30"/>
      <c r="K37" s="30"/>
      <c r="L37" s="29"/>
      <c r="M37" s="30"/>
      <c r="N37" s="30"/>
      <c r="O37" s="30"/>
      <c r="P37" s="30"/>
      <c r="Q37" s="30"/>
      <c r="R37" s="30"/>
      <c r="S37" s="30"/>
      <c r="T37" s="30"/>
      <c r="U37" s="30"/>
      <c r="V37" s="31"/>
    </row>
    <row r="38" spans="1:22">
      <c r="A38" s="1" t="s">
        <v>59</v>
      </c>
      <c r="B38" s="29">
        <v>0</v>
      </c>
      <c r="C38" s="30">
        <v>0</v>
      </c>
      <c r="D38" s="30">
        <v>1484</v>
      </c>
      <c r="E38" s="30">
        <v>0</v>
      </c>
      <c r="F38" s="30">
        <v>0</v>
      </c>
      <c r="G38" s="31">
        <f>SUM(NY_FINANCIAL)</f>
        <v>1484</v>
      </c>
      <c r="H38" s="30"/>
      <c r="I38" s="30"/>
      <c r="J38" s="30"/>
      <c r="K38" s="30"/>
      <c r="L38" s="29"/>
      <c r="M38" s="30"/>
      <c r="N38" s="30"/>
      <c r="O38" s="30"/>
      <c r="P38" s="30"/>
      <c r="Q38" s="30"/>
      <c r="R38" s="30"/>
      <c r="S38" s="30"/>
      <c r="T38" s="30"/>
      <c r="U38" s="30"/>
      <c r="V38" s="31"/>
    </row>
    <row r="39" spans="1:22">
      <c r="A39" s="1" t="s">
        <v>60</v>
      </c>
      <c r="B39" s="29">
        <v>0</v>
      </c>
      <c r="C39" s="30">
        <v>0</v>
      </c>
      <c r="D39" s="30">
        <v>30</v>
      </c>
      <c r="E39" s="30">
        <v>0</v>
      </c>
      <c r="F39" s="30">
        <v>0</v>
      </c>
      <c r="G39" s="31">
        <f>SUM(NC_FINANCIAL)</f>
        <v>30</v>
      </c>
      <c r="H39" s="30"/>
      <c r="I39" s="30"/>
      <c r="J39" s="30"/>
      <c r="K39" s="30"/>
      <c r="L39" s="29"/>
      <c r="M39" s="30"/>
      <c r="N39" s="30"/>
      <c r="O39" s="30"/>
      <c r="P39" s="30"/>
      <c r="Q39" s="30"/>
      <c r="R39" s="30"/>
      <c r="S39" s="30"/>
      <c r="T39" s="30"/>
      <c r="U39" s="30"/>
      <c r="V39" s="31"/>
    </row>
    <row r="40" spans="1:22">
      <c r="A40" s="1" t="s">
        <v>61</v>
      </c>
      <c r="B40" s="29">
        <v>0</v>
      </c>
      <c r="C40" s="30">
        <v>0</v>
      </c>
      <c r="D40" s="30">
        <v>5374</v>
      </c>
      <c r="E40" s="30">
        <v>0</v>
      </c>
      <c r="F40" s="30">
        <v>0</v>
      </c>
      <c r="G40" s="31">
        <f>SUM(ND_FINANCIAL)</f>
        <v>5374</v>
      </c>
      <c r="H40" s="30"/>
      <c r="I40" s="30"/>
      <c r="J40" s="30"/>
      <c r="K40" s="30"/>
      <c r="L40" s="29">
        <v>0</v>
      </c>
      <c r="M40" s="30">
        <v>0</v>
      </c>
      <c r="N40" s="30"/>
      <c r="O40" s="30">
        <v>0</v>
      </c>
      <c r="P40" s="30">
        <v>0</v>
      </c>
      <c r="Q40" s="30"/>
      <c r="R40" s="30">
        <v>4452</v>
      </c>
      <c r="S40" s="30">
        <v>0</v>
      </c>
      <c r="T40" s="30"/>
      <c r="U40" s="30">
        <v>0</v>
      </c>
      <c r="V40" s="31">
        <v>0</v>
      </c>
    </row>
    <row r="41" spans="1:22">
      <c r="A41" s="1" t="s">
        <v>62</v>
      </c>
      <c r="B41" s="29">
        <v>0</v>
      </c>
      <c r="C41" s="30">
        <v>0</v>
      </c>
      <c r="D41" s="30">
        <v>99535</v>
      </c>
      <c r="E41" s="30">
        <v>0</v>
      </c>
      <c r="F41" s="30">
        <v>0</v>
      </c>
      <c r="G41" s="31">
        <f>SUM(OH_FINANCIAL)</f>
        <v>99535</v>
      </c>
      <c r="H41" s="30"/>
      <c r="I41" s="30"/>
      <c r="J41" s="30"/>
      <c r="K41" s="30"/>
      <c r="L41" s="29">
        <v>0</v>
      </c>
      <c r="M41" s="30">
        <v>0</v>
      </c>
      <c r="N41" s="30"/>
      <c r="O41" s="30">
        <v>0</v>
      </c>
      <c r="P41" s="30">
        <v>0</v>
      </c>
      <c r="Q41" s="30"/>
      <c r="R41" s="30">
        <v>65000</v>
      </c>
      <c r="S41" s="30">
        <v>0</v>
      </c>
      <c r="T41" s="30"/>
      <c r="U41" s="30">
        <v>0</v>
      </c>
      <c r="V41" s="31">
        <v>0</v>
      </c>
    </row>
    <row r="42" spans="1:22">
      <c r="A42" s="1" t="s">
        <v>63</v>
      </c>
      <c r="B42" s="29">
        <v>0</v>
      </c>
      <c r="C42" s="30">
        <v>0</v>
      </c>
      <c r="D42" s="30">
        <v>93787</v>
      </c>
      <c r="E42" s="30">
        <v>0</v>
      </c>
      <c r="F42" s="30">
        <v>0</v>
      </c>
      <c r="G42" s="31">
        <f>SUM(OK_FINANCIAL)</f>
        <v>93787</v>
      </c>
      <c r="H42" s="30"/>
      <c r="I42" s="30"/>
      <c r="J42" s="30"/>
      <c r="K42" s="30"/>
      <c r="L42" s="29"/>
      <c r="M42" s="30"/>
      <c r="N42" s="30"/>
      <c r="O42" s="30"/>
      <c r="P42" s="30"/>
      <c r="Q42" s="30"/>
      <c r="R42" s="30"/>
      <c r="S42" s="30"/>
      <c r="T42" s="30"/>
      <c r="U42" s="30"/>
      <c r="V42" s="31"/>
    </row>
    <row r="43" spans="1:22">
      <c r="A43" s="1" t="s">
        <v>64</v>
      </c>
      <c r="B43" s="29">
        <v>0</v>
      </c>
      <c r="C43" s="30">
        <v>0</v>
      </c>
      <c r="D43" s="30">
        <v>67597</v>
      </c>
      <c r="E43" s="30">
        <v>0</v>
      </c>
      <c r="F43" s="30">
        <v>0</v>
      </c>
      <c r="G43" s="31">
        <f>SUM(OR_FINANCIAL)</f>
        <v>67597</v>
      </c>
      <c r="H43" s="30"/>
      <c r="I43" s="30"/>
      <c r="J43" s="30"/>
      <c r="K43" s="30"/>
      <c r="L43" s="29"/>
      <c r="M43" s="30"/>
      <c r="N43" s="30"/>
      <c r="O43" s="30"/>
      <c r="P43" s="30"/>
      <c r="Q43" s="30"/>
      <c r="R43" s="30"/>
      <c r="S43" s="30"/>
      <c r="T43" s="30"/>
      <c r="U43" s="30"/>
      <c r="V43" s="31"/>
    </row>
    <row r="44" spans="1:22">
      <c r="A44" s="1" t="s">
        <v>65</v>
      </c>
      <c r="B44" s="29">
        <v>0</v>
      </c>
      <c r="C44" s="30">
        <v>0</v>
      </c>
      <c r="D44" s="30">
        <v>0</v>
      </c>
      <c r="E44" s="30">
        <v>0</v>
      </c>
      <c r="F44" s="30">
        <v>0</v>
      </c>
      <c r="G44" s="31">
        <f>SUM(PA_FINANCIAL)</f>
        <v>0</v>
      </c>
      <c r="H44" s="30"/>
      <c r="I44" s="30"/>
      <c r="J44" s="30"/>
      <c r="K44" s="30"/>
      <c r="L44" s="29"/>
      <c r="M44" s="30"/>
      <c r="N44" s="30"/>
      <c r="O44" s="30"/>
      <c r="P44" s="30"/>
      <c r="Q44" s="30"/>
      <c r="R44" s="30"/>
      <c r="S44" s="30"/>
      <c r="T44" s="30"/>
      <c r="U44" s="30"/>
      <c r="V44" s="31"/>
    </row>
    <row r="45" spans="1:22">
      <c r="A45" s="1" t="s">
        <v>66</v>
      </c>
      <c r="B45" s="29">
        <v>0</v>
      </c>
      <c r="C45" s="30">
        <v>0</v>
      </c>
      <c r="D45" s="30">
        <v>0</v>
      </c>
      <c r="E45" s="30">
        <v>0</v>
      </c>
      <c r="F45" s="30">
        <v>0</v>
      </c>
      <c r="G45" s="31">
        <f>SUM(PR_FINANCIAL)</f>
        <v>0</v>
      </c>
      <c r="H45" s="30"/>
      <c r="I45" s="30"/>
      <c r="J45" s="30"/>
      <c r="K45" s="30"/>
      <c r="L45" s="29"/>
      <c r="M45" s="30"/>
      <c r="N45" s="30"/>
      <c r="O45" s="30"/>
      <c r="P45" s="30"/>
      <c r="Q45" s="30"/>
      <c r="R45" s="30"/>
      <c r="S45" s="30"/>
      <c r="T45" s="30"/>
      <c r="U45" s="30"/>
      <c r="V45" s="31"/>
    </row>
    <row r="46" spans="1:22">
      <c r="A46" s="1" t="s">
        <v>67</v>
      </c>
      <c r="B46" s="29">
        <v>0</v>
      </c>
      <c r="C46" s="30">
        <v>0</v>
      </c>
      <c r="D46" s="30">
        <v>0</v>
      </c>
      <c r="E46" s="30">
        <v>0</v>
      </c>
      <c r="F46" s="30">
        <v>0</v>
      </c>
      <c r="G46" s="31">
        <f>SUM(RI_FINANCIAL)</f>
        <v>0</v>
      </c>
      <c r="H46" s="30"/>
      <c r="I46" s="30"/>
      <c r="J46" s="30"/>
      <c r="K46" s="30"/>
      <c r="L46" s="29"/>
      <c r="M46" s="30"/>
      <c r="N46" s="30"/>
      <c r="O46" s="30"/>
      <c r="P46" s="30"/>
      <c r="Q46" s="30"/>
      <c r="R46" s="30"/>
      <c r="S46" s="30"/>
      <c r="T46" s="30"/>
      <c r="U46" s="30"/>
      <c r="V46" s="31"/>
    </row>
    <row r="47" spans="1:22">
      <c r="A47" s="1" t="s">
        <v>68</v>
      </c>
      <c r="B47" s="29">
        <v>0</v>
      </c>
      <c r="C47" s="30">
        <v>0</v>
      </c>
      <c r="D47" s="30">
        <v>7267</v>
      </c>
      <c r="E47" s="30">
        <v>0</v>
      </c>
      <c r="F47" s="30">
        <v>0</v>
      </c>
      <c r="G47" s="31">
        <f>SUM(SC_FINANCIAL)</f>
        <v>7267</v>
      </c>
      <c r="H47" s="30"/>
      <c r="I47" s="30"/>
      <c r="J47" s="30"/>
      <c r="K47" s="30"/>
      <c r="L47" s="29"/>
      <c r="M47" s="30"/>
      <c r="N47" s="30"/>
      <c r="O47" s="30"/>
      <c r="P47" s="30"/>
      <c r="Q47" s="30"/>
      <c r="R47" s="30"/>
      <c r="S47" s="30"/>
      <c r="T47" s="30"/>
      <c r="U47" s="30"/>
      <c r="V47" s="31"/>
    </row>
    <row r="48" spans="1:22">
      <c r="A48" s="1" t="s">
        <v>69</v>
      </c>
      <c r="B48" s="29">
        <v>0</v>
      </c>
      <c r="C48" s="30">
        <v>0</v>
      </c>
      <c r="D48" s="30">
        <v>51116</v>
      </c>
      <c r="E48" s="30">
        <v>0</v>
      </c>
      <c r="F48" s="30">
        <v>0</v>
      </c>
      <c r="G48" s="31">
        <f>SUM(SD_FINANCIAL)</f>
        <v>51116</v>
      </c>
      <c r="H48" s="30"/>
      <c r="I48" s="30"/>
      <c r="J48" s="30"/>
      <c r="K48" s="30"/>
      <c r="L48" s="29">
        <v>150</v>
      </c>
      <c r="M48" s="30">
        <v>0</v>
      </c>
      <c r="N48" s="30"/>
      <c r="O48" s="30">
        <v>0</v>
      </c>
      <c r="P48" s="30">
        <v>0</v>
      </c>
      <c r="Q48" s="30"/>
      <c r="R48" s="30">
        <v>82731</v>
      </c>
      <c r="S48" s="30">
        <v>0</v>
      </c>
      <c r="T48" s="30"/>
      <c r="U48" s="30">
        <v>0</v>
      </c>
      <c r="V48" s="31">
        <v>0</v>
      </c>
    </row>
    <row r="49" spans="1:22">
      <c r="A49" s="1" t="s">
        <v>70</v>
      </c>
      <c r="B49" s="29">
        <v>0</v>
      </c>
      <c r="C49" s="30">
        <v>0</v>
      </c>
      <c r="D49" s="30">
        <v>67009</v>
      </c>
      <c r="E49" s="30">
        <v>0</v>
      </c>
      <c r="F49" s="30">
        <v>0</v>
      </c>
      <c r="G49" s="31">
        <f>SUM(TN_FINANCIAL)</f>
        <v>67009</v>
      </c>
      <c r="H49" s="30"/>
      <c r="I49" s="30"/>
      <c r="J49" s="30"/>
      <c r="K49" s="30"/>
      <c r="L49" s="29">
        <v>0</v>
      </c>
      <c r="M49" s="30">
        <v>0</v>
      </c>
      <c r="N49" s="30"/>
      <c r="O49" s="30">
        <v>0</v>
      </c>
      <c r="P49" s="30">
        <v>0</v>
      </c>
      <c r="Q49" s="30"/>
      <c r="R49" s="30">
        <v>48000</v>
      </c>
      <c r="S49" s="30">
        <v>0</v>
      </c>
      <c r="T49" s="30"/>
      <c r="U49" s="30">
        <v>0</v>
      </c>
      <c r="V49" s="31">
        <v>0</v>
      </c>
    </row>
    <row r="50" spans="1:22">
      <c r="A50" s="1" t="s">
        <v>71</v>
      </c>
      <c r="B50" s="29">
        <v>0</v>
      </c>
      <c r="C50" s="30">
        <v>0</v>
      </c>
      <c r="D50" s="30">
        <v>1832245</v>
      </c>
      <c r="E50" s="30">
        <v>0</v>
      </c>
      <c r="F50" s="30">
        <v>0</v>
      </c>
      <c r="G50" s="31">
        <f>SUM(TX_FINANCIAL)</f>
        <v>1832245</v>
      </c>
      <c r="H50" s="30"/>
      <c r="I50" s="30"/>
      <c r="J50" s="30"/>
      <c r="K50" s="30"/>
      <c r="L50" s="29">
        <v>17071</v>
      </c>
      <c r="M50" s="30">
        <v>11023.714</v>
      </c>
      <c r="N50" s="30"/>
      <c r="O50" s="30">
        <v>0</v>
      </c>
      <c r="P50" s="30">
        <v>0</v>
      </c>
      <c r="Q50" s="30"/>
      <c r="R50" s="30">
        <v>1292203</v>
      </c>
      <c r="S50" s="30">
        <v>836954.28599999996</v>
      </c>
      <c r="T50" s="30"/>
      <c r="U50" s="30">
        <v>0</v>
      </c>
      <c r="V50" s="31">
        <v>0</v>
      </c>
    </row>
    <row r="51" spans="1:22">
      <c r="A51" s="1" t="s">
        <v>72</v>
      </c>
      <c r="B51" s="29">
        <v>0</v>
      </c>
      <c r="C51" s="30">
        <v>0</v>
      </c>
      <c r="D51" s="30">
        <v>32888</v>
      </c>
      <c r="E51" s="30">
        <v>0</v>
      </c>
      <c r="F51" s="30">
        <v>0</v>
      </c>
      <c r="G51" s="31">
        <f>SUM(UT_FINANCIAL)</f>
        <v>32888</v>
      </c>
      <c r="H51" s="30"/>
      <c r="I51" s="30"/>
      <c r="J51" s="30"/>
      <c r="K51" s="30"/>
      <c r="L51" s="29">
        <v>2000</v>
      </c>
      <c r="M51" s="30">
        <v>0</v>
      </c>
      <c r="N51" s="30"/>
      <c r="O51" s="30">
        <v>0</v>
      </c>
      <c r="P51" s="30">
        <v>0</v>
      </c>
      <c r="Q51" s="30"/>
      <c r="R51" s="30">
        <v>320000</v>
      </c>
      <c r="S51" s="30">
        <v>0</v>
      </c>
      <c r="T51" s="30"/>
      <c r="U51" s="30">
        <v>0</v>
      </c>
      <c r="V51" s="31">
        <v>0</v>
      </c>
    </row>
    <row r="52" spans="1:22">
      <c r="A52" s="1" t="s">
        <v>73</v>
      </c>
      <c r="B52" s="29">
        <v>0</v>
      </c>
      <c r="C52" s="30">
        <v>0</v>
      </c>
      <c r="D52" s="30">
        <v>0</v>
      </c>
      <c r="E52" s="30">
        <v>0</v>
      </c>
      <c r="F52" s="30">
        <v>0</v>
      </c>
      <c r="G52" s="31">
        <f>SUM(VT_FINANCIAL)</f>
        <v>0</v>
      </c>
      <c r="H52" s="30"/>
      <c r="I52" s="30"/>
      <c r="J52" s="30"/>
      <c r="K52" s="30"/>
      <c r="L52" s="29"/>
      <c r="M52" s="30"/>
      <c r="N52" s="30"/>
      <c r="O52" s="30"/>
      <c r="P52" s="30"/>
      <c r="Q52" s="30"/>
      <c r="R52" s="30"/>
      <c r="S52" s="30"/>
      <c r="T52" s="30"/>
      <c r="U52" s="30"/>
      <c r="V52" s="31"/>
    </row>
    <row r="53" spans="1:22">
      <c r="A53" s="1" t="s">
        <v>74</v>
      </c>
      <c r="B53" s="29">
        <v>0</v>
      </c>
      <c r="C53" s="30">
        <v>0</v>
      </c>
      <c r="D53" s="30">
        <v>27892</v>
      </c>
      <c r="E53" s="30">
        <v>0</v>
      </c>
      <c r="F53" s="30">
        <v>0</v>
      </c>
      <c r="G53" s="31">
        <f>SUM(VA_FINANCIAL)</f>
        <v>27892</v>
      </c>
      <c r="H53" s="30"/>
      <c r="I53" s="30"/>
      <c r="J53" s="30"/>
      <c r="K53" s="30"/>
      <c r="L53" s="29">
        <v>0</v>
      </c>
      <c r="M53" s="30">
        <v>0</v>
      </c>
      <c r="N53" s="30"/>
      <c r="O53" s="30">
        <v>0</v>
      </c>
      <c r="P53" s="30">
        <v>0</v>
      </c>
      <c r="Q53" s="30"/>
      <c r="R53" s="30">
        <v>30000</v>
      </c>
      <c r="S53" s="30">
        <v>42431</v>
      </c>
      <c r="T53" s="30"/>
      <c r="U53" s="30">
        <v>0</v>
      </c>
      <c r="V53" s="31">
        <v>0</v>
      </c>
    </row>
    <row r="54" spans="1:22">
      <c r="A54" s="1" t="s">
        <v>75</v>
      </c>
      <c r="B54" s="29">
        <v>0</v>
      </c>
      <c r="C54" s="30">
        <v>0</v>
      </c>
      <c r="D54" s="30">
        <v>167735</v>
      </c>
      <c r="E54" s="30">
        <v>0</v>
      </c>
      <c r="F54" s="30">
        <v>0</v>
      </c>
      <c r="G54" s="31">
        <f>SUM(WA_FINANCIAL)</f>
        <v>167735</v>
      </c>
      <c r="H54" s="30"/>
      <c r="I54" s="30"/>
      <c r="J54" s="30"/>
      <c r="K54" s="30"/>
      <c r="L54" s="29">
        <v>0</v>
      </c>
      <c r="M54" s="30">
        <v>0</v>
      </c>
      <c r="N54" s="30"/>
      <c r="O54" s="30">
        <v>0</v>
      </c>
      <c r="P54" s="30">
        <v>0</v>
      </c>
      <c r="Q54" s="30"/>
      <c r="R54" s="30">
        <v>200000</v>
      </c>
      <c r="S54" s="30">
        <v>85160</v>
      </c>
      <c r="T54" s="30"/>
      <c r="U54" s="30">
        <v>0</v>
      </c>
      <c r="V54" s="31">
        <v>0</v>
      </c>
    </row>
    <row r="55" spans="1:22">
      <c r="A55" s="1" t="s">
        <v>76</v>
      </c>
      <c r="B55" s="29">
        <v>0</v>
      </c>
      <c r="C55" s="30">
        <v>0</v>
      </c>
      <c r="D55" s="30">
        <v>110539</v>
      </c>
      <c r="E55" s="30">
        <v>0</v>
      </c>
      <c r="F55" s="30">
        <v>0</v>
      </c>
      <c r="G55" s="31">
        <f>SUM(WV_FINANCIAL)</f>
        <v>110539</v>
      </c>
      <c r="H55" s="30"/>
      <c r="I55" s="30"/>
      <c r="J55" s="30"/>
      <c r="K55" s="30"/>
      <c r="L55" s="29">
        <v>2159</v>
      </c>
      <c r="M55" s="30">
        <v>0</v>
      </c>
      <c r="N55" s="30"/>
      <c r="O55" s="30">
        <v>0</v>
      </c>
      <c r="P55" s="30">
        <v>0</v>
      </c>
      <c r="Q55" s="30"/>
      <c r="R55" s="30">
        <v>206730</v>
      </c>
      <c r="S55" s="30">
        <v>155286</v>
      </c>
      <c r="T55" s="30"/>
      <c r="U55" s="30">
        <v>0</v>
      </c>
      <c r="V55" s="31">
        <v>0</v>
      </c>
    </row>
    <row r="56" spans="1:22">
      <c r="A56" s="1" t="s">
        <v>77</v>
      </c>
      <c r="B56" s="29">
        <v>0</v>
      </c>
      <c r="C56" s="30">
        <v>0</v>
      </c>
      <c r="D56" s="30">
        <v>2097</v>
      </c>
      <c r="E56" s="30">
        <v>0</v>
      </c>
      <c r="F56" s="30">
        <v>0</v>
      </c>
      <c r="G56" s="31">
        <f>SUM(WI_FINANCIAL)</f>
        <v>2097</v>
      </c>
      <c r="H56" s="30"/>
      <c r="I56" s="30"/>
      <c r="J56" s="30"/>
      <c r="K56" s="30"/>
      <c r="L56" s="29"/>
      <c r="M56" s="30"/>
      <c r="N56" s="30"/>
      <c r="O56" s="30"/>
      <c r="P56" s="30"/>
      <c r="Q56" s="30"/>
      <c r="R56" s="30"/>
      <c r="S56" s="30"/>
      <c r="T56" s="30"/>
      <c r="U56" s="30"/>
      <c r="V56" s="31"/>
    </row>
    <row r="57" spans="1:22">
      <c r="A57" s="1" t="s">
        <v>78</v>
      </c>
      <c r="B57" s="29">
        <v>0</v>
      </c>
      <c r="C57" s="30">
        <v>0</v>
      </c>
      <c r="D57" s="30">
        <v>945</v>
      </c>
      <c r="E57" s="30">
        <v>0</v>
      </c>
      <c r="F57" s="30">
        <v>0</v>
      </c>
      <c r="G57" s="31">
        <f>SUM(WY_FINANCIAL)</f>
        <v>945</v>
      </c>
      <c r="H57" s="30"/>
      <c r="I57" s="30"/>
      <c r="J57" s="30"/>
      <c r="K57" s="30"/>
      <c r="L57" s="29">
        <v>170</v>
      </c>
      <c r="M57" s="30">
        <v>0</v>
      </c>
      <c r="N57" s="30"/>
      <c r="O57" s="30">
        <v>0</v>
      </c>
      <c r="P57" s="30">
        <v>0</v>
      </c>
      <c r="Q57" s="30"/>
      <c r="R57" s="30">
        <v>4830</v>
      </c>
      <c r="S57" s="30">
        <v>0</v>
      </c>
      <c r="T57" s="30"/>
      <c r="U57" s="30">
        <v>0</v>
      </c>
      <c r="V57" s="31">
        <v>0</v>
      </c>
    </row>
    <row r="58" spans="1:22">
      <c r="A58" s="1" t="s">
        <v>79</v>
      </c>
      <c r="B58" s="29">
        <v>0</v>
      </c>
      <c r="C58" s="30">
        <v>0</v>
      </c>
      <c r="D58" s="30">
        <v>0</v>
      </c>
      <c r="E58" s="30">
        <v>0</v>
      </c>
      <c r="F58" s="30">
        <v>0</v>
      </c>
      <c r="G58" s="31">
        <f>SUM(OT_FINANCIAL)</f>
        <v>0</v>
      </c>
      <c r="H58" s="30"/>
      <c r="I58" s="30"/>
      <c r="J58" s="30"/>
      <c r="K58" s="30"/>
      <c r="L58" s="29"/>
      <c r="M58" s="30"/>
      <c r="N58" s="30"/>
      <c r="O58" s="30"/>
      <c r="P58" s="30"/>
      <c r="Q58" s="30"/>
      <c r="R58" s="30"/>
      <c r="S58" s="30"/>
      <c r="T58" s="30"/>
      <c r="U58" s="30"/>
      <c r="V58" s="31"/>
    </row>
    <row r="59" spans="1:22">
      <c r="B59" s="29"/>
      <c r="C59" s="30"/>
      <c r="D59" s="30"/>
      <c r="E59" s="30"/>
      <c r="F59" s="30"/>
      <c r="G59" s="31"/>
      <c r="H59" s="30"/>
      <c r="I59" s="30"/>
      <c r="J59" s="30"/>
      <c r="K59" s="30"/>
      <c r="L59" s="29"/>
      <c r="M59" s="30"/>
      <c r="N59" s="30"/>
      <c r="O59" s="30"/>
      <c r="P59" s="30"/>
      <c r="Q59" s="30"/>
      <c r="R59" s="30"/>
      <c r="S59" s="30"/>
      <c r="T59" s="30"/>
      <c r="U59" s="30"/>
      <c r="V59" s="31"/>
    </row>
    <row r="60" spans="1:22">
      <c r="A60" s="1" t="s">
        <v>8</v>
      </c>
      <c r="B60" s="29">
        <f>SUM(LIFE)</f>
        <v>0</v>
      </c>
      <c r="C60" s="30">
        <f>SUM(ALLOCATED)</f>
        <v>0</v>
      </c>
      <c r="D60" s="30">
        <f>SUM(HEALTH)</f>
        <v>8106994</v>
      </c>
      <c r="E60" s="30">
        <f>SUM(UNALLOCATED)</f>
        <v>0</v>
      </c>
      <c r="F60" s="30">
        <f>SUM(LTC)</f>
        <v>0</v>
      </c>
      <c r="G60" s="31">
        <f>SUM(ALL_BLOCKS)</f>
        <v>8106994</v>
      </c>
      <c r="H60" s="30"/>
      <c r="I60" s="30"/>
      <c r="J60" s="30"/>
      <c r="K60" s="30"/>
      <c r="L60" s="29">
        <f>SUM(LIFE_CALLED)</f>
        <v>136845</v>
      </c>
      <c r="M60" s="30">
        <f>SUM(LIFE_REFUNDED)</f>
        <v>48177.093999999997</v>
      </c>
      <c r="N60" s="30"/>
      <c r="O60" s="30">
        <f>SUM(ALLOC_CALLED)</f>
        <v>514100</v>
      </c>
      <c r="P60" s="30">
        <f>SUM(ALLOC_REFUNDED)</f>
        <v>0</v>
      </c>
      <c r="Q60" s="30"/>
      <c r="R60" s="30">
        <f>SUM(HEALTH_CALLED)</f>
        <v>7083431</v>
      </c>
      <c r="S60" s="30">
        <f>SUM(HEALTH_REFUNDED)</f>
        <v>1408959.2960000001</v>
      </c>
      <c r="T60" s="30"/>
      <c r="U60" s="30">
        <f>SUM(UNALLOC_CALLED)</f>
        <v>0</v>
      </c>
      <c r="V60" s="31">
        <f>SUM(UNALLOC_REFUNDED)</f>
        <v>0</v>
      </c>
    </row>
    <row r="61" spans="1:22" ht="5.0999999999999996" customHeight="1">
      <c r="B61" s="8"/>
      <c r="G61" s="11"/>
      <c r="L61" s="8"/>
      <c r="V61" s="11"/>
    </row>
    <row r="62" spans="1:22">
      <c r="B62" s="8"/>
      <c r="G62" s="11"/>
      <c r="L62" s="122" t="s">
        <v>80</v>
      </c>
      <c r="M62" s="123"/>
      <c r="N62" s="123"/>
      <c r="O62" s="123"/>
      <c r="P62" s="123"/>
      <c r="Q62" s="123"/>
      <c r="R62" s="123"/>
      <c r="S62" s="123"/>
      <c r="T62" s="123"/>
      <c r="U62" s="123"/>
      <c r="V62" s="124"/>
    </row>
    <row r="63" spans="1:22">
      <c r="B63" s="8"/>
      <c r="G63" s="11"/>
      <c r="L63" s="125"/>
      <c r="M63" s="123"/>
      <c r="N63" s="123"/>
      <c r="O63" s="123"/>
      <c r="P63" s="123"/>
      <c r="Q63" s="123"/>
      <c r="R63" s="123"/>
      <c r="S63" s="123"/>
      <c r="T63" s="123"/>
      <c r="U63" s="123"/>
      <c r="V63" s="124"/>
    </row>
    <row r="64" spans="1:22">
      <c r="B64" s="10"/>
      <c r="C64" s="7"/>
      <c r="D64" s="7"/>
      <c r="E64" s="7"/>
      <c r="F64" s="7"/>
      <c r="G64" s="13"/>
      <c r="L64" s="126"/>
      <c r="M64" s="127"/>
      <c r="N64" s="127"/>
      <c r="O64" s="127"/>
      <c r="P64" s="127"/>
      <c r="Q64" s="127"/>
      <c r="R64" s="127"/>
      <c r="S64" s="127"/>
      <c r="T64" s="127"/>
      <c r="U64" s="127"/>
      <c r="V64" s="128"/>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pageSetUpPr fitToPage="1"/>
  </sheetPr>
  <dimension ref="A1:V64"/>
  <sheetViews>
    <sheetView zoomScale="75" workbookViewId="0">
      <selection sqref="A1:XFD1048576"/>
    </sheetView>
  </sheetViews>
  <sheetFormatPr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129" t="s">
        <v>165</v>
      </c>
      <c r="B1" s="123"/>
      <c r="C1" s="123"/>
      <c r="D1" s="123"/>
      <c r="E1" s="123"/>
      <c r="F1" s="123"/>
      <c r="G1" s="123"/>
    </row>
    <row r="3" spans="1:22">
      <c r="B3" s="130" t="s">
        <v>1</v>
      </c>
      <c r="C3" s="131"/>
      <c r="D3" s="131"/>
      <c r="E3" s="131"/>
      <c r="F3" s="131"/>
      <c r="G3" s="132"/>
      <c r="L3" s="133" t="s">
        <v>2</v>
      </c>
      <c r="M3" s="134"/>
      <c r="N3" s="134"/>
      <c r="O3" s="134"/>
      <c r="P3" s="134"/>
      <c r="Q3" s="134"/>
      <c r="R3" s="134"/>
      <c r="S3" s="134"/>
      <c r="T3" s="134"/>
      <c r="U3" s="134"/>
      <c r="V3" s="135"/>
    </row>
    <row r="4" spans="1:22">
      <c r="B4" s="8"/>
      <c r="G4" s="11"/>
      <c r="L4" s="136" t="s">
        <v>3</v>
      </c>
      <c r="M4" s="137"/>
      <c r="N4" s="4"/>
      <c r="O4" s="138" t="s">
        <v>4</v>
      </c>
      <c r="P4" s="137"/>
      <c r="Q4" s="4"/>
      <c r="R4" s="138" t="s">
        <v>5</v>
      </c>
      <c r="S4" s="137"/>
      <c r="T4" s="4"/>
      <c r="U4" s="138" t="s">
        <v>6</v>
      </c>
      <c r="V4" s="139"/>
    </row>
    <row r="5" spans="1:22" ht="60" customHeight="1">
      <c r="B5" s="9" t="s">
        <v>3</v>
      </c>
      <c r="C5" s="5" t="s">
        <v>4</v>
      </c>
      <c r="D5" s="5" t="s">
        <v>5</v>
      </c>
      <c r="E5" s="5" t="s">
        <v>6</v>
      </c>
      <c r="F5" s="5" t="s">
        <v>7</v>
      </c>
      <c r="G5" s="12" t="s">
        <v>8</v>
      </c>
      <c r="L5" s="15" t="s">
        <v>9</v>
      </c>
      <c r="M5" s="14" t="s">
        <v>10</v>
      </c>
      <c r="N5" s="14"/>
      <c r="O5" s="14" t="s">
        <v>9</v>
      </c>
      <c r="P5" s="14" t="s">
        <v>10</v>
      </c>
      <c r="Q5" s="14"/>
      <c r="R5" s="14" t="s">
        <v>9</v>
      </c>
      <c r="S5" s="14" t="s">
        <v>10</v>
      </c>
      <c r="T5" s="14"/>
      <c r="U5" s="14" t="s">
        <v>9</v>
      </c>
      <c r="V5" s="16" t="s">
        <v>10</v>
      </c>
    </row>
    <row r="6" spans="1:22">
      <c r="A6" s="1" t="s">
        <v>11</v>
      </c>
      <c r="B6" s="29">
        <v>43713.746108570631</v>
      </c>
      <c r="C6" s="30">
        <v>127087.8938914294</v>
      </c>
      <c r="D6" s="30">
        <v>0</v>
      </c>
      <c r="E6" s="30">
        <v>0</v>
      </c>
      <c r="F6" s="30">
        <v>0</v>
      </c>
      <c r="G6" s="31">
        <f>SUM(AL_FINANCIAL)</f>
        <v>170801.64</v>
      </c>
      <c r="H6" s="30"/>
      <c r="I6" s="30"/>
      <c r="J6" s="30"/>
      <c r="K6" s="30"/>
      <c r="L6" s="29">
        <v>266000</v>
      </c>
      <c r="M6" s="30">
        <v>0</v>
      </c>
      <c r="N6" s="30"/>
      <c r="O6" s="30">
        <v>171943</v>
      </c>
      <c r="P6" s="30">
        <v>0</v>
      </c>
      <c r="Q6" s="30"/>
      <c r="R6" s="30">
        <v>0</v>
      </c>
      <c r="S6" s="30">
        <v>0</v>
      </c>
      <c r="T6" s="30"/>
      <c r="U6" s="30">
        <v>0</v>
      </c>
      <c r="V6" s="31">
        <v>0</v>
      </c>
    </row>
    <row r="7" spans="1:22">
      <c r="A7" s="1" t="s">
        <v>12</v>
      </c>
      <c r="B7" s="29">
        <v>0</v>
      </c>
      <c r="C7" s="30">
        <v>0</v>
      </c>
      <c r="D7" s="30">
        <v>0</v>
      </c>
      <c r="E7" s="30">
        <v>0</v>
      </c>
      <c r="F7" s="30">
        <v>0</v>
      </c>
      <c r="G7" s="31">
        <f>SUM(AK_FINANCIAL)</f>
        <v>0</v>
      </c>
      <c r="H7" s="30"/>
      <c r="I7" s="32"/>
      <c r="J7" s="33"/>
      <c r="K7" s="30"/>
      <c r="L7" s="29"/>
      <c r="M7" s="30"/>
      <c r="N7" s="30"/>
      <c r="O7" s="30"/>
      <c r="P7" s="30"/>
      <c r="Q7" s="30"/>
      <c r="R7" s="30"/>
      <c r="S7" s="30"/>
      <c r="T7" s="30"/>
      <c r="U7" s="30"/>
      <c r="V7" s="31"/>
    </row>
    <row r="8" spans="1:22">
      <c r="A8" s="1" t="s">
        <v>13</v>
      </c>
      <c r="B8" s="29">
        <v>116447.35864762857</v>
      </c>
      <c r="C8" s="30">
        <v>403774.3602659186</v>
      </c>
      <c r="D8" s="30">
        <v>0</v>
      </c>
      <c r="E8" s="30">
        <v>0</v>
      </c>
      <c r="F8" s="30">
        <v>0</v>
      </c>
      <c r="G8" s="31">
        <f>SUM(AZ_FINANCIAL)</f>
        <v>520221.71891354717</v>
      </c>
      <c r="H8" s="30"/>
      <c r="I8" s="34" t="s">
        <v>14</v>
      </c>
      <c r="J8" s="35"/>
      <c r="K8" s="30"/>
      <c r="L8" s="29">
        <v>0</v>
      </c>
      <c r="M8" s="30">
        <v>0</v>
      </c>
      <c r="N8" s="30"/>
      <c r="O8" s="30">
        <v>418014</v>
      </c>
      <c r="P8" s="30">
        <v>0</v>
      </c>
      <c r="Q8" s="30"/>
      <c r="R8" s="30">
        <v>81022</v>
      </c>
      <c r="S8" s="30">
        <v>0</v>
      </c>
      <c r="T8" s="30"/>
      <c r="U8" s="30">
        <v>0</v>
      </c>
      <c r="V8" s="31">
        <v>0</v>
      </c>
    </row>
    <row r="9" spans="1:22">
      <c r="A9" s="1" t="s">
        <v>15</v>
      </c>
      <c r="B9" s="29">
        <v>100076.55576328079</v>
      </c>
      <c r="C9" s="30">
        <v>289524.34423671919</v>
      </c>
      <c r="D9" s="30">
        <v>0</v>
      </c>
      <c r="E9" s="30">
        <v>0</v>
      </c>
      <c r="F9" s="30">
        <v>0</v>
      </c>
      <c r="G9" s="31">
        <f>SUM(AR_FINANCIAL)</f>
        <v>389600.89999999997</v>
      </c>
      <c r="H9" s="30"/>
      <c r="I9" s="34"/>
      <c r="J9" s="35"/>
      <c r="K9" s="30"/>
      <c r="L9" s="29">
        <v>659371</v>
      </c>
      <c r="M9" s="30">
        <v>0</v>
      </c>
      <c r="N9" s="30"/>
      <c r="O9" s="30">
        <v>0</v>
      </c>
      <c r="P9" s="30">
        <v>0</v>
      </c>
      <c r="Q9" s="30"/>
      <c r="R9" s="30">
        <v>0</v>
      </c>
      <c r="S9" s="30">
        <v>0</v>
      </c>
      <c r="T9" s="30"/>
      <c r="U9" s="30">
        <v>0</v>
      </c>
      <c r="V9" s="31">
        <v>0</v>
      </c>
    </row>
    <row r="10" spans="1:22">
      <c r="A10" s="1" t="s">
        <v>16</v>
      </c>
      <c r="B10" s="29">
        <v>0</v>
      </c>
      <c r="C10" s="30">
        <v>0</v>
      </c>
      <c r="D10" s="30">
        <v>0</v>
      </c>
      <c r="E10" s="30">
        <v>0</v>
      </c>
      <c r="F10" s="30">
        <v>0</v>
      </c>
      <c r="G10" s="31">
        <f>SUM(CA_FINANCIAL)</f>
        <v>0</v>
      </c>
      <c r="H10" s="30"/>
      <c r="I10" s="34" t="s">
        <v>17</v>
      </c>
      <c r="J10" s="35">
        <v>23787587.611440528</v>
      </c>
      <c r="K10" s="30"/>
      <c r="L10" s="29"/>
      <c r="M10" s="30"/>
      <c r="N10" s="30"/>
      <c r="O10" s="30"/>
      <c r="P10" s="30"/>
      <c r="Q10" s="30"/>
      <c r="R10" s="30"/>
      <c r="S10" s="30"/>
      <c r="T10" s="30"/>
      <c r="U10" s="30"/>
      <c r="V10" s="31"/>
    </row>
    <row r="11" spans="1:22">
      <c r="A11" s="1" t="s">
        <v>18</v>
      </c>
      <c r="B11" s="29">
        <v>92065.890055322365</v>
      </c>
      <c r="C11" s="30">
        <v>492208.85994467762</v>
      </c>
      <c r="D11" s="30">
        <v>0</v>
      </c>
      <c r="E11" s="30">
        <v>0</v>
      </c>
      <c r="F11" s="30">
        <v>0</v>
      </c>
      <c r="G11" s="31">
        <f>SUM(CO_FINANCIAL)</f>
        <v>584274.75</v>
      </c>
      <c r="H11" s="30"/>
      <c r="I11" s="34"/>
      <c r="J11" s="35"/>
      <c r="K11" s="30"/>
      <c r="L11" s="29">
        <v>216260</v>
      </c>
      <c r="M11" s="30">
        <v>251470</v>
      </c>
      <c r="N11" s="30"/>
      <c r="O11" s="30">
        <v>906211</v>
      </c>
      <c r="P11" s="30">
        <v>80000</v>
      </c>
      <c r="Q11" s="30"/>
      <c r="R11" s="30">
        <v>0</v>
      </c>
      <c r="S11" s="30">
        <v>100117</v>
      </c>
      <c r="T11" s="30"/>
      <c r="U11" s="30">
        <v>0</v>
      </c>
      <c r="V11" s="31">
        <v>0</v>
      </c>
    </row>
    <row r="12" spans="1:22">
      <c r="A12" s="1" t="s">
        <v>19</v>
      </c>
      <c r="B12" s="29">
        <v>0</v>
      </c>
      <c r="C12" s="30">
        <v>0</v>
      </c>
      <c r="D12" s="30">
        <v>0</v>
      </c>
      <c r="E12" s="30">
        <v>0</v>
      </c>
      <c r="F12" s="30">
        <v>0</v>
      </c>
      <c r="G12" s="31">
        <f>SUM(CT_FINANCIAL)</f>
        <v>0</v>
      </c>
      <c r="H12" s="30"/>
      <c r="I12" s="34" t="s">
        <v>20</v>
      </c>
      <c r="J12" s="35"/>
      <c r="K12" s="30"/>
      <c r="L12" s="29"/>
      <c r="M12" s="30"/>
      <c r="N12" s="30"/>
      <c r="O12" s="30"/>
      <c r="P12" s="30"/>
      <c r="Q12" s="30"/>
      <c r="R12" s="30"/>
      <c r="S12" s="30"/>
      <c r="T12" s="30"/>
      <c r="U12" s="30"/>
      <c r="V12" s="31"/>
    </row>
    <row r="13" spans="1:22">
      <c r="A13" s="1" t="s">
        <v>21</v>
      </c>
      <c r="B13" s="29">
        <v>0</v>
      </c>
      <c r="C13" s="30">
        <v>0</v>
      </c>
      <c r="D13" s="30">
        <v>0</v>
      </c>
      <c r="E13" s="30">
        <v>0</v>
      </c>
      <c r="F13" s="30">
        <v>0</v>
      </c>
      <c r="G13" s="31">
        <f>SUM(DE_FINANCIAL)</f>
        <v>0</v>
      </c>
      <c r="H13" s="30"/>
      <c r="I13" s="34" t="s">
        <v>22</v>
      </c>
      <c r="J13" s="35">
        <v>4754904</v>
      </c>
      <c r="K13" s="30"/>
      <c r="L13" s="29"/>
      <c r="M13" s="30"/>
      <c r="N13" s="30"/>
      <c r="O13" s="30"/>
      <c r="P13" s="30"/>
      <c r="Q13" s="30"/>
      <c r="R13" s="30"/>
      <c r="S13" s="30"/>
      <c r="T13" s="30"/>
      <c r="U13" s="30"/>
      <c r="V13" s="31"/>
    </row>
    <row r="14" spans="1:22">
      <c r="A14" s="1" t="s">
        <v>23</v>
      </c>
      <c r="B14" s="29">
        <v>0</v>
      </c>
      <c r="C14" s="30">
        <v>0</v>
      </c>
      <c r="D14" s="30">
        <v>0</v>
      </c>
      <c r="E14" s="30">
        <v>0</v>
      </c>
      <c r="F14" s="30">
        <v>0</v>
      </c>
      <c r="G14" s="31">
        <f>SUM(DC_FINANCIAL)</f>
        <v>0</v>
      </c>
      <c r="H14" s="30"/>
      <c r="I14" s="34" t="s">
        <v>24</v>
      </c>
      <c r="J14" s="35">
        <v>1142999.24</v>
      </c>
      <c r="K14" s="30"/>
      <c r="L14" s="29"/>
      <c r="M14" s="30"/>
      <c r="N14" s="30"/>
      <c r="O14" s="30"/>
      <c r="P14" s="30"/>
      <c r="Q14" s="30"/>
      <c r="R14" s="30"/>
      <c r="S14" s="30"/>
      <c r="T14" s="30"/>
      <c r="U14" s="30"/>
      <c r="V14" s="31"/>
    </row>
    <row r="15" spans="1:22">
      <c r="A15" s="1" t="s">
        <v>25</v>
      </c>
      <c r="B15" s="29">
        <v>0</v>
      </c>
      <c r="C15" s="30">
        <v>0</v>
      </c>
      <c r="D15" s="30">
        <v>0</v>
      </c>
      <c r="E15" s="30">
        <v>0</v>
      </c>
      <c r="F15" s="30">
        <v>0</v>
      </c>
      <c r="G15" s="31">
        <f>SUM(FL_FINANCIAL)</f>
        <v>0</v>
      </c>
      <c r="H15" s="30"/>
      <c r="I15" s="34" t="s">
        <v>26</v>
      </c>
      <c r="J15" s="35">
        <v>612636.75999999954</v>
      </c>
      <c r="K15" s="30"/>
      <c r="L15" s="29"/>
      <c r="M15" s="30"/>
      <c r="N15" s="30"/>
      <c r="O15" s="30"/>
      <c r="P15" s="30"/>
      <c r="Q15" s="30"/>
      <c r="R15" s="30"/>
      <c r="S15" s="30"/>
      <c r="T15" s="30"/>
      <c r="U15" s="30"/>
      <c r="V15" s="31"/>
    </row>
    <row r="16" spans="1:22">
      <c r="A16" s="1" t="s">
        <v>27</v>
      </c>
      <c r="B16" s="29">
        <v>0</v>
      </c>
      <c r="C16" s="30">
        <v>0</v>
      </c>
      <c r="D16" s="30">
        <v>0</v>
      </c>
      <c r="E16" s="30">
        <v>0</v>
      </c>
      <c r="F16" s="30">
        <v>0</v>
      </c>
      <c r="G16" s="31">
        <f>SUM(GA_FINANCIAL)</f>
        <v>0</v>
      </c>
      <c r="H16" s="30"/>
      <c r="I16" s="34" t="s">
        <v>28</v>
      </c>
      <c r="J16" s="35">
        <v>0</v>
      </c>
      <c r="K16" s="30"/>
      <c r="L16" s="29"/>
      <c r="M16" s="30"/>
      <c r="N16" s="30"/>
      <c r="O16" s="30"/>
      <c r="P16" s="30"/>
      <c r="Q16" s="30"/>
      <c r="R16" s="30"/>
      <c r="S16" s="30"/>
      <c r="T16" s="30"/>
      <c r="U16" s="30"/>
      <c r="V16" s="31"/>
    </row>
    <row r="17" spans="1:22">
      <c r="A17" s="1" t="s">
        <v>29</v>
      </c>
      <c r="B17" s="29">
        <v>0</v>
      </c>
      <c r="C17" s="30">
        <v>0</v>
      </c>
      <c r="D17" s="30">
        <v>0</v>
      </c>
      <c r="E17" s="30">
        <v>0</v>
      </c>
      <c r="F17" s="30">
        <v>0</v>
      </c>
      <c r="G17" s="31">
        <f>SUM(HI_FINANCIAL)</f>
        <v>0</v>
      </c>
      <c r="H17" s="30"/>
      <c r="I17" s="34"/>
      <c r="J17" s="35"/>
      <c r="K17" s="30"/>
      <c r="L17" s="29"/>
      <c r="M17" s="30"/>
      <c r="N17" s="30"/>
      <c r="O17" s="30"/>
      <c r="P17" s="30"/>
      <c r="Q17" s="30"/>
      <c r="R17" s="30"/>
      <c r="S17" s="30"/>
      <c r="T17" s="30"/>
      <c r="U17" s="30"/>
      <c r="V17" s="31"/>
    </row>
    <row r="18" spans="1:22">
      <c r="A18" s="1" t="s">
        <v>30</v>
      </c>
      <c r="B18" s="29">
        <v>12980.416210475571</v>
      </c>
      <c r="C18" s="30">
        <v>243466.25378952437</v>
      </c>
      <c r="D18" s="30">
        <v>0</v>
      </c>
      <c r="E18" s="30">
        <v>0</v>
      </c>
      <c r="F18" s="30">
        <v>0</v>
      </c>
      <c r="G18" s="31">
        <f>SUM(ID_FINANCIAL)</f>
        <v>256446.66999999995</v>
      </c>
      <c r="H18" s="30"/>
      <c r="I18" s="34" t="s">
        <v>31</v>
      </c>
      <c r="J18" s="35"/>
      <c r="K18" s="30"/>
      <c r="L18" s="29">
        <v>58740</v>
      </c>
      <c r="M18" s="30">
        <v>0</v>
      </c>
      <c r="N18" s="30"/>
      <c r="O18" s="30">
        <v>371260</v>
      </c>
      <c r="P18" s="30">
        <v>0</v>
      </c>
      <c r="Q18" s="30"/>
      <c r="R18" s="30">
        <v>0</v>
      </c>
      <c r="S18" s="30">
        <v>0</v>
      </c>
      <c r="T18" s="30"/>
      <c r="U18" s="30">
        <v>0</v>
      </c>
      <c r="V18" s="31">
        <v>0</v>
      </c>
    </row>
    <row r="19" spans="1:22">
      <c r="A19" s="1" t="s">
        <v>32</v>
      </c>
      <c r="B19" s="29">
        <v>0</v>
      </c>
      <c r="C19" s="30">
        <v>0</v>
      </c>
      <c r="D19" s="30">
        <v>0</v>
      </c>
      <c r="E19" s="30">
        <v>0</v>
      </c>
      <c r="F19" s="30">
        <v>0</v>
      </c>
      <c r="G19" s="31">
        <f>SUM(IL_FINANCIAL)</f>
        <v>0</v>
      </c>
      <c r="H19" s="30"/>
      <c r="I19" s="34" t="s">
        <v>33</v>
      </c>
      <c r="J19" s="35">
        <v>0</v>
      </c>
      <c r="K19" s="30"/>
      <c r="L19" s="29"/>
      <c r="M19" s="30"/>
      <c r="N19" s="30"/>
      <c r="O19" s="30"/>
      <c r="P19" s="30"/>
      <c r="Q19" s="30"/>
      <c r="R19" s="30"/>
      <c r="S19" s="30"/>
      <c r="T19" s="30"/>
      <c r="U19" s="30"/>
      <c r="V19" s="31"/>
    </row>
    <row r="20" spans="1:22">
      <c r="A20" s="1" t="s">
        <v>34</v>
      </c>
      <c r="B20" s="29">
        <v>0</v>
      </c>
      <c r="C20" s="30">
        <v>0</v>
      </c>
      <c r="D20" s="30">
        <v>0</v>
      </c>
      <c r="E20" s="30">
        <v>0</v>
      </c>
      <c r="F20" s="30">
        <v>0</v>
      </c>
      <c r="G20" s="31">
        <f>SUM(IN_FINANCIAL)</f>
        <v>0</v>
      </c>
      <c r="H20" s="30"/>
      <c r="I20" s="34" t="s">
        <v>35</v>
      </c>
      <c r="J20" s="35">
        <v>4734481.0000000009</v>
      </c>
      <c r="K20" s="30"/>
      <c r="L20" s="29"/>
      <c r="M20" s="30"/>
      <c r="N20" s="30"/>
      <c r="O20" s="30"/>
      <c r="P20" s="30"/>
      <c r="Q20" s="30"/>
      <c r="R20" s="30"/>
      <c r="S20" s="30"/>
      <c r="T20" s="30"/>
      <c r="U20" s="30"/>
      <c r="V20" s="31"/>
    </row>
    <row r="21" spans="1:22">
      <c r="A21" s="1" t="s">
        <v>36</v>
      </c>
      <c r="B21" s="29">
        <v>0</v>
      </c>
      <c r="C21" s="30">
        <v>0</v>
      </c>
      <c r="D21" s="30">
        <v>0</v>
      </c>
      <c r="E21" s="30">
        <v>0</v>
      </c>
      <c r="F21" s="30">
        <v>0</v>
      </c>
      <c r="G21" s="31">
        <f>SUM(IA_FINANCIAL)</f>
        <v>0</v>
      </c>
      <c r="H21" s="30"/>
      <c r="I21" s="34" t="s">
        <v>37</v>
      </c>
      <c r="J21" s="35"/>
      <c r="K21" s="30"/>
      <c r="L21" s="29"/>
      <c r="M21" s="30"/>
      <c r="N21" s="30"/>
      <c r="O21" s="30"/>
      <c r="P21" s="30"/>
      <c r="Q21" s="30"/>
      <c r="R21" s="30"/>
      <c r="S21" s="30"/>
      <c r="T21" s="30"/>
      <c r="U21" s="30"/>
      <c r="V21" s="31"/>
    </row>
    <row r="22" spans="1:22">
      <c r="A22" s="1" t="s">
        <v>38</v>
      </c>
      <c r="B22" s="29">
        <v>236544.78161360518</v>
      </c>
      <c r="C22" s="30">
        <v>1157829.4183863946</v>
      </c>
      <c r="D22" s="30">
        <v>0</v>
      </c>
      <c r="E22" s="30">
        <v>0</v>
      </c>
      <c r="F22" s="30">
        <v>0</v>
      </c>
      <c r="G22" s="31">
        <f>SUM(KS_FINANCIAL)</f>
        <v>1394374.1999999997</v>
      </c>
      <c r="H22" s="30"/>
      <c r="I22" s="34" t="s">
        <v>39</v>
      </c>
      <c r="J22" s="35">
        <v>1898918.8425269816</v>
      </c>
      <c r="K22" s="30"/>
      <c r="L22" s="29">
        <v>500000</v>
      </c>
      <c r="M22" s="30">
        <v>0</v>
      </c>
      <c r="N22" s="30"/>
      <c r="O22" s="30">
        <v>1500000</v>
      </c>
      <c r="P22" s="30">
        <v>0</v>
      </c>
      <c r="Q22" s="30"/>
      <c r="R22" s="30">
        <v>0</v>
      </c>
      <c r="S22" s="30">
        <v>0</v>
      </c>
      <c r="T22" s="30"/>
      <c r="U22" s="30">
        <v>0</v>
      </c>
      <c r="V22" s="31">
        <v>0</v>
      </c>
    </row>
    <row r="23" spans="1:22">
      <c r="A23" s="1" t="s">
        <v>40</v>
      </c>
      <c r="B23" s="29">
        <v>0</v>
      </c>
      <c r="C23" s="30">
        <v>0</v>
      </c>
      <c r="D23" s="30">
        <v>0</v>
      </c>
      <c r="E23" s="30">
        <v>0</v>
      </c>
      <c r="F23" s="30">
        <v>0</v>
      </c>
      <c r="G23" s="31">
        <f>SUM(KY_FINANCIAL)</f>
        <v>0</v>
      </c>
      <c r="H23" s="30"/>
      <c r="I23" s="34" t="s">
        <v>41</v>
      </c>
      <c r="J23" s="35"/>
      <c r="K23" s="30"/>
      <c r="L23" s="29"/>
      <c r="M23" s="30"/>
      <c r="N23" s="30"/>
      <c r="O23" s="30"/>
      <c r="P23" s="30"/>
      <c r="Q23" s="30"/>
      <c r="R23" s="30"/>
      <c r="S23" s="30"/>
      <c r="T23" s="30"/>
      <c r="U23" s="30"/>
      <c r="V23" s="31"/>
    </row>
    <row r="24" spans="1:22">
      <c r="A24" s="1" t="s">
        <v>42</v>
      </c>
      <c r="B24" s="29">
        <v>175965.40491098168</v>
      </c>
      <c r="C24" s="30">
        <v>668571.61508901836</v>
      </c>
      <c r="D24" s="30">
        <v>0</v>
      </c>
      <c r="E24" s="30">
        <v>0</v>
      </c>
      <c r="F24" s="30">
        <v>0</v>
      </c>
      <c r="G24" s="31">
        <f>SUM(LA_FINANCIAL)</f>
        <v>844537.02</v>
      </c>
      <c r="H24" s="30"/>
      <c r="I24" s="34" t="s">
        <v>43</v>
      </c>
      <c r="J24" s="35">
        <v>10249807.68</v>
      </c>
      <c r="K24" s="30"/>
      <c r="L24" s="29">
        <v>369626</v>
      </c>
      <c r="M24" s="30">
        <v>0</v>
      </c>
      <c r="N24" s="30"/>
      <c r="O24" s="30">
        <v>1034674</v>
      </c>
      <c r="P24" s="30">
        <v>0</v>
      </c>
      <c r="Q24" s="30"/>
      <c r="R24" s="30">
        <v>0</v>
      </c>
      <c r="S24" s="30">
        <v>0</v>
      </c>
      <c r="T24" s="30"/>
      <c r="U24" s="30">
        <v>0</v>
      </c>
      <c r="V24" s="31">
        <v>0</v>
      </c>
    </row>
    <row r="25" spans="1:22">
      <c r="A25" s="1" t="s">
        <v>44</v>
      </c>
      <c r="B25" s="29">
        <v>0</v>
      </c>
      <c r="C25" s="30">
        <v>0</v>
      </c>
      <c r="D25" s="30">
        <v>0</v>
      </c>
      <c r="E25" s="30">
        <v>0</v>
      </c>
      <c r="F25" s="30">
        <v>0</v>
      </c>
      <c r="G25" s="31">
        <f>SUM(ME_FINANCIAL)</f>
        <v>0</v>
      </c>
      <c r="H25" s="30"/>
      <c r="I25" s="34"/>
      <c r="J25" s="35"/>
      <c r="K25" s="30"/>
      <c r="L25" s="29"/>
      <c r="M25" s="30"/>
      <c r="N25" s="30"/>
      <c r="O25" s="30"/>
      <c r="P25" s="30"/>
      <c r="Q25" s="30"/>
      <c r="R25" s="30"/>
      <c r="S25" s="30"/>
      <c r="T25" s="30"/>
      <c r="U25" s="30"/>
      <c r="V25" s="31"/>
    </row>
    <row r="26" spans="1:22">
      <c r="A26" s="1" t="s">
        <v>45</v>
      </c>
      <c r="B26" s="29">
        <v>0</v>
      </c>
      <c r="C26" s="30">
        <v>0</v>
      </c>
      <c r="D26" s="30">
        <v>0</v>
      </c>
      <c r="E26" s="30">
        <v>0</v>
      </c>
      <c r="F26" s="30">
        <v>0</v>
      </c>
      <c r="G26" s="31">
        <f>SUM(MD_FINANCIAL)</f>
        <v>0</v>
      </c>
      <c r="H26" s="30"/>
      <c r="I26" s="34" t="s">
        <v>46</v>
      </c>
      <c r="J26" s="35">
        <f>SUM(ADD_FINANCIAL)-SUM(LESS_FINANCIAL)</f>
        <v>13414920.088913541</v>
      </c>
      <c r="K26" s="30"/>
      <c r="L26" s="29"/>
      <c r="M26" s="30"/>
      <c r="N26" s="30"/>
      <c r="O26" s="30"/>
      <c r="P26" s="30"/>
      <c r="Q26" s="30"/>
      <c r="R26" s="30"/>
      <c r="S26" s="30"/>
      <c r="T26" s="30"/>
      <c r="U26" s="30"/>
      <c r="V26" s="31"/>
    </row>
    <row r="27" spans="1:22">
      <c r="A27" s="1" t="s">
        <v>47</v>
      </c>
      <c r="B27" s="29">
        <v>0</v>
      </c>
      <c r="C27" s="30">
        <v>0</v>
      </c>
      <c r="D27" s="30">
        <v>0</v>
      </c>
      <c r="E27" s="30">
        <v>0</v>
      </c>
      <c r="F27" s="30">
        <v>0</v>
      </c>
      <c r="G27" s="31">
        <f>SUM(MA_FINANCIAL)</f>
        <v>0</v>
      </c>
      <c r="H27" s="30"/>
      <c r="I27" s="34" t="s">
        <v>48</v>
      </c>
      <c r="J27" s="35">
        <f>SUM(ALL_BLOCKS)</f>
        <v>13414920.088913547</v>
      </c>
      <c r="K27" s="30"/>
      <c r="L27" s="29"/>
      <c r="M27" s="30"/>
      <c r="N27" s="30"/>
      <c r="O27" s="30"/>
      <c r="P27" s="30"/>
      <c r="Q27" s="30"/>
      <c r="R27" s="30"/>
      <c r="S27" s="30"/>
      <c r="T27" s="30"/>
      <c r="U27" s="30"/>
      <c r="V27" s="31"/>
    </row>
    <row r="28" spans="1:22">
      <c r="A28" s="1" t="s">
        <v>49</v>
      </c>
      <c r="B28" s="29">
        <v>0</v>
      </c>
      <c r="C28" s="30">
        <v>0</v>
      </c>
      <c r="D28" s="30">
        <v>0</v>
      </c>
      <c r="E28" s="30">
        <v>0</v>
      </c>
      <c r="F28" s="30">
        <v>0</v>
      </c>
      <c r="G28" s="31">
        <f>SUM(MI_FINANCIAL)</f>
        <v>0</v>
      </c>
      <c r="H28" s="30"/>
      <c r="I28" s="36"/>
      <c r="J28" s="37"/>
      <c r="K28" s="30"/>
      <c r="L28" s="29"/>
      <c r="M28" s="30"/>
      <c r="N28" s="30"/>
      <c r="O28" s="30"/>
      <c r="P28" s="30"/>
      <c r="Q28" s="30"/>
      <c r="R28" s="30"/>
      <c r="S28" s="30"/>
      <c r="T28" s="30"/>
      <c r="U28" s="30"/>
      <c r="V28" s="31"/>
    </row>
    <row r="29" spans="1:22">
      <c r="A29" s="1" t="s">
        <v>50</v>
      </c>
      <c r="B29" s="29">
        <v>0</v>
      </c>
      <c r="C29" s="30">
        <v>0</v>
      </c>
      <c r="D29" s="30">
        <v>0</v>
      </c>
      <c r="E29" s="30">
        <v>0</v>
      </c>
      <c r="F29" s="30">
        <v>0</v>
      </c>
      <c r="G29" s="31">
        <f>SUM(MN_FINANCIAL)</f>
        <v>0</v>
      </c>
      <c r="H29" s="30"/>
      <c r="I29" s="30"/>
      <c r="J29" s="30"/>
      <c r="K29" s="30"/>
      <c r="L29" s="29"/>
      <c r="M29" s="30"/>
      <c r="N29" s="30"/>
      <c r="O29" s="30"/>
      <c r="P29" s="30"/>
      <c r="Q29" s="30"/>
      <c r="R29" s="30"/>
      <c r="S29" s="30"/>
      <c r="T29" s="30"/>
      <c r="U29" s="30"/>
      <c r="V29" s="31"/>
    </row>
    <row r="30" spans="1:22">
      <c r="A30" s="1" t="s">
        <v>51</v>
      </c>
      <c r="B30" s="29">
        <v>82657.124077029905</v>
      </c>
      <c r="C30" s="30">
        <v>375025.77592297015</v>
      </c>
      <c r="D30" s="30">
        <v>0</v>
      </c>
      <c r="E30" s="30">
        <v>0</v>
      </c>
      <c r="F30" s="30">
        <v>0</v>
      </c>
      <c r="G30" s="31">
        <f>SUM(MS_FINANCIAL)</f>
        <v>457682.9</v>
      </c>
      <c r="H30" s="30"/>
      <c r="I30" s="30"/>
      <c r="J30" s="30"/>
      <c r="K30" s="30"/>
      <c r="L30" s="29">
        <v>299790</v>
      </c>
      <c r="M30" s="30">
        <v>0</v>
      </c>
      <c r="N30" s="30"/>
      <c r="O30" s="30">
        <v>600210</v>
      </c>
      <c r="P30" s="30">
        <v>0</v>
      </c>
      <c r="Q30" s="30"/>
      <c r="R30" s="30">
        <v>0</v>
      </c>
      <c r="S30" s="30">
        <v>0</v>
      </c>
      <c r="T30" s="30"/>
      <c r="U30" s="30">
        <v>0</v>
      </c>
      <c r="V30" s="31">
        <v>0</v>
      </c>
    </row>
    <row r="31" spans="1:22">
      <c r="A31" s="1" t="s">
        <v>52</v>
      </c>
      <c r="B31" s="29">
        <v>140055.34021015669</v>
      </c>
      <c r="C31" s="30">
        <v>1108521.6397898435</v>
      </c>
      <c r="D31" s="30">
        <v>0</v>
      </c>
      <c r="E31" s="30">
        <v>0</v>
      </c>
      <c r="F31" s="30">
        <v>0</v>
      </c>
      <c r="G31" s="31">
        <f>SUM(MO_FINANCIAL)</f>
        <v>1248576.9800000002</v>
      </c>
      <c r="H31" s="30"/>
      <c r="I31" s="30"/>
      <c r="J31" s="30"/>
      <c r="K31" s="30"/>
      <c r="L31" s="29">
        <v>0</v>
      </c>
      <c r="M31" s="30">
        <v>0</v>
      </c>
      <c r="N31" s="30"/>
      <c r="O31" s="30">
        <v>1723861</v>
      </c>
      <c r="P31" s="30">
        <v>0</v>
      </c>
      <c r="Q31" s="30"/>
      <c r="R31" s="30">
        <v>0</v>
      </c>
      <c r="S31" s="30">
        <v>0</v>
      </c>
      <c r="T31" s="30"/>
      <c r="U31" s="30">
        <v>0</v>
      </c>
      <c r="V31" s="31">
        <v>0</v>
      </c>
    </row>
    <row r="32" spans="1:22">
      <c r="A32" s="1" t="s">
        <v>53</v>
      </c>
      <c r="B32" s="29">
        <v>0</v>
      </c>
      <c r="C32" s="30">
        <v>0</v>
      </c>
      <c r="D32" s="30">
        <v>0</v>
      </c>
      <c r="E32" s="30">
        <v>0</v>
      </c>
      <c r="F32" s="30">
        <v>0</v>
      </c>
      <c r="G32" s="31">
        <f>SUM(MT_FINANCIAL)</f>
        <v>0</v>
      </c>
      <c r="H32" s="30"/>
      <c r="I32" s="30"/>
      <c r="J32" s="30"/>
      <c r="K32" s="30"/>
      <c r="L32" s="29"/>
      <c r="M32" s="30"/>
      <c r="N32" s="30"/>
      <c r="O32" s="30"/>
      <c r="P32" s="30"/>
      <c r="Q32" s="30"/>
      <c r="R32" s="30"/>
      <c r="S32" s="30"/>
      <c r="T32" s="30"/>
      <c r="U32" s="30"/>
      <c r="V32" s="31"/>
    </row>
    <row r="33" spans="1:22">
      <c r="A33" s="1" t="s">
        <v>54</v>
      </c>
      <c r="B33" s="29">
        <v>0</v>
      </c>
      <c r="C33" s="30">
        <v>0</v>
      </c>
      <c r="D33" s="30">
        <v>0</v>
      </c>
      <c r="E33" s="30">
        <v>0</v>
      </c>
      <c r="F33" s="30">
        <v>0</v>
      </c>
      <c r="G33" s="31">
        <f>SUM(NE_FINANCIAL)</f>
        <v>0</v>
      </c>
      <c r="H33" s="30"/>
      <c r="I33" s="30"/>
      <c r="J33" s="30"/>
      <c r="K33" s="30"/>
      <c r="L33" s="29"/>
      <c r="M33" s="30"/>
      <c r="N33" s="30"/>
      <c r="O33" s="30"/>
      <c r="P33" s="30"/>
      <c r="Q33" s="30"/>
      <c r="R33" s="30"/>
      <c r="S33" s="30"/>
      <c r="T33" s="30"/>
      <c r="U33" s="30"/>
      <c r="V33" s="31"/>
    </row>
    <row r="34" spans="1:22">
      <c r="A34" s="1" t="s">
        <v>55</v>
      </c>
      <c r="B34" s="29">
        <v>875.06773569256256</v>
      </c>
      <c r="C34" s="30">
        <v>1014.9322643074374</v>
      </c>
      <c r="D34" s="30">
        <v>0</v>
      </c>
      <c r="E34" s="30">
        <v>0</v>
      </c>
      <c r="F34" s="30">
        <v>0</v>
      </c>
      <c r="G34" s="31">
        <f>SUM(NV_FINANCIAL)</f>
        <v>1890</v>
      </c>
      <c r="H34" s="30"/>
      <c r="I34" s="30"/>
      <c r="J34" s="30"/>
      <c r="K34" s="30"/>
      <c r="L34" s="29">
        <v>15200</v>
      </c>
      <c r="M34" s="30">
        <v>0</v>
      </c>
      <c r="N34" s="30"/>
      <c r="O34" s="30">
        <v>14200</v>
      </c>
      <c r="P34" s="30">
        <v>0</v>
      </c>
      <c r="Q34" s="30"/>
      <c r="R34" s="30">
        <v>0</v>
      </c>
      <c r="S34" s="30">
        <v>0</v>
      </c>
      <c r="T34" s="30"/>
      <c r="U34" s="30">
        <v>0</v>
      </c>
      <c r="V34" s="31">
        <v>0</v>
      </c>
    </row>
    <row r="35" spans="1:22">
      <c r="A35" s="1" t="s">
        <v>56</v>
      </c>
      <c r="B35" s="29">
        <v>0</v>
      </c>
      <c r="C35" s="30">
        <v>0</v>
      </c>
      <c r="D35" s="30">
        <v>0</v>
      </c>
      <c r="E35" s="30">
        <v>0</v>
      </c>
      <c r="F35" s="30">
        <v>0</v>
      </c>
      <c r="G35" s="31">
        <f>SUM(NH_FINANCIAL)</f>
        <v>0</v>
      </c>
      <c r="H35" s="30"/>
      <c r="I35" s="30"/>
      <c r="J35" s="30"/>
      <c r="K35" s="30"/>
      <c r="L35" s="29"/>
      <c r="M35" s="30"/>
      <c r="N35" s="30"/>
      <c r="O35" s="30"/>
      <c r="P35" s="30"/>
      <c r="Q35" s="30"/>
      <c r="R35" s="30"/>
      <c r="S35" s="30"/>
      <c r="T35" s="30"/>
      <c r="U35" s="30"/>
      <c r="V35" s="31"/>
    </row>
    <row r="36" spans="1:22">
      <c r="A36" s="1" t="s">
        <v>57</v>
      </c>
      <c r="B36" s="29">
        <v>0</v>
      </c>
      <c r="C36" s="30">
        <v>0</v>
      </c>
      <c r="D36" s="30">
        <v>0</v>
      </c>
      <c r="E36" s="30">
        <v>0</v>
      </c>
      <c r="F36" s="30">
        <v>0</v>
      </c>
      <c r="G36" s="31">
        <f>SUM(NJ_FINANCIAL)</f>
        <v>0</v>
      </c>
      <c r="H36" s="30"/>
      <c r="I36" s="30"/>
      <c r="J36" s="30"/>
      <c r="K36" s="30"/>
      <c r="L36" s="29"/>
      <c r="M36" s="30"/>
      <c r="N36" s="30"/>
      <c r="O36" s="30"/>
      <c r="P36" s="30"/>
      <c r="Q36" s="30"/>
      <c r="R36" s="30"/>
      <c r="S36" s="30"/>
      <c r="T36" s="30"/>
      <c r="U36" s="30"/>
      <c r="V36" s="31"/>
    </row>
    <row r="37" spans="1:22">
      <c r="A37" s="1" t="s">
        <v>58</v>
      </c>
      <c r="B37" s="29">
        <v>231.03459477044316</v>
      </c>
      <c r="C37" s="30">
        <v>42701.245405229536</v>
      </c>
      <c r="D37" s="30">
        <v>0</v>
      </c>
      <c r="E37" s="30">
        <v>0</v>
      </c>
      <c r="F37" s="30">
        <v>0</v>
      </c>
      <c r="G37" s="31">
        <f>SUM(NM_FINANCIAL)</f>
        <v>42932.279999999977</v>
      </c>
      <c r="H37" s="30"/>
      <c r="I37" s="30"/>
      <c r="J37" s="30"/>
      <c r="K37" s="30"/>
      <c r="L37" s="29">
        <v>35000</v>
      </c>
      <c r="M37" s="30">
        <v>0</v>
      </c>
      <c r="N37" s="30"/>
      <c r="O37" s="30">
        <v>30000</v>
      </c>
      <c r="P37" s="30">
        <v>0</v>
      </c>
      <c r="Q37" s="30"/>
      <c r="R37" s="30">
        <v>0</v>
      </c>
      <c r="S37" s="30">
        <v>0</v>
      </c>
      <c r="T37" s="30"/>
      <c r="U37" s="30">
        <v>0</v>
      </c>
      <c r="V37" s="31">
        <v>0</v>
      </c>
    </row>
    <row r="38" spans="1:22">
      <c r="A38" s="1" t="s">
        <v>59</v>
      </c>
      <c r="B38" s="29">
        <v>0</v>
      </c>
      <c r="C38" s="30">
        <v>0</v>
      </c>
      <c r="D38" s="30">
        <v>0</v>
      </c>
      <c r="E38" s="30">
        <v>0</v>
      </c>
      <c r="F38" s="30">
        <v>0</v>
      </c>
      <c r="G38" s="31">
        <f>SUM(NY_FINANCIAL)</f>
        <v>0</v>
      </c>
      <c r="H38" s="30"/>
      <c r="I38" s="30"/>
      <c r="J38" s="30"/>
      <c r="K38" s="30"/>
      <c r="L38" s="29"/>
      <c r="M38" s="30"/>
      <c r="N38" s="30"/>
      <c r="O38" s="30"/>
      <c r="P38" s="30"/>
      <c r="Q38" s="30"/>
      <c r="R38" s="30"/>
      <c r="S38" s="30"/>
      <c r="T38" s="30"/>
      <c r="U38" s="30"/>
      <c r="V38" s="31"/>
    </row>
    <row r="39" spans="1:22">
      <c r="A39" s="1" t="s">
        <v>60</v>
      </c>
      <c r="B39" s="29">
        <v>0</v>
      </c>
      <c r="C39" s="30">
        <v>0</v>
      </c>
      <c r="D39" s="30">
        <v>0</v>
      </c>
      <c r="E39" s="30">
        <v>0</v>
      </c>
      <c r="F39" s="30">
        <v>0</v>
      </c>
      <c r="G39" s="31">
        <f>SUM(NC_FINANCIAL)</f>
        <v>0</v>
      </c>
      <c r="H39" s="30"/>
      <c r="I39" s="30"/>
      <c r="J39" s="30"/>
      <c r="K39" s="30"/>
      <c r="L39" s="29"/>
      <c r="M39" s="30"/>
      <c r="N39" s="30"/>
      <c r="O39" s="30"/>
      <c r="P39" s="30"/>
      <c r="Q39" s="30"/>
      <c r="R39" s="30"/>
      <c r="S39" s="30"/>
      <c r="T39" s="30"/>
      <c r="U39" s="30"/>
      <c r="V39" s="31"/>
    </row>
    <row r="40" spans="1:22">
      <c r="A40" s="1" t="s">
        <v>61</v>
      </c>
      <c r="B40" s="29">
        <v>0</v>
      </c>
      <c r="C40" s="30">
        <v>0</v>
      </c>
      <c r="D40" s="30">
        <v>0</v>
      </c>
      <c r="E40" s="30">
        <v>0</v>
      </c>
      <c r="F40" s="30">
        <v>0</v>
      </c>
      <c r="G40" s="31">
        <f>SUM(ND_FINANCIAL)</f>
        <v>0</v>
      </c>
      <c r="H40" s="30"/>
      <c r="I40" s="30"/>
      <c r="J40" s="30"/>
      <c r="K40" s="30"/>
      <c r="L40" s="29"/>
      <c r="M40" s="30"/>
      <c r="N40" s="30"/>
      <c r="O40" s="30"/>
      <c r="P40" s="30"/>
      <c r="Q40" s="30"/>
      <c r="R40" s="30"/>
      <c r="S40" s="30"/>
      <c r="T40" s="30"/>
      <c r="U40" s="30"/>
      <c r="V40" s="31"/>
    </row>
    <row r="41" spans="1:22">
      <c r="A41" s="1" t="s">
        <v>62</v>
      </c>
      <c r="B41" s="29">
        <v>0</v>
      </c>
      <c r="C41" s="30">
        <v>0</v>
      </c>
      <c r="D41" s="30">
        <v>0</v>
      </c>
      <c r="E41" s="30">
        <v>0</v>
      </c>
      <c r="F41" s="30">
        <v>0</v>
      </c>
      <c r="G41" s="31">
        <f>SUM(OH_FINANCIAL)</f>
        <v>0</v>
      </c>
      <c r="H41" s="30"/>
      <c r="I41" s="30"/>
      <c r="J41" s="30"/>
      <c r="K41" s="30"/>
      <c r="L41" s="29"/>
      <c r="M41" s="30"/>
      <c r="N41" s="30"/>
      <c r="O41" s="30"/>
      <c r="P41" s="30"/>
      <c r="Q41" s="30"/>
      <c r="R41" s="30"/>
      <c r="S41" s="30"/>
      <c r="T41" s="30"/>
      <c r="U41" s="30"/>
      <c r="V41" s="31"/>
    </row>
    <row r="42" spans="1:22">
      <c r="A42" s="1" t="s">
        <v>63</v>
      </c>
      <c r="B42" s="29">
        <v>1602536.596318003</v>
      </c>
      <c r="C42" s="30">
        <v>2174253.2427838715</v>
      </c>
      <c r="D42" s="30">
        <v>3925.5008981258761</v>
      </c>
      <c r="E42" s="30">
        <v>0</v>
      </c>
      <c r="F42" s="30">
        <v>0</v>
      </c>
      <c r="G42" s="31">
        <f>SUM(OK_FINANCIAL)</f>
        <v>3780715.3400000003</v>
      </c>
      <c r="H42" s="30"/>
      <c r="I42" s="30"/>
      <c r="J42" s="30"/>
      <c r="K42" s="30"/>
      <c r="L42" s="29">
        <v>3455258</v>
      </c>
      <c r="M42" s="30">
        <v>1633000</v>
      </c>
      <c r="N42" s="30"/>
      <c r="O42" s="30">
        <v>2943368</v>
      </c>
      <c r="P42" s="30">
        <v>1391000</v>
      </c>
      <c r="Q42" s="30"/>
      <c r="R42" s="30">
        <v>0</v>
      </c>
      <c r="S42" s="30">
        <v>0</v>
      </c>
      <c r="T42" s="30"/>
      <c r="U42" s="30">
        <v>0</v>
      </c>
      <c r="V42" s="31">
        <v>0</v>
      </c>
    </row>
    <row r="43" spans="1:22">
      <c r="A43" s="1" t="s">
        <v>64</v>
      </c>
      <c r="B43" s="29">
        <v>0</v>
      </c>
      <c r="C43" s="30">
        <v>0</v>
      </c>
      <c r="D43" s="30">
        <v>0</v>
      </c>
      <c r="E43" s="30">
        <v>0</v>
      </c>
      <c r="F43" s="30">
        <v>0</v>
      </c>
      <c r="G43" s="31">
        <f>SUM(OR_FINANCIAL)</f>
        <v>0</v>
      </c>
      <c r="H43" s="30"/>
      <c r="I43" s="30"/>
      <c r="J43" s="30"/>
      <c r="K43" s="30"/>
      <c r="L43" s="29"/>
      <c r="M43" s="30"/>
      <c r="N43" s="30"/>
      <c r="O43" s="30"/>
      <c r="P43" s="30"/>
      <c r="Q43" s="30"/>
      <c r="R43" s="30"/>
      <c r="S43" s="30"/>
      <c r="T43" s="30"/>
      <c r="U43" s="30"/>
      <c r="V43" s="31"/>
    </row>
    <row r="44" spans="1:22">
      <c r="A44" s="1" t="s">
        <v>65</v>
      </c>
      <c r="B44" s="29">
        <v>0</v>
      </c>
      <c r="C44" s="30">
        <v>0</v>
      </c>
      <c r="D44" s="30">
        <v>0</v>
      </c>
      <c r="E44" s="30">
        <v>0</v>
      </c>
      <c r="F44" s="30">
        <v>0</v>
      </c>
      <c r="G44" s="31">
        <f>SUM(PA_FINANCIAL)</f>
        <v>0</v>
      </c>
      <c r="H44" s="30"/>
      <c r="I44" s="30"/>
      <c r="J44" s="30"/>
      <c r="K44" s="30"/>
      <c r="L44" s="29"/>
      <c r="M44" s="30"/>
      <c r="N44" s="30"/>
      <c r="O44" s="30"/>
      <c r="P44" s="30"/>
      <c r="Q44" s="30"/>
      <c r="R44" s="30"/>
      <c r="S44" s="30"/>
      <c r="T44" s="30"/>
      <c r="U44" s="30"/>
      <c r="V44" s="31"/>
    </row>
    <row r="45" spans="1:22">
      <c r="A45" s="1" t="s">
        <v>66</v>
      </c>
      <c r="B45" s="29">
        <v>0</v>
      </c>
      <c r="C45" s="30">
        <v>0</v>
      </c>
      <c r="D45" s="30">
        <v>0</v>
      </c>
      <c r="E45" s="30">
        <v>0</v>
      </c>
      <c r="F45" s="30">
        <v>0</v>
      </c>
      <c r="G45" s="31">
        <f>SUM(PR_FINANCIAL)</f>
        <v>0</v>
      </c>
      <c r="H45" s="30"/>
      <c r="I45" s="30"/>
      <c r="J45" s="30"/>
      <c r="K45" s="30"/>
      <c r="L45" s="29"/>
      <c r="M45" s="30"/>
      <c r="N45" s="30"/>
      <c r="O45" s="30"/>
      <c r="P45" s="30"/>
      <c r="Q45" s="30"/>
      <c r="R45" s="30"/>
      <c r="S45" s="30"/>
      <c r="T45" s="30"/>
      <c r="U45" s="30"/>
      <c r="V45" s="31"/>
    </row>
    <row r="46" spans="1:22">
      <c r="A46" s="1" t="s">
        <v>67</v>
      </c>
      <c r="B46" s="29">
        <v>0</v>
      </c>
      <c r="C46" s="30">
        <v>0</v>
      </c>
      <c r="D46" s="30">
        <v>0</v>
      </c>
      <c r="E46" s="30">
        <v>0</v>
      </c>
      <c r="F46" s="30">
        <v>0</v>
      </c>
      <c r="G46" s="31">
        <f>SUM(RI_FINANCIAL)</f>
        <v>0</v>
      </c>
      <c r="H46" s="30"/>
      <c r="I46" s="30"/>
      <c r="J46" s="30"/>
      <c r="K46" s="30"/>
      <c r="L46" s="29"/>
      <c r="M46" s="30"/>
      <c r="N46" s="30"/>
      <c r="O46" s="30"/>
      <c r="P46" s="30"/>
      <c r="Q46" s="30"/>
      <c r="R46" s="30"/>
      <c r="S46" s="30"/>
      <c r="T46" s="30"/>
      <c r="U46" s="30"/>
      <c r="V46" s="31"/>
    </row>
    <row r="47" spans="1:22">
      <c r="A47" s="1" t="s">
        <v>68</v>
      </c>
      <c r="B47" s="29">
        <v>0</v>
      </c>
      <c r="C47" s="30">
        <v>0</v>
      </c>
      <c r="D47" s="30">
        <v>0</v>
      </c>
      <c r="E47" s="30">
        <v>0</v>
      </c>
      <c r="F47" s="30">
        <v>0</v>
      </c>
      <c r="G47" s="31">
        <f>SUM(SC_FINANCIAL)</f>
        <v>0</v>
      </c>
      <c r="H47" s="30"/>
      <c r="I47" s="30"/>
      <c r="J47" s="30"/>
      <c r="K47" s="30"/>
      <c r="L47" s="29"/>
      <c r="M47" s="30"/>
      <c r="N47" s="30"/>
      <c r="O47" s="30"/>
      <c r="P47" s="30"/>
      <c r="Q47" s="30"/>
      <c r="R47" s="30"/>
      <c r="S47" s="30"/>
      <c r="T47" s="30"/>
      <c r="U47" s="30"/>
      <c r="V47" s="31"/>
    </row>
    <row r="48" spans="1:22">
      <c r="A48" s="1" t="s">
        <v>69</v>
      </c>
      <c r="B48" s="29">
        <v>0</v>
      </c>
      <c r="C48" s="30">
        <v>0</v>
      </c>
      <c r="D48" s="30">
        <v>0</v>
      </c>
      <c r="E48" s="30">
        <v>0</v>
      </c>
      <c r="F48" s="30">
        <v>0</v>
      </c>
      <c r="G48" s="31">
        <f>SUM(SD_FINANCIAL)</f>
        <v>0</v>
      </c>
      <c r="H48" s="30"/>
      <c r="I48" s="30"/>
      <c r="J48" s="30"/>
      <c r="K48" s="30"/>
      <c r="L48" s="29"/>
      <c r="M48" s="30"/>
      <c r="N48" s="30"/>
      <c r="O48" s="30"/>
      <c r="P48" s="30"/>
      <c r="Q48" s="30"/>
      <c r="R48" s="30"/>
      <c r="S48" s="30"/>
      <c r="T48" s="30"/>
      <c r="U48" s="30"/>
      <c r="V48" s="31"/>
    </row>
    <row r="49" spans="1:22">
      <c r="A49" s="1" t="s">
        <v>70</v>
      </c>
      <c r="B49" s="29">
        <v>0</v>
      </c>
      <c r="C49" s="30">
        <v>0</v>
      </c>
      <c r="D49" s="30">
        <v>0</v>
      </c>
      <c r="E49" s="30">
        <v>0</v>
      </c>
      <c r="F49" s="30">
        <v>0</v>
      </c>
      <c r="G49" s="31">
        <f>SUM(TN_FINANCIAL)</f>
        <v>0</v>
      </c>
      <c r="H49" s="30"/>
      <c r="I49" s="30"/>
      <c r="J49" s="30"/>
      <c r="K49" s="30"/>
      <c r="L49" s="29"/>
      <c r="M49" s="30"/>
      <c r="N49" s="30"/>
      <c r="O49" s="30"/>
      <c r="P49" s="30"/>
      <c r="Q49" s="30"/>
      <c r="R49" s="30"/>
      <c r="S49" s="30"/>
      <c r="T49" s="30"/>
      <c r="U49" s="30"/>
      <c r="V49" s="31"/>
    </row>
    <row r="50" spans="1:22">
      <c r="A50" s="1" t="s">
        <v>71</v>
      </c>
      <c r="B50" s="29">
        <v>738345.16772062343</v>
      </c>
      <c r="C50" s="30">
        <v>2963862.1087250831</v>
      </c>
      <c r="D50" s="30">
        <v>225.97355429443095</v>
      </c>
      <c r="E50" s="30">
        <v>0</v>
      </c>
      <c r="F50" s="30">
        <v>0</v>
      </c>
      <c r="G50" s="31">
        <f>SUM(TX_FINANCIAL)</f>
        <v>3702433.2500000009</v>
      </c>
      <c r="H50" s="30"/>
      <c r="I50" s="30"/>
      <c r="J50" s="30"/>
      <c r="K50" s="30"/>
      <c r="L50" s="29">
        <v>6280667</v>
      </c>
      <c r="M50" s="30">
        <v>2588740.9462700002</v>
      </c>
      <c r="N50" s="30"/>
      <c r="O50" s="30">
        <v>53716</v>
      </c>
      <c r="P50" s="30">
        <v>22192.433730000004</v>
      </c>
      <c r="Q50" s="30"/>
      <c r="R50" s="30">
        <v>0</v>
      </c>
      <c r="S50" s="30">
        <v>0</v>
      </c>
      <c r="T50" s="30"/>
      <c r="U50" s="30">
        <v>0</v>
      </c>
      <c r="V50" s="31">
        <v>0</v>
      </c>
    </row>
    <row r="51" spans="1:22">
      <c r="A51" s="1" t="s">
        <v>72</v>
      </c>
      <c r="B51" s="29">
        <v>1698.4848741687315</v>
      </c>
      <c r="C51" s="30">
        <v>18733.955125831271</v>
      </c>
      <c r="D51" s="30">
        <v>0</v>
      </c>
      <c r="E51" s="30">
        <v>0</v>
      </c>
      <c r="F51" s="30">
        <v>0</v>
      </c>
      <c r="G51" s="31">
        <f>SUM(UT_FINANCIAL)</f>
        <v>20432.440000000002</v>
      </c>
      <c r="H51" s="30"/>
      <c r="I51" s="30"/>
      <c r="J51" s="30"/>
      <c r="K51" s="30"/>
      <c r="L51" s="29">
        <v>8382</v>
      </c>
      <c r="M51" s="30">
        <v>0</v>
      </c>
      <c r="N51" s="30"/>
      <c r="O51" s="30">
        <v>46618</v>
      </c>
      <c r="P51" s="30">
        <v>0</v>
      </c>
      <c r="Q51" s="30"/>
      <c r="R51" s="30">
        <v>0</v>
      </c>
      <c r="S51" s="30">
        <v>0</v>
      </c>
      <c r="T51" s="30"/>
      <c r="U51" s="30">
        <v>0</v>
      </c>
      <c r="V51" s="31">
        <v>0</v>
      </c>
    </row>
    <row r="52" spans="1:22">
      <c r="A52" s="1" t="s">
        <v>73</v>
      </c>
      <c r="B52" s="29">
        <v>0</v>
      </c>
      <c r="C52" s="30">
        <v>0</v>
      </c>
      <c r="D52" s="30">
        <v>0</v>
      </c>
      <c r="E52" s="30">
        <v>0</v>
      </c>
      <c r="F52" s="30">
        <v>0</v>
      </c>
      <c r="G52" s="31">
        <f>SUM(VT_FINANCIAL)</f>
        <v>0</v>
      </c>
      <c r="H52" s="30"/>
      <c r="I52" s="30"/>
      <c r="J52" s="30"/>
      <c r="K52" s="30"/>
      <c r="L52" s="29"/>
      <c r="M52" s="30"/>
      <c r="N52" s="30"/>
      <c r="O52" s="30"/>
      <c r="P52" s="30"/>
      <c r="Q52" s="30"/>
      <c r="R52" s="30"/>
      <c r="S52" s="30"/>
      <c r="T52" s="30"/>
      <c r="U52" s="30"/>
      <c r="V52" s="31"/>
    </row>
    <row r="53" spans="1:22">
      <c r="A53" s="1" t="s">
        <v>74</v>
      </c>
      <c r="B53" s="29">
        <v>0</v>
      </c>
      <c r="C53" s="30">
        <v>0</v>
      </c>
      <c r="D53" s="30">
        <v>0</v>
      </c>
      <c r="E53" s="30">
        <v>0</v>
      </c>
      <c r="F53" s="30">
        <v>0</v>
      </c>
      <c r="G53" s="31">
        <f>SUM(VA_FINANCIAL)</f>
        <v>0</v>
      </c>
      <c r="H53" s="30"/>
      <c r="I53" s="30"/>
      <c r="J53" s="30"/>
      <c r="K53" s="30"/>
      <c r="L53" s="29"/>
      <c r="M53" s="30"/>
      <c r="N53" s="30"/>
      <c r="O53" s="30"/>
      <c r="P53" s="30"/>
      <c r="Q53" s="30"/>
      <c r="R53" s="30"/>
      <c r="S53" s="30"/>
      <c r="T53" s="30"/>
      <c r="U53" s="30"/>
      <c r="V53" s="31"/>
    </row>
    <row r="54" spans="1:22">
      <c r="A54" s="1" t="s">
        <v>75</v>
      </c>
      <c r="B54" s="29">
        <v>0</v>
      </c>
      <c r="C54" s="30">
        <v>0</v>
      </c>
      <c r="D54" s="30">
        <v>0</v>
      </c>
      <c r="E54" s="30">
        <v>0</v>
      </c>
      <c r="F54" s="30">
        <v>0</v>
      </c>
      <c r="G54" s="31">
        <f>SUM(WA_FINANCIAL)</f>
        <v>0</v>
      </c>
      <c r="H54" s="30"/>
      <c r="I54" s="30"/>
      <c r="J54" s="30"/>
      <c r="K54" s="30"/>
      <c r="L54" s="29"/>
      <c r="M54" s="30"/>
      <c r="N54" s="30"/>
      <c r="O54" s="30"/>
      <c r="P54" s="30"/>
      <c r="Q54" s="30"/>
      <c r="R54" s="30"/>
      <c r="S54" s="30"/>
      <c r="T54" s="30"/>
      <c r="U54" s="30"/>
      <c r="V54" s="31"/>
    </row>
    <row r="55" spans="1:22">
      <c r="A55" s="1" t="s">
        <v>76</v>
      </c>
      <c r="B55" s="29">
        <v>0</v>
      </c>
      <c r="C55" s="30">
        <v>0</v>
      </c>
      <c r="D55" s="30">
        <v>0</v>
      </c>
      <c r="E55" s="30">
        <v>0</v>
      </c>
      <c r="F55" s="30">
        <v>0</v>
      </c>
      <c r="G55" s="31">
        <f>SUM(WV_FINANCIAL)</f>
        <v>0</v>
      </c>
      <c r="H55" s="30"/>
      <c r="I55" s="30"/>
      <c r="J55" s="30"/>
      <c r="K55" s="30"/>
      <c r="L55" s="29"/>
      <c r="M55" s="30"/>
      <c r="N55" s="30"/>
      <c r="O55" s="30"/>
      <c r="P55" s="30"/>
      <c r="Q55" s="30"/>
      <c r="R55" s="30"/>
      <c r="S55" s="30"/>
      <c r="T55" s="30"/>
      <c r="U55" s="30"/>
      <c r="V55" s="31"/>
    </row>
    <row r="56" spans="1:22">
      <c r="A56" s="1" t="s">
        <v>77</v>
      </c>
      <c r="B56" s="29">
        <v>0</v>
      </c>
      <c r="C56" s="30">
        <v>0</v>
      </c>
      <c r="D56" s="30">
        <v>0</v>
      </c>
      <c r="E56" s="30">
        <v>0</v>
      </c>
      <c r="F56" s="30">
        <v>0</v>
      </c>
      <c r="G56" s="31">
        <f>SUM(WI_FINANCIAL)</f>
        <v>0</v>
      </c>
      <c r="H56" s="30"/>
      <c r="I56" s="30"/>
      <c r="J56" s="30"/>
      <c r="K56" s="30"/>
      <c r="L56" s="29"/>
      <c r="M56" s="30"/>
      <c r="N56" s="30"/>
      <c r="O56" s="30"/>
      <c r="P56" s="30"/>
      <c r="Q56" s="30"/>
      <c r="R56" s="30"/>
      <c r="S56" s="30"/>
      <c r="T56" s="30"/>
      <c r="U56" s="30"/>
      <c r="V56" s="31"/>
    </row>
    <row r="57" spans="1:22">
      <c r="A57" s="1" t="s">
        <v>78</v>
      </c>
      <c r="B57" s="29">
        <v>0</v>
      </c>
      <c r="C57" s="30">
        <v>0</v>
      </c>
      <c r="D57" s="30">
        <v>0</v>
      </c>
      <c r="E57" s="30">
        <v>0</v>
      </c>
      <c r="F57" s="30">
        <v>0</v>
      </c>
      <c r="G57" s="31">
        <f>SUM(WY_FINANCIAL)</f>
        <v>0</v>
      </c>
      <c r="H57" s="30"/>
      <c r="I57" s="30"/>
      <c r="J57" s="30"/>
      <c r="K57" s="30"/>
      <c r="L57" s="29"/>
      <c r="M57" s="30"/>
      <c r="N57" s="30"/>
      <c r="O57" s="30"/>
      <c r="P57" s="30"/>
      <c r="Q57" s="30"/>
      <c r="R57" s="30"/>
      <c r="S57" s="30"/>
      <c r="T57" s="30"/>
      <c r="U57" s="30"/>
      <c r="V57" s="31"/>
    </row>
    <row r="58" spans="1:22">
      <c r="A58" s="1" t="s">
        <v>79</v>
      </c>
      <c r="B58" s="29">
        <v>0</v>
      </c>
      <c r="C58" s="30">
        <v>0</v>
      </c>
      <c r="D58" s="30">
        <v>0</v>
      </c>
      <c r="E58" s="30">
        <v>0</v>
      </c>
      <c r="F58" s="30">
        <v>0</v>
      </c>
      <c r="G58" s="31">
        <f>SUM(OT_FINANCIAL)</f>
        <v>0</v>
      </c>
      <c r="H58" s="30"/>
      <c r="I58" s="30"/>
      <c r="J58" s="30"/>
      <c r="K58" s="30"/>
      <c r="L58" s="29"/>
      <c r="M58" s="30"/>
      <c r="N58" s="30"/>
      <c r="O58" s="30"/>
      <c r="P58" s="30"/>
      <c r="Q58" s="30"/>
      <c r="R58" s="30"/>
      <c r="S58" s="30"/>
      <c r="T58" s="30"/>
      <c r="U58" s="30"/>
      <c r="V58" s="31"/>
    </row>
    <row r="59" spans="1:22">
      <c r="B59" s="29"/>
      <c r="C59" s="30"/>
      <c r="D59" s="30"/>
      <c r="E59" s="30"/>
      <c r="F59" s="30"/>
      <c r="G59" s="31"/>
      <c r="H59" s="30"/>
      <c r="I59" s="30"/>
      <c r="J59" s="30"/>
      <c r="K59" s="30"/>
      <c r="L59" s="29"/>
      <c r="M59" s="30"/>
      <c r="N59" s="30"/>
      <c r="O59" s="30"/>
      <c r="P59" s="30"/>
      <c r="Q59" s="30"/>
      <c r="R59" s="30"/>
      <c r="S59" s="30"/>
      <c r="T59" s="30"/>
      <c r="U59" s="30"/>
      <c r="V59" s="31"/>
    </row>
    <row r="60" spans="1:22">
      <c r="A60" s="1" t="s">
        <v>8</v>
      </c>
      <c r="B60" s="29">
        <f>SUM(LIFE)</f>
        <v>3344192.9688403099</v>
      </c>
      <c r="C60" s="30">
        <f>SUM(ALLOCATED)</f>
        <v>10066575.645620819</v>
      </c>
      <c r="D60" s="30">
        <f>SUM(HEALTH)</f>
        <v>4151.474452420307</v>
      </c>
      <c r="E60" s="30">
        <f>SUM(UNALLOCATED)</f>
        <v>0</v>
      </c>
      <c r="F60" s="30">
        <f>SUM(LTC)</f>
        <v>0</v>
      </c>
      <c r="G60" s="31">
        <f>SUM(ALL_BLOCKS)</f>
        <v>13414920.088913547</v>
      </c>
      <c r="H60" s="30"/>
      <c r="I60" s="30"/>
      <c r="J60" s="30"/>
      <c r="K60" s="30"/>
      <c r="L60" s="29">
        <f>SUM(LIFE_CALLED)</f>
        <v>12164294</v>
      </c>
      <c r="M60" s="30">
        <f>SUM(LIFE_REFUNDED)</f>
        <v>4473210.9462700002</v>
      </c>
      <c r="N60" s="30"/>
      <c r="O60" s="30">
        <f>SUM(ALLOC_CALLED)</f>
        <v>9814075</v>
      </c>
      <c r="P60" s="30">
        <f>SUM(ALLOC_REFUNDED)</f>
        <v>1493192.4337299999</v>
      </c>
      <c r="Q60" s="30"/>
      <c r="R60" s="30">
        <f>SUM(HEALTH_CALLED)</f>
        <v>81022</v>
      </c>
      <c r="S60" s="30">
        <f>SUM(HEALTH_REFUNDED)</f>
        <v>100117</v>
      </c>
      <c r="T60" s="30"/>
      <c r="U60" s="30">
        <f>SUM(UNALLOC_CALLED)</f>
        <v>0</v>
      </c>
      <c r="V60" s="31">
        <f>SUM(UNALLOC_REFUNDED)</f>
        <v>0</v>
      </c>
    </row>
    <row r="61" spans="1:22" ht="5.0999999999999996" customHeight="1">
      <c r="B61" s="8"/>
      <c r="G61" s="11"/>
      <c r="L61" s="8"/>
      <c r="V61" s="11"/>
    </row>
    <row r="62" spans="1:22">
      <c r="B62" s="8"/>
      <c r="G62" s="11"/>
      <c r="L62" s="122" t="s">
        <v>80</v>
      </c>
      <c r="M62" s="123"/>
      <c r="N62" s="123"/>
      <c r="O62" s="123"/>
      <c r="P62" s="123"/>
      <c r="Q62" s="123"/>
      <c r="R62" s="123"/>
      <c r="S62" s="123"/>
      <c r="T62" s="123"/>
      <c r="U62" s="123"/>
      <c r="V62" s="124"/>
    </row>
    <row r="63" spans="1:22">
      <c r="B63" s="8"/>
      <c r="G63" s="11"/>
      <c r="L63" s="125"/>
      <c r="M63" s="123"/>
      <c r="N63" s="123"/>
      <c r="O63" s="123"/>
      <c r="P63" s="123"/>
      <c r="Q63" s="123"/>
      <c r="R63" s="123"/>
      <c r="S63" s="123"/>
      <c r="T63" s="123"/>
      <c r="U63" s="123"/>
      <c r="V63" s="124"/>
    </row>
    <row r="64" spans="1:22">
      <c r="B64" s="10"/>
      <c r="C64" s="7"/>
      <c r="D64" s="7"/>
      <c r="E64" s="7"/>
      <c r="F64" s="7"/>
      <c r="G64" s="13"/>
      <c r="L64" s="126"/>
      <c r="M64" s="127"/>
      <c r="N64" s="127"/>
      <c r="O64" s="127"/>
      <c r="P64" s="127"/>
      <c r="Q64" s="127"/>
      <c r="R64" s="127"/>
      <c r="S64" s="127"/>
      <c r="T64" s="127"/>
      <c r="U64" s="127"/>
      <c r="V64" s="128"/>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pageSetUpPr fitToPage="1"/>
  </sheetPr>
  <dimension ref="A1:V64"/>
  <sheetViews>
    <sheetView zoomScale="75" workbookViewId="0">
      <selection sqref="A1:XFD1048576"/>
    </sheetView>
  </sheetViews>
  <sheetFormatPr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129" t="s">
        <v>166</v>
      </c>
      <c r="B1" s="123"/>
      <c r="C1" s="123"/>
      <c r="D1" s="123"/>
      <c r="E1" s="123"/>
      <c r="F1" s="123"/>
      <c r="G1" s="123"/>
    </row>
    <row r="3" spans="1:22">
      <c r="B3" s="130" t="s">
        <v>1</v>
      </c>
      <c r="C3" s="131"/>
      <c r="D3" s="131"/>
      <c r="E3" s="131"/>
      <c r="F3" s="131"/>
      <c r="G3" s="132"/>
      <c r="L3" s="133" t="s">
        <v>2</v>
      </c>
      <c r="M3" s="134"/>
      <c r="N3" s="134"/>
      <c r="O3" s="134"/>
      <c r="P3" s="134"/>
      <c r="Q3" s="134"/>
      <c r="R3" s="134"/>
      <c r="S3" s="134"/>
      <c r="T3" s="134"/>
      <c r="U3" s="134"/>
      <c r="V3" s="135"/>
    </row>
    <row r="4" spans="1:22">
      <c r="B4" s="8"/>
      <c r="G4" s="11"/>
      <c r="L4" s="136" t="s">
        <v>3</v>
      </c>
      <c r="M4" s="137"/>
      <c r="N4" s="4"/>
      <c r="O4" s="138" t="s">
        <v>4</v>
      </c>
      <c r="P4" s="137"/>
      <c r="Q4" s="4"/>
      <c r="R4" s="138" t="s">
        <v>5</v>
      </c>
      <c r="S4" s="137"/>
      <c r="T4" s="4"/>
      <c r="U4" s="138" t="s">
        <v>6</v>
      </c>
      <c r="V4" s="139"/>
    </row>
    <row r="5" spans="1:22" ht="60" customHeight="1">
      <c r="B5" s="9" t="s">
        <v>3</v>
      </c>
      <c r="C5" s="5" t="s">
        <v>4</v>
      </c>
      <c r="D5" s="5" t="s">
        <v>5</v>
      </c>
      <c r="E5" s="5" t="s">
        <v>6</v>
      </c>
      <c r="F5" s="5" t="s">
        <v>7</v>
      </c>
      <c r="G5" s="12" t="s">
        <v>8</v>
      </c>
      <c r="L5" s="15" t="s">
        <v>9</v>
      </c>
      <c r="M5" s="14" t="s">
        <v>10</v>
      </c>
      <c r="N5" s="14"/>
      <c r="O5" s="14" t="s">
        <v>9</v>
      </c>
      <c r="P5" s="14" t="s">
        <v>10</v>
      </c>
      <c r="Q5" s="14"/>
      <c r="R5" s="14" t="s">
        <v>9</v>
      </c>
      <c r="S5" s="14" t="s">
        <v>10</v>
      </c>
      <c r="T5" s="14"/>
      <c r="U5" s="14" t="s">
        <v>9</v>
      </c>
      <c r="V5" s="16" t="s">
        <v>10</v>
      </c>
    </row>
    <row r="6" spans="1:22">
      <c r="A6" s="1" t="s">
        <v>11</v>
      </c>
      <c r="B6" s="29">
        <v>0</v>
      </c>
      <c r="C6" s="30">
        <v>0</v>
      </c>
      <c r="D6" s="30">
        <v>0</v>
      </c>
      <c r="E6" s="30">
        <v>0</v>
      </c>
      <c r="F6" s="30">
        <v>0</v>
      </c>
      <c r="G6" s="31">
        <f>SUM(AL_FINANCIAL)</f>
        <v>0</v>
      </c>
      <c r="H6" s="30"/>
      <c r="I6" s="30"/>
      <c r="J6" s="30"/>
      <c r="K6" s="30"/>
      <c r="L6" s="29"/>
      <c r="M6" s="30"/>
      <c r="N6" s="30"/>
      <c r="O6" s="30"/>
      <c r="P6" s="30"/>
      <c r="Q6" s="30"/>
      <c r="R6" s="30"/>
      <c r="S6" s="30"/>
      <c r="T6" s="30"/>
      <c r="U6" s="30"/>
      <c r="V6" s="31"/>
    </row>
    <row r="7" spans="1:22">
      <c r="A7" s="1" t="s">
        <v>12</v>
      </c>
      <c r="B7" s="29">
        <v>0</v>
      </c>
      <c r="C7" s="30">
        <v>0</v>
      </c>
      <c r="D7" s="30">
        <v>0</v>
      </c>
      <c r="E7" s="30">
        <v>0</v>
      </c>
      <c r="F7" s="30">
        <v>0</v>
      </c>
      <c r="G7" s="31">
        <f>SUM(AK_FINANCIAL)</f>
        <v>0</v>
      </c>
      <c r="H7" s="30"/>
      <c r="I7" s="32"/>
      <c r="J7" s="33"/>
      <c r="K7" s="30"/>
      <c r="L7" s="29"/>
      <c r="M7" s="30"/>
      <c r="N7" s="30"/>
      <c r="O7" s="30"/>
      <c r="P7" s="30"/>
      <c r="Q7" s="30"/>
      <c r="R7" s="30"/>
      <c r="S7" s="30"/>
      <c r="T7" s="30"/>
      <c r="U7" s="30"/>
      <c r="V7" s="31"/>
    </row>
    <row r="8" spans="1:22">
      <c r="A8" s="1" t="s">
        <v>13</v>
      </c>
      <c r="B8" s="29">
        <v>928.55306082589289</v>
      </c>
      <c r="C8" s="30">
        <v>0</v>
      </c>
      <c r="D8" s="30">
        <v>0</v>
      </c>
      <c r="E8" s="30">
        <v>0</v>
      </c>
      <c r="F8" s="30">
        <v>0</v>
      </c>
      <c r="G8" s="31">
        <f>SUM(AZ_FINANCIAL)</f>
        <v>928.55306082589289</v>
      </c>
      <c r="H8" s="30"/>
      <c r="I8" s="34" t="s">
        <v>14</v>
      </c>
      <c r="J8" s="35"/>
      <c r="K8" s="30"/>
      <c r="L8" s="29"/>
      <c r="M8" s="30"/>
      <c r="N8" s="30"/>
      <c r="O8" s="30"/>
      <c r="P8" s="30"/>
      <c r="Q8" s="30"/>
      <c r="R8" s="30"/>
      <c r="S8" s="30"/>
      <c r="T8" s="30"/>
      <c r="U8" s="30"/>
      <c r="V8" s="31"/>
    </row>
    <row r="9" spans="1:22">
      <c r="A9" s="1" t="s">
        <v>15</v>
      </c>
      <c r="B9" s="29">
        <v>0</v>
      </c>
      <c r="C9" s="30">
        <v>0</v>
      </c>
      <c r="D9" s="30">
        <v>0</v>
      </c>
      <c r="E9" s="30">
        <v>0</v>
      </c>
      <c r="F9" s="30">
        <v>0</v>
      </c>
      <c r="G9" s="31">
        <f>SUM(AR_FINANCIAL)</f>
        <v>0</v>
      </c>
      <c r="H9" s="30"/>
      <c r="I9" s="34"/>
      <c r="J9" s="35"/>
      <c r="K9" s="30"/>
      <c r="L9" s="29"/>
      <c r="M9" s="30"/>
      <c r="N9" s="30"/>
      <c r="O9" s="30"/>
      <c r="P9" s="30"/>
      <c r="Q9" s="30"/>
      <c r="R9" s="30"/>
      <c r="S9" s="30"/>
      <c r="T9" s="30"/>
      <c r="U9" s="30"/>
      <c r="V9" s="31"/>
    </row>
    <row r="10" spans="1:22">
      <c r="A10" s="1" t="s">
        <v>16</v>
      </c>
      <c r="B10" s="29">
        <v>0</v>
      </c>
      <c r="C10" s="30">
        <v>0</v>
      </c>
      <c r="D10" s="30">
        <v>0</v>
      </c>
      <c r="E10" s="30">
        <v>0</v>
      </c>
      <c r="F10" s="30">
        <v>0</v>
      </c>
      <c r="G10" s="31">
        <f>SUM(CA_FINANCIAL)</f>
        <v>0</v>
      </c>
      <c r="H10" s="30"/>
      <c r="I10" s="34" t="s">
        <v>17</v>
      </c>
      <c r="J10" s="35">
        <v>0</v>
      </c>
      <c r="K10" s="30"/>
      <c r="L10" s="29"/>
      <c r="M10" s="30"/>
      <c r="N10" s="30"/>
      <c r="O10" s="30"/>
      <c r="P10" s="30"/>
      <c r="Q10" s="30"/>
      <c r="R10" s="30"/>
      <c r="S10" s="30"/>
      <c r="T10" s="30"/>
      <c r="U10" s="30"/>
      <c r="V10" s="31"/>
    </row>
    <row r="11" spans="1:22">
      <c r="A11" s="1" t="s">
        <v>18</v>
      </c>
      <c r="B11" s="29">
        <v>0</v>
      </c>
      <c r="C11" s="30">
        <v>0</v>
      </c>
      <c r="D11" s="30">
        <v>0</v>
      </c>
      <c r="E11" s="30">
        <v>0</v>
      </c>
      <c r="F11" s="30">
        <v>0</v>
      </c>
      <c r="G11" s="31">
        <f>SUM(CO_FINANCIAL)</f>
        <v>0</v>
      </c>
      <c r="H11" s="30"/>
      <c r="I11" s="34"/>
      <c r="J11" s="35"/>
      <c r="K11" s="30"/>
      <c r="L11" s="29"/>
      <c r="M11" s="30"/>
      <c r="N11" s="30"/>
      <c r="O11" s="30"/>
      <c r="P11" s="30"/>
      <c r="Q11" s="30"/>
      <c r="R11" s="30"/>
      <c r="S11" s="30"/>
      <c r="T11" s="30"/>
      <c r="U11" s="30"/>
      <c r="V11" s="31"/>
    </row>
    <row r="12" spans="1:22">
      <c r="A12" s="1" t="s">
        <v>19</v>
      </c>
      <c r="B12" s="29">
        <v>0</v>
      </c>
      <c r="C12" s="30">
        <v>0</v>
      </c>
      <c r="D12" s="30">
        <v>0</v>
      </c>
      <c r="E12" s="30">
        <v>0</v>
      </c>
      <c r="F12" s="30">
        <v>0</v>
      </c>
      <c r="G12" s="31">
        <f>SUM(CT_FINANCIAL)</f>
        <v>0</v>
      </c>
      <c r="H12" s="30"/>
      <c r="I12" s="34" t="s">
        <v>20</v>
      </c>
      <c r="J12" s="35"/>
      <c r="K12" s="30"/>
      <c r="L12" s="29"/>
      <c r="M12" s="30"/>
      <c r="N12" s="30"/>
      <c r="O12" s="30"/>
      <c r="P12" s="30"/>
      <c r="Q12" s="30"/>
      <c r="R12" s="30"/>
      <c r="S12" s="30"/>
      <c r="T12" s="30"/>
      <c r="U12" s="30"/>
      <c r="V12" s="31"/>
    </row>
    <row r="13" spans="1:22">
      <c r="A13" s="1" t="s">
        <v>21</v>
      </c>
      <c r="B13" s="29">
        <v>0</v>
      </c>
      <c r="C13" s="30">
        <v>0</v>
      </c>
      <c r="D13" s="30">
        <v>0</v>
      </c>
      <c r="E13" s="30">
        <v>0</v>
      </c>
      <c r="F13" s="30">
        <v>0</v>
      </c>
      <c r="G13" s="31">
        <f>SUM(DE_FINANCIAL)</f>
        <v>0</v>
      </c>
      <c r="H13" s="30"/>
      <c r="I13" s="34" t="s">
        <v>22</v>
      </c>
      <c r="J13" s="35">
        <v>0</v>
      </c>
      <c r="K13" s="30"/>
      <c r="L13" s="29"/>
      <c r="M13" s="30"/>
      <c r="N13" s="30"/>
      <c r="O13" s="30"/>
      <c r="P13" s="30"/>
      <c r="Q13" s="30"/>
      <c r="R13" s="30"/>
      <c r="S13" s="30"/>
      <c r="T13" s="30"/>
      <c r="U13" s="30"/>
      <c r="V13" s="31"/>
    </row>
    <row r="14" spans="1:22">
      <c r="A14" s="1" t="s">
        <v>23</v>
      </c>
      <c r="B14" s="29">
        <v>0</v>
      </c>
      <c r="C14" s="30">
        <v>0</v>
      </c>
      <c r="D14" s="30">
        <v>0</v>
      </c>
      <c r="E14" s="30">
        <v>0</v>
      </c>
      <c r="F14" s="30">
        <v>0</v>
      </c>
      <c r="G14" s="31">
        <f>SUM(DC_FINANCIAL)</f>
        <v>0</v>
      </c>
      <c r="H14" s="30"/>
      <c r="I14" s="34" t="s">
        <v>24</v>
      </c>
      <c r="J14" s="35">
        <v>0</v>
      </c>
      <c r="K14" s="30"/>
      <c r="L14" s="29"/>
      <c r="M14" s="30"/>
      <c r="N14" s="30"/>
      <c r="O14" s="30"/>
      <c r="P14" s="30"/>
      <c r="Q14" s="30"/>
      <c r="R14" s="30"/>
      <c r="S14" s="30"/>
      <c r="T14" s="30"/>
      <c r="U14" s="30"/>
      <c r="V14" s="31"/>
    </row>
    <row r="15" spans="1:22">
      <c r="A15" s="1" t="s">
        <v>25</v>
      </c>
      <c r="B15" s="29">
        <v>0</v>
      </c>
      <c r="C15" s="30">
        <v>0</v>
      </c>
      <c r="D15" s="30">
        <v>0</v>
      </c>
      <c r="E15" s="30">
        <v>0</v>
      </c>
      <c r="F15" s="30">
        <v>0</v>
      </c>
      <c r="G15" s="31">
        <f>SUM(FL_FINANCIAL)</f>
        <v>0</v>
      </c>
      <c r="H15" s="30"/>
      <c r="I15" s="34" t="s">
        <v>26</v>
      </c>
      <c r="J15" s="35">
        <v>40667.22</v>
      </c>
      <c r="K15" s="30"/>
      <c r="L15" s="29"/>
      <c r="M15" s="30"/>
      <c r="N15" s="30"/>
      <c r="O15" s="30"/>
      <c r="P15" s="30"/>
      <c r="Q15" s="30"/>
      <c r="R15" s="30"/>
      <c r="S15" s="30"/>
      <c r="T15" s="30"/>
      <c r="U15" s="30"/>
      <c r="V15" s="31"/>
    </row>
    <row r="16" spans="1:22">
      <c r="A16" s="1" t="s">
        <v>27</v>
      </c>
      <c r="B16" s="29">
        <v>0</v>
      </c>
      <c r="C16" s="30">
        <v>0</v>
      </c>
      <c r="D16" s="30">
        <v>0</v>
      </c>
      <c r="E16" s="30">
        <v>0</v>
      </c>
      <c r="F16" s="30">
        <v>0</v>
      </c>
      <c r="G16" s="31">
        <f>SUM(GA_FINANCIAL)</f>
        <v>0</v>
      </c>
      <c r="H16" s="30"/>
      <c r="I16" s="34" t="s">
        <v>28</v>
      </c>
      <c r="J16" s="35">
        <v>0</v>
      </c>
      <c r="K16" s="30"/>
      <c r="L16" s="29"/>
      <c r="M16" s="30"/>
      <c r="N16" s="30"/>
      <c r="O16" s="30"/>
      <c r="P16" s="30"/>
      <c r="Q16" s="30"/>
      <c r="R16" s="30"/>
      <c r="S16" s="30"/>
      <c r="T16" s="30"/>
      <c r="U16" s="30"/>
      <c r="V16" s="31"/>
    </row>
    <row r="17" spans="1:22">
      <c r="A17" s="1" t="s">
        <v>29</v>
      </c>
      <c r="B17" s="29">
        <v>0</v>
      </c>
      <c r="C17" s="30">
        <v>0</v>
      </c>
      <c r="D17" s="30">
        <v>0</v>
      </c>
      <c r="E17" s="30">
        <v>0</v>
      </c>
      <c r="F17" s="30">
        <v>0</v>
      </c>
      <c r="G17" s="31">
        <f>SUM(HI_FINANCIAL)</f>
        <v>0</v>
      </c>
      <c r="H17" s="30"/>
      <c r="I17" s="34"/>
      <c r="J17" s="35"/>
      <c r="K17" s="30"/>
      <c r="L17" s="29"/>
      <c r="M17" s="30"/>
      <c r="N17" s="30"/>
      <c r="O17" s="30"/>
      <c r="P17" s="30"/>
      <c r="Q17" s="30"/>
      <c r="R17" s="30"/>
      <c r="S17" s="30"/>
      <c r="T17" s="30"/>
      <c r="U17" s="30"/>
      <c r="V17" s="31"/>
    </row>
    <row r="18" spans="1:22">
      <c r="A18" s="1" t="s">
        <v>30</v>
      </c>
      <c r="B18" s="29">
        <v>0</v>
      </c>
      <c r="C18" s="30">
        <v>0</v>
      </c>
      <c r="D18" s="30">
        <v>0</v>
      </c>
      <c r="E18" s="30">
        <v>0</v>
      </c>
      <c r="F18" s="30">
        <v>0</v>
      </c>
      <c r="G18" s="31">
        <f>SUM(ID_FINANCIAL)</f>
        <v>0</v>
      </c>
      <c r="H18" s="30"/>
      <c r="I18" s="34" t="s">
        <v>31</v>
      </c>
      <c r="J18" s="35"/>
      <c r="K18" s="30"/>
      <c r="L18" s="29"/>
      <c r="M18" s="30"/>
      <c r="N18" s="30"/>
      <c r="O18" s="30"/>
      <c r="P18" s="30"/>
      <c r="Q18" s="30"/>
      <c r="R18" s="30"/>
      <c r="S18" s="30"/>
      <c r="T18" s="30"/>
      <c r="U18" s="30"/>
      <c r="V18" s="31"/>
    </row>
    <row r="19" spans="1:22">
      <c r="A19" s="1" t="s">
        <v>32</v>
      </c>
      <c r="B19" s="29">
        <v>0</v>
      </c>
      <c r="C19" s="30">
        <v>0</v>
      </c>
      <c r="D19" s="30">
        <v>0</v>
      </c>
      <c r="E19" s="30">
        <v>0</v>
      </c>
      <c r="F19" s="30">
        <v>0</v>
      </c>
      <c r="G19" s="31">
        <f>SUM(IL_FINANCIAL)</f>
        <v>0</v>
      </c>
      <c r="H19" s="30"/>
      <c r="I19" s="34" t="s">
        <v>33</v>
      </c>
      <c r="J19" s="35">
        <v>0</v>
      </c>
      <c r="K19" s="30"/>
      <c r="L19" s="29"/>
      <c r="M19" s="30"/>
      <c r="N19" s="30"/>
      <c r="O19" s="30"/>
      <c r="P19" s="30"/>
      <c r="Q19" s="30"/>
      <c r="R19" s="30"/>
      <c r="S19" s="30"/>
      <c r="T19" s="30"/>
      <c r="U19" s="30"/>
      <c r="V19" s="31"/>
    </row>
    <row r="20" spans="1:22">
      <c r="A20" s="1" t="s">
        <v>34</v>
      </c>
      <c r="B20" s="29">
        <v>0</v>
      </c>
      <c r="C20" s="30">
        <v>0</v>
      </c>
      <c r="D20" s="30">
        <v>0</v>
      </c>
      <c r="E20" s="30">
        <v>0</v>
      </c>
      <c r="F20" s="30">
        <v>0</v>
      </c>
      <c r="G20" s="31">
        <f>SUM(IN_FINANCIAL)</f>
        <v>0</v>
      </c>
      <c r="H20" s="30"/>
      <c r="I20" s="34" t="s">
        <v>35</v>
      </c>
      <c r="J20" s="35">
        <v>0</v>
      </c>
      <c r="K20" s="30"/>
      <c r="L20" s="29"/>
      <c r="M20" s="30"/>
      <c r="N20" s="30"/>
      <c r="O20" s="30"/>
      <c r="P20" s="30"/>
      <c r="Q20" s="30"/>
      <c r="R20" s="30"/>
      <c r="S20" s="30"/>
      <c r="T20" s="30"/>
      <c r="U20" s="30"/>
      <c r="V20" s="31"/>
    </row>
    <row r="21" spans="1:22">
      <c r="A21" s="1" t="s">
        <v>36</v>
      </c>
      <c r="B21" s="29">
        <v>35.931788504464286</v>
      </c>
      <c r="C21" s="30">
        <v>0</v>
      </c>
      <c r="D21" s="30">
        <v>0</v>
      </c>
      <c r="E21" s="30">
        <v>0</v>
      </c>
      <c r="F21" s="30">
        <v>0</v>
      </c>
      <c r="G21" s="31">
        <f>SUM(IA_FINANCIAL)</f>
        <v>35.931788504464286</v>
      </c>
      <c r="H21" s="30"/>
      <c r="I21" s="34" t="s">
        <v>37</v>
      </c>
      <c r="J21" s="35"/>
      <c r="K21" s="30"/>
      <c r="L21" s="29"/>
      <c r="M21" s="30"/>
      <c r="N21" s="30"/>
      <c r="O21" s="30"/>
      <c r="P21" s="30"/>
      <c r="Q21" s="30"/>
      <c r="R21" s="30"/>
      <c r="S21" s="30"/>
      <c r="T21" s="30"/>
      <c r="U21" s="30"/>
      <c r="V21" s="31"/>
    </row>
    <row r="22" spans="1:22">
      <c r="A22" s="1" t="s">
        <v>38</v>
      </c>
      <c r="B22" s="29">
        <v>0</v>
      </c>
      <c r="C22" s="30">
        <v>0</v>
      </c>
      <c r="D22" s="30">
        <v>0</v>
      </c>
      <c r="E22" s="30">
        <v>0</v>
      </c>
      <c r="F22" s="30">
        <v>0</v>
      </c>
      <c r="G22" s="31">
        <f>SUM(KS_FINANCIAL)</f>
        <v>0</v>
      </c>
      <c r="H22" s="30"/>
      <c r="I22" s="34" t="s">
        <v>39</v>
      </c>
      <c r="J22" s="35">
        <v>0</v>
      </c>
      <c r="K22" s="30"/>
      <c r="L22" s="29"/>
      <c r="M22" s="30"/>
      <c r="N22" s="30"/>
      <c r="O22" s="30"/>
      <c r="P22" s="30"/>
      <c r="Q22" s="30"/>
      <c r="R22" s="30"/>
      <c r="S22" s="30"/>
      <c r="T22" s="30"/>
      <c r="U22" s="30"/>
      <c r="V22" s="31"/>
    </row>
    <row r="23" spans="1:22">
      <c r="A23" s="1" t="s">
        <v>40</v>
      </c>
      <c r="B23" s="29">
        <v>0</v>
      </c>
      <c r="C23" s="30">
        <v>0</v>
      </c>
      <c r="D23" s="30">
        <v>0</v>
      </c>
      <c r="E23" s="30">
        <v>0</v>
      </c>
      <c r="F23" s="30">
        <v>0</v>
      </c>
      <c r="G23" s="31">
        <f>SUM(KY_FINANCIAL)</f>
        <v>0</v>
      </c>
      <c r="H23" s="30"/>
      <c r="I23" s="34" t="s">
        <v>41</v>
      </c>
      <c r="J23" s="35"/>
      <c r="K23" s="30"/>
      <c r="L23" s="29"/>
      <c r="M23" s="30"/>
      <c r="N23" s="30"/>
      <c r="O23" s="30"/>
      <c r="P23" s="30"/>
      <c r="Q23" s="30"/>
      <c r="R23" s="30"/>
      <c r="S23" s="30"/>
      <c r="T23" s="30"/>
      <c r="U23" s="30"/>
      <c r="V23" s="31"/>
    </row>
    <row r="24" spans="1:22">
      <c r="A24" s="1" t="s">
        <v>42</v>
      </c>
      <c r="B24" s="29">
        <v>347.97100446428578</v>
      </c>
      <c r="C24" s="30">
        <v>0</v>
      </c>
      <c r="D24" s="30">
        <v>0</v>
      </c>
      <c r="E24" s="30">
        <v>0</v>
      </c>
      <c r="F24" s="30">
        <v>0</v>
      </c>
      <c r="G24" s="31">
        <f>SUM(LA_FINANCIAL)</f>
        <v>347.97100446428578</v>
      </c>
      <c r="H24" s="30"/>
      <c r="I24" s="34" t="s">
        <v>43</v>
      </c>
      <c r="J24" s="35">
        <v>0</v>
      </c>
      <c r="K24" s="30"/>
      <c r="L24" s="29"/>
      <c r="M24" s="30"/>
      <c r="N24" s="30"/>
      <c r="O24" s="30"/>
      <c r="P24" s="30"/>
      <c r="Q24" s="30"/>
      <c r="R24" s="30"/>
      <c r="S24" s="30"/>
      <c r="T24" s="30"/>
      <c r="U24" s="30"/>
      <c r="V24" s="31"/>
    </row>
    <row r="25" spans="1:22">
      <c r="A25" s="1" t="s">
        <v>44</v>
      </c>
      <c r="B25" s="29">
        <v>0</v>
      </c>
      <c r="C25" s="30">
        <v>0</v>
      </c>
      <c r="D25" s="30">
        <v>0</v>
      </c>
      <c r="E25" s="30">
        <v>0</v>
      </c>
      <c r="F25" s="30">
        <v>0</v>
      </c>
      <c r="G25" s="31">
        <f>SUM(ME_FINANCIAL)</f>
        <v>0</v>
      </c>
      <c r="H25" s="30"/>
      <c r="I25" s="34"/>
      <c r="J25" s="35"/>
      <c r="K25" s="30"/>
      <c r="L25" s="29"/>
      <c r="M25" s="30"/>
      <c r="N25" s="30"/>
      <c r="O25" s="30"/>
      <c r="P25" s="30"/>
      <c r="Q25" s="30"/>
      <c r="R25" s="30"/>
      <c r="S25" s="30"/>
      <c r="T25" s="30"/>
      <c r="U25" s="30"/>
      <c r="V25" s="31"/>
    </row>
    <row r="26" spans="1:22">
      <c r="A26" s="1" t="s">
        <v>45</v>
      </c>
      <c r="B26" s="29">
        <v>0</v>
      </c>
      <c r="C26" s="30">
        <v>0</v>
      </c>
      <c r="D26" s="30">
        <v>0</v>
      </c>
      <c r="E26" s="30">
        <v>0</v>
      </c>
      <c r="F26" s="30">
        <v>0</v>
      </c>
      <c r="G26" s="31">
        <f>SUM(MD_FINANCIAL)</f>
        <v>0</v>
      </c>
      <c r="H26" s="30"/>
      <c r="I26" s="34" t="s">
        <v>46</v>
      </c>
      <c r="J26" s="35">
        <f>SUM(ADD_FINANCIAL)-SUM(LESS_FINANCIAL)</f>
        <v>40667.22</v>
      </c>
      <c r="K26" s="30"/>
      <c r="L26" s="29"/>
      <c r="M26" s="30"/>
      <c r="N26" s="30"/>
      <c r="O26" s="30"/>
      <c r="P26" s="30"/>
      <c r="Q26" s="30"/>
      <c r="R26" s="30"/>
      <c r="S26" s="30"/>
      <c r="T26" s="30"/>
      <c r="U26" s="30"/>
      <c r="V26" s="31"/>
    </row>
    <row r="27" spans="1:22">
      <c r="A27" s="1" t="s">
        <v>47</v>
      </c>
      <c r="B27" s="29">
        <v>0</v>
      </c>
      <c r="C27" s="30">
        <v>0</v>
      </c>
      <c r="D27" s="30">
        <v>0</v>
      </c>
      <c r="E27" s="30">
        <v>0</v>
      </c>
      <c r="F27" s="30">
        <v>0</v>
      </c>
      <c r="G27" s="31">
        <f>SUM(MA_FINANCIAL)</f>
        <v>0</v>
      </c>
      <c r="H27" s="30"/>
      <c r="I27" s="34" t="s">
        <v>48</v>
      </c>
      <c r="J27" s="35">
        <f>SUM(ALL_BLOCKS)</f>
        <v>40667.220000000008</v>
      </c>
      <c r="K27" s="30"/>
      <c r="L27" s="29"/>
      <c r="M27" s="30"/>
      <c r="N27" s="30"/>
      <c r="O27" s="30"/>
      <c r="P27" s="30"/>
      <c r="Q27" s="30"/>
      <c r="R27" s="30"/>
      <c r="S27" s="30"/>
      <c r="T27" s="30"/>
      <c r="U27" s="30"/>
      <c r="V27" s="31"/>
    </row>
    <row r="28" spans="1:22">
      <c r="A28" s="1" t="s">
        <v>49</v>
      </c>
      <c r="B28" s="29">
        <v>0</v>
      </c>
      <c r="C28" s="30">
        <v>0</v>
      </c>
      <c r="D28" s="30">
        <v>0</v>
      </c>
      <c r="E28" s="30">
        <v>0</v>
      </c>
      <c r="F28" s="30">
        <v>0</v>
      </c>
      <c r="G28" s="31">
        <f>SUM(MI_FINANCIAL)</f>
        <v>0</v>
      </c>
      <c r="H28" s="30"/>
      <c r="I28" s="36"/>
      <c r="J28" s="37"/>
      <c r="K28" s="30"/>
      <c r="L28" s="29"/>
      <c r="M28" s="30"/>
      <c r="N28" s="30"/>
      <c r="O28" s="30"/>
      <c r="P28" s="30"/>
      <c r="Q28" s="30"/>
      <c r="R28" s="30"/>
      <c r="S28" s="30"/>
      <c r="T28" s="30"/>
      <c r="U28" s="30"/>
      <c r="V28" s="31"/>
    </row>
    <row r="29" spans="1:22">
      <c r="A29" s="1" t="s">
        <v>50</v>
      </c>
      <c r="B29" s="29">
        <v>0</v>
      </c>
      <c r="C29" s="30">
        <v>0</v>
      </c>
      <c r="D29" s="30">
        <v>0</v>
      </c>
      <c r="E29" s="30">
        <v>0</v>
      </c>
      <c r="F29" s="30">
        <v>0</v>
      </c>
      <c r="G29" s="31">
        <f>SUM(MN_FINANCIAL)</f>
        <v>0</v>
      </c>
      <c r="H29" s="30"/>
      <c r="I29" s="30"/>
      <c r="J29" s="30"/>
      <c r="K29" s="30"/>
      <c r="L29" s="29"/>
      <c r="M29" s="30"/>
      <c r="N29" s="30"/>
      <c r="O29" s="30"/>
      <c r="P29" s="30"/>
      <c r="Q29" s="30"/>
      <c r="R29" s="30"/>
      <c r="S29" s="30"/>
      <c r="T29" s="30"/>
      <c r="U29" s="30"/>
      <c r="V29" s="31"/>
    </row>
    <row r="30" spans="1:22">
      <c r="A30" s="1" t="s">
        <v>51</v>
      </c>
      <c r="B30" s="29">
        <v>0</v>
      </c>
      <c r="C30" s="30">
        <v>0</v>
      </c>
      <c r="D30" s="30">
        <v>0</v>
      </c>
      <c r="E30" s="30">
        <v>0</v>
      </c>
      <c r="F30" s="30">
        <v>0</v>
      </c>
      <c r="G30" s="31">
        <f>SUM(MS_FINANCIAL)</f>
        <v>0</v>
      </c>
      <c r="H30" s="30"/>
      <c r="I30" s="30"/>
      <c r="J30" s="30"/>
      <c r="K30" s="30"/>
      <c r="L30" s="29"/>
      <c r="M30" s="30"/>
      <c r="N30" s="30"/>
      <c r="O30" s="30"/>
      <c r="P30" s="30"/>
      <c r="Q30" s="30"/>
      <c r="R30" s="30"/>
      <c r="S30" s="30"/>
      <c r="T30" s="30"/>
      <c r="U30" s="30"/>
      <c r="V30" s="31"/>
    </row>
    <row r="31" spans="1:22">
      <c r="A31" s="1" t="s">
        <v>52</v>
      </c>
      <c r="B31" s="29">
        <v>3001.6059532864988</v>
      </c>
      <c r="C31" s="30">
        <v>0</v>
      </c>
      <c r="D31" s="30">
        <v>0</v>
      </c>
      <c r="E31" s="30">
        <v>27443.965790575112</v>
      </c>
      <c r="F31" s="30">
        <v>0</v>
      </c>
      <c r="G31" s="31">
        <f>SUM(MO_FINANCIAL)</f>
        <v>30445.571743861612</v>
      </c>
      <c r="H31" s="30"/>
      <c r="I31" s="30"/>
      <c r="J31" s="30"/>
      <c r="K31" s="30"/>
      <c r="L31" s="29"/>
      <c r="M31" s="30"/>
      <c r="N31" s="30"/>
      <c r="O31" s="30"/>
      <c r="P31" s="30"/>
      <c r="Q31" s="30"/>
      <c r="R31" s="30"/>
      <c r="S31" s="30"/>
      <c r="T31" s="30"/>
      <c r="U31" s="30"/>
      <c r="V31" s="31"/>
    </row>
    <row r="32" spans="1:22">
      <c r="A32" s="1" t="s">
        <v>53</v>
      </c>
      <c r="B32" s="29">
        <v>0</v>
      </c>
      <c r="C32" s="30">
        <v>0</v>
      </c>
      <c r="D32" s="30">
        <v>0</v>
      </c>
      <c r="E32" s="30">
        <v>0</v>
      </c>
      <c r="F32" s="30">
        <v>0</v>
      </c>
      <c r="G32" s="31">
        <f>SUM(MT_FINANCIAL)</f>
        <v>0</v>
      </c>
      <c r="H32" s="30"/>
      <c r="I32" s="30"/>
      <c r="J32" s="30"/>
      <c r="K32" s="30"/>
      <c r="L32" s="29"/>
      <c r="M32" s="30"/>
      <c r="N32" s="30"/>
      <c r="O32" s="30"/>
      <c r="P32" s="30"/>
      <c r="Q32" s="30"/>
      <c r="R32" s="30"/>
      <c r="S32" s="30"/>
      <c r="T32" s="30"/>
      <c r="U32" s="30"/>
      <c r="V32" s="31"/>
    </row>
    <row r="33" spans="1:22">
      <c r="A33" s="1" t="s">
        <v>54</v>
      </c>
      <c r="B33" s="29">
        <v>0</v>
      </c>
      <c r="C33" s="30">
        <v>0</v>
      </c>
      <c r="D33" s="30">
        <v>0</v>
      </c>
      <c r="E33" s="30">
        <v>0</v>
      </c>
      <c r="F33" s="30">
        <v>0</v>
      </c>
      <c r="G33" s="31">
        <f>SUM(NE_FINANCIAL)</f>
        <v>0</v>
      </c>
      <c r="H33" s="30"/>
      <c r="I33" s="30"/>
      <c r="J33" s="30"/>
      <c r="K33" s="30"/>
      <c r="L33" s="29"/>
      <c r="M33" s="30"/>
      <c r="N33" s="30"/>
      <c r="O33" s="30"/>
      <c r="P33" s="30"/>
      <c r="Q33" s="30"/>
      <c r="R33" s="30"/>
      <c r="S33" s="30"/>
      <c r="T33" s="30"/>
      <c r="U33" s="30"/>
      <c r="V33" s="31"/>
    </row>
    <row r="34" spans="1:22">
      <c r="A34" s="1" t="s">
        <v>55</v>
      </c>
      <c r="B34" s="29">
        <v>0</v>
      </c>
      <c r="C34" s="30">
        <v>0</v>
      </c>
      <c r="D34" s="30">
        <v>0</v>
      </c>
      <c r="E34" s="30">
        <v>0</v>
      </c>
      <c r="F34" s="30">
        <v>0</v>
      </c>
      <c r="G34" s="31">
        <f>SUM(NV_FINANCIAL)</f>
        <v>0</v>
      </c>
      <c r="H34" s="30"/>
      <c r="I34" s="30"/>
      <c r="J34" s="30"/>
      <c r="K34" s="30"/>
      <c r="L34" s="29"/>
      <c r="M34" s="30"/>
      <c r="N34" s="30"/>
      <c r="O34" s="30"/>
      <c r="P34" s="30"/>
      <c r="Q34" s="30"/>
      <c r="R34" s="30"/>
      <c r="S34" s="30"/>
      <c r="T34" s="30"/>
      <c r="U34" s="30"/>
      <c r="V34" s="31"/>
    </row>
    <row r="35" spans="1:22">
      <c r="A35" s="1" t="s">
        <v>56</v>
      </c>
      <c r="B35" s="29">
        <v>0</v>
      </c>
      <c r="C35" s="30">
        <v>0</v>
      </c>
      <c r="D35" s="30">
        <v>0</v>
      </c>
      <c r="E35" s="30">
        <v>0</v>
      </c>
      <c r="F35" s="30">
        <v>0</v>
      </c>
      <c r="G35" s="31">
        <f>SUM(NH_FINANCIAL)</f>
        <v>0</v>
      </c>
      <c r="H35" s="30"/>
      <c r="I35" s="30"/>
      <c r="J35" s="30"/>
      <c r="K35" s="30"/>
      <c r="L35" s="29"/>
      <c r="M35" s="30"/>
      <c r="N35" s="30"/>
      <c r="O35" s="30"/>
      <c r="P35" s="30"/>
      <c r="Q35" s="30"/>
      <c r="R35" s="30"/>
      <c r="S35" s="30"/>
      <c r="T35" s="30"/>
      <c r="U35" s="30"/>
      <c r="V35" s="31"/>
    </row>
    <row r="36" spans="1:22">
      <c r="A36" s="1" t="s">
        <v>57</v>
      </c>
      <c r="B36" s="29">
        <v>0</v>
      </c>
      <c r="C36" s="30">
        <v>0</v>
      </c>
      <c r="D36" s="30">
        <v>0</v>
      </c>
      <c r="E36" s="30">
        <v>0</v>
      </c>
      <c r="F36" s="30">
        <v>0</v>
      </c>
      <c r="G36" s="31">
        <f>SUM(NJ_FINANCIAL)</f>
        <v>0</v>
      </c>
      <c r="H36" s="30"/>
      <c r="I36" s="30"/>
      <c r="J36" s="30"/>
      <c r="K36" s="30"/>
      <c r="L36" s="29"/>
      <c r="M36" s="30"/>
      <c r="N36" s="30"/>
      <c r="O36" s="30"/>
      <c r="P36" s="30"/>
      <c r="Q36" s="30"/>
      <c r="R36" s="30"/>
      <c r="S36" s="30"/>
      <c r="T36" s="30"/>
      <c r="U36" s="30"/>
      <c r="V36" s="31"/>
    </row>
    <row r="37" spans="1:22">
      <c r="A37" s="1" t="s">
        <v>58</v>
      </c>
      <c r="B37" s="29">
        <v>0</v>
      </c>
      <c r="C37" s="30">
        <v>0</v>
      </c>
      <c r="D37" s="30">
        <v>0</v>
      </c>
      <c r="E37" s="30">
        <v>0</v>
      </c>
      <c r="F37" s="30">
        <v>0</v>
      </c>
      <c r="G37" s="31">
        <f>SUM(NM_FINANCIAL)</f>
        <v>0</v>
      </c>
      <c r="H37" s="30"/>
      <c r="I37" s="30"/>
      <c r="J37" s="30"/>
      <c r="K37" s="30"/>
      <c r="L37" s="29"/>
      <c r="M37" s="30"/>
      <c r="N37" s="30"/>
      <c r="O37" s="30"/>
      <c r="P37" s="30"/>
      <c r="Q37" s="30"/>
      <c r="R37" s="30"/>
      <c r="S37" s="30"/>
      <c r="T37" s="30"/>
      <c r="U37" s="30"/>
      <c r="V37" s="31"/>
    </row>
    <row r="38" spans="1:22">
      <c r="A38" s="1" t="s">
        <v>59</v>
      </c>
      <c r="B38" s="29">
        <v>0</v>
      </c>
      <c r="C38" s="30">
        <v>0</v>
      </c>
      <c r="D38" s="30">
        <v>0</v>
      </c>
      <c r="E38" s="30">
        <v>0</v>
      </c>
      <c r="F38" s="30">
        <v>0</v>
      </c>
      <c r="G38" s="31">
        <f>SUM(NY_FINANCIAL)</f>
        <v>0</v>
      </c>
      <c r="H38" s="30"/>
      <c r="I38" s="30"/>
      <c r="J38" s="30"/>
      <c r="K38" s="30"/>
      <c r="L38" s="29"/>
      <c r="M38" s="30"/>
      <c r="N38" s="30"/>
      <c r="O38" s="30"/>
      <c r="P38" s="30"/>
      <c r="Q38" s="30"/>
      <c r="R38" s="30"/>
      <c r="S38" s="30"/>
      <c r="T38" s="30"/>
      <c r="U38" s="30"/>
      <c r="V38" s="31"/>
    </row>
    <row r="39" spans="1:22">
      <c r="A39" s="1" t="s">
        <v>60</v>
      </c>
      <c r="B39" s="29">
        <v>0</v>
      </c>
      <c r="C39" s="30">
        <v>0</v>
      </c>
      <c r="D39" s="30">
        <v>0</v>
      </c>
      <c r="E39" s="30">
        <v>0</v>
      </c>
      <c r="F39" s="30">
        <v>0</v>
      </c>
      <c r="G39" s="31">
        <f>SUM(NC_FINANCIAL)</f>
        <v>0</v>
      </c>
      <c r="H39" s="30"/>
      <c r="I39" s="30"/>
      <c r="J39" s="30"/>
      <c r="K39" s="30"/>
      <c r="L39" s="29"/>
      <c r="M39" s="30"/>
      <c r="N39" s="30"/>
      <c r="O39" s="30"/>
      <c r="P39" s="30"/>
      <c r="Q39" s="30"/>
      <c r="R39" s="30"/>
      <c r="S39" s="30"/>
      <c r="T39" s="30"/>
      <c r="U39" s="30"/>
      <c r="V39" s="31"/>
    </row>
    <row r="40" spans="1:22">
      <c r="A40" s="1" t="s">
        <v>61</v>
      </c>
      <c r="B40" s="29">
        <v>0</v>
      </c>
      <c r="C40" s="30">
        <v>0</v>
      </c>
      <c r="D40" s="30">
        <v>0</v>
      </c>
      <c r="E40" s="30">
        <v>0</v>
      </c>
      <c r="F40" s="30">
        <v>0</v>
      </c>
      <c r="G40" s="31">
        <f>SUM(ND_FINANCIAL)</f>
        <v>0</v>
      </c>
      <c r="H40" s="30"/>
      <c r="I40" s="30"/>
      <c r="J40" s="30"/>
      <c r="K40" s="30"/>
      <c r="L40" s="29"/>
      <c r="M40" s="30"/>
      <c r="N40" s="30"/>
      <c r="O40" s="30"/>
      <c r="P40" s="30"/>
      <c r="Q40" s="30"/>
      <c r="R40" s="30"/>
      <c r="S40" s="30"/>
      <c r="T40" s="30"/>
      <c r="U40" s="30"/>
      <c r="V40" s="31"/>
    </row>
    <row r="41" spans="1:22">
      <c r="A41" s="1" t="s">
        <v>62</v>
      </c>
      <c r="B41" s="29">
        <v>907.75044642857142</v>
      </c>
      <c r="C41" s="30">
        <v>0</v>
      </c>
      <c r="D41" s="30">
        <v>0</v>
      </c>
      <c r="E41" s="30">
        <v>0</v>
      </c>
      <c r="F41" s="30">
        <v>0</v>
      </c>
      <c r="G41" s="31">
        <f>SUM(OH_FINANCIAL)</f>
        <v>907.75044642857142</v>
      </c>
      <c r="H41" s="30"/>
      <c r="I41" s="30"/>
      <c r="J41" s="30"/>
      <c r="K41" s="30"/>
      <c r="L41" s="29"/>
      <c r="M41" s="30"/>
      <c r="N41" s="30"/>
      <c r="O41" s="30"/>
      <c r="P41" s="30"/>
      <c r="Q41" s="30"/>
      <c r="R41" s="30"/>
      <c r="S41" s="30"/>
      <c r="T41" s="30"/>
      <c r="U41" s="30"/>
      <c r="V41" s="31"/>
    </row>
    <row r="42" spans="1:22">
      <c r="A42" s="1" t="s">
        <v>63</v>
      </c>
      <c r="B42" s="29">
        <v>6218.0905580357148</v>
      </c>
      <c r="C42" s="30">
        <v>0</v>
      </c>
      <c r="D42" s="30">
        <v>0</v>
      </c>
      <c r="E42" s="30">
        <v>0</v>
      </c>
      <c r="F42" s="30">
        <v>0</v>
      </c>
      <c r="G42" s="31">
        <f>SUM(OK_FINANCIAL)</f>
        <v>6218.0905580357148</v>
      </c>
      <c r="H42" s="30"/>
      <c r="I42" s="30"/>
      <c r="J42" s="30"/>
      <c r="K42" s="30"/>
      <c r="L42" s="29">
        <v>30000</v>
      </c>
      <c r="M42" s="30">
        <v>0</v>
      </c>
      <c r="N42" s="30"/>
      <c r="O42" s="30">
        <v>0</v>
      </c>
      <c r="P42" s="30">
        <v>0</v>
      </c>
      <c r="Q42" s="30"/>
      <c r="R42" s="30">
        <v>0</v>
      </c>
      <c r="S42" s="30">
        <v>0</v>
      </c>
      <c r="T42" s="30"/>
      <c r="U42" s="30">
        <v>0</v>
      </c>
      <c r="V42" s="31">
        <v>0</v>
      </c>
    </row>
    <row r="43" spans="1:22">
      <c r="A43" s="1" t="s">
        <v>64</v>
      </c>
      <c r="B43" s="29">
        <v>0</v>
      </c>
      <c r="C43" s="30">
        <v>0</v>
      </c>
      <c r="D43" s="30">
        <v>0</v>
      </c>
      <c r="E43" s="30">
        <v>0</v>
      </c>
      <c r="F43" s="30">
        <v>0</v>
      </c>
      <c r="G43" s="31">
        <f>SUM(OR_FINANCIAL)</f>
        <v>0</v>
      </c>
      <c r="H43" s="30"/>
      <c r="I43" s="30"/>
      <c r="J43" s="30"/>
      <c r="K43" s="30"/>
      <c r="L43" s="29"/>
      <c r="M43" s="30"/>
      <c r="N43" s="30"/>
      <c r="O43" s="30"/>
      <c r="P43" s="30"/>
      <c r="Q43" s="30"/>
      <c r="R43" s="30"/>
      <c r="S43" s="30"/>
      <c r="T43" s="30"/>
      <c r="U43" s="30"/>
      <c r="V43" s="31"/>
    </row>
    <row r="44" spans="1:22">
      <c r="A44" s="1" t="s">
        <v>65</v>
      </c>
      <c r="B44" s="29">
        <v>0</v>
      </c>
      <c r="C44" s="30">
        <v>0</v>
      </c>
      <c r="D44" s="30">
        <v>0</v>
      </c>
      <c r="E44" s="30">
        <v>0</v>
      </c>
      <c r="F44" s="30">
        <v>0</v>
      </c>
      <c r="G44" s="31">
        <f>SUM(PA_FINANCIAL)</f>
        <v>0</v>
      </c>
      <c r="H44" s="30"/>
      <c r="I44" s="30"/>
      <c r="J44" s="30"/>
      <c r="K44" s="30"/>
      <c r="L44" s="29"/>
      <c r="M44" s="30"/>
      <c r="N44" s="30"/>
      <c r="O44" s="30"/>
      <c r="P44" s="30"/>
      <c r="Q44" s="30"/>
      <c r="R44" s="30"/>
      <c r="S44" s="30"/>
      <c r="T44" s="30"/>
      <c r="U44" s="30"/>
      <c r="V44" s="31"/>
    </row>
    <row r="45" spans="1:22">
      <c r="A45" s="1" t="s">
        <v>66</v>
      </c>
      <c r="B45" s="29">
        <v>0</v>
      </c>
      <c r="C45" s="30">
        <v>0</v>
      </c>
      <c r="D45" s="30">
        <v>0</v>
      </c>
      <c r="E45" s="30">
        <v>0</v>
      </c>
      <c r="F45" s="30">
        <v>0</v>
      </c>
      <c r="G45" s="31">
        <f>SUM(PR_FINANCIAL)</f>
        <v>0</v>
      </c>
      <c r="H45" s="30"/>
      <c r="I45" s="30"/>
      <c r="J45" s="30"/>
      <c r="K45" s="30"/>
      <c r="L45" s="29"/>
      <c r="M45" s="30"/>
      <c r="N45" s="30"/>
      <c r="O45" s="30"/>
      <c r="P45" s="30"/>
      <c r="Q45" s="30"/>
      <c r="R45" s="30"/>
      <c r="S45" s="30"/>
      <c r="T45" s="30"/>
      <c r="U45" s="30"/>
      <c r="V45" s="31"/>
    </row>
    <row r="46" spans="1:22">
      <c r="A46" s="1" t="s">
        <v>67</v>
      </c>
      <c r="B46" s="29">
        <v>0</v>
      </c>
      <c r="C46" s="30">
        <v>0</v>
      </c>
      <c r="D46" s="30">
        <v>0</v>
      </c>
      <c r="E46" s="30">
        <v>0</v>
      </c>
      <c r="F46" s="30">
        <v>0</v>
      </c>
      <c r="G46" s="31">
        <f>SUM(RI_FINANCIAL)</f>
        <v>0</v>
      </c>
      <c r="H46" s="30"/>
      <c r="I46" s="30"/>
      <c r="J46" s="30"/>
      <c r="K46" s="30"/>
      <c r="L46" s="29"/>
      <c r="M46" s="30"/>
      <c r="N46" s="30"/>
      <c r="O46" s="30"/>
      <c r="P46" s="30"/>
      <c r="Q46" s="30"/>
      <c r="R46" s="30"/>
      <c r="S46" s="30"/>
      <c r="T46" s="30"/>
      <c r="U46" s="30"/>
      <c r="V46" s="31"/>
    </row>
    <row r="47" spans="1:22">
      <c r="A47" s="1" t="s">
        <v>68</v>
      </c>
      <c r="B47" s="29">
        <v>0</v>
      </c>
      <c r="C47" s="30">
        <v>0</v>
      </c>
      <c r="D47" s="30">
        <v>0</v>
      </c>
      <c r="E47" s="30">
        <v>0</v>
      </c>
      <c r="F47" s="30">
        <v>0</v>
      </c>
      <c r="G47" s="31">
        <f>SUM(SC_FINANCIAL)</f>
        <v>0</v>
      </c>
      <c r="H47" s="30"/>
      <c r="I47" s="30"/>
      <c r="J47" s="30"/>
      <c r="K47" s="30"/>
      <c r="L47" s="29"/>
      <c r="M47" s="30"/>
      <c r="N47" s="30"/>
      <c r="O47" s="30"/>
      <c r="P47" s="30"/>
      <c r="Q47" s="30"/>
      <c r="R47" s="30"/>
      <c r="S47" s="30"/>
      <c r="T47" s="30"/>
      <c r="U47" s="30"/>
      <c r="V47" s="31"/>
    </row>
    <row r="48" spans="1:22">
      <c r="A48" s="1" t="s">
        <v>69</v>
      </c>
      <c r="B48" s="29">
        <v>0</v>
      </c>
      <c r="C48" s="30">
        <v>0</v>
      </c>
      <c r="D48" s="30">
        <v>0</v>
      </c>
      <c r="E48" s="30">
        <v>0</v>
      </c>
      <c r="F48" s="30">
        <v>0</v>
      </c>
      <c r="G48" s="31">
        <f>SUM(SD_FINANCIAL)</f>
        <v>0</v>
      </c>
      <c r="H48" s="30"/>
      <c r="I48" s="30"/>
      <c r="J48" s="30"/>
      <c r="K48" s="30"/>
      <c r="L48" s="29"/>
      <c r="M48" s="30"/>
      <c r="N48" s="30"/>
      <c r="O48" s="30"/>
      <c r="P48" s="30"/>
      <c r="Q48" s="30"/>
      <c r="R48" s="30"/>
      <c r="S48" s="30"/>
      <c r="T48" s="30"/>
      <c r="U48" s="30"/>
      <c r="V48" s="31"/>
    </row>
    <row r="49" spans="1:22">
      <c r="A49" s="1" t="s">
        <v>70</v>
      </c>
      <c r="B49" s="29">
        <v>0</v>
      </c>
      <c r="C49" s="30">
        <v>0</v>
      </c>
      <c r="D49" s="30">
        <v>0</v>
      </c>
      <c r="E49" s="30">
        <v>0</v>
      </c>
      <c r="F49" s="30">
        <v>0</v>
      </c>
      <c r="G49" s="31">
        <f>SUM(TN_FINANCIAL)</f>
        <v>0</v>
      </c>
      <c r="H49" s="30"/>
      <c r="I49" s="30"/>
      <c r="J49" s="30"/>
      <c r="K49" s="30"/>
      <c r="L49" s="29"/>
      <c r="M49" s="30"/>
      <c r="N49" s="30"/>
      <c r="O49" s="30"/>
      <c r="P49" s="30"/>
      <c r="Q49" s="30"/>
      <c r="R49" s="30"/>
      <c r="S49" s="30"/>
      <c r="T49" s="30"/>
      <c r="U49" s="30"/>
      <c r="V49" s="31"/>
    </row>
    <row r="50" spans="1:22">
      <c r="A50" s="1" t="s">
        <v>71</v>
      </c>
      <c r="B50" s="29">
        <v>0</v>
      </c>
      <c r="C50" s="30">
        <v>0</v>
      </c>
      <c r="D50" s="30">
        <v>0</v>
      </c>
      <c r="E50" s="30">
        <v>0</v>
      </c>
      <c r="F50" s="30">
        <v>0</v>
      </c>
      <c r="G50" s="31">
        <f>SUM(TX_FINANCIAL)</f>
        <v>0</v>
      </c>
      <c r="H50" s="30"/>
      <c r="I50" s="30"/>
      <c r="J50" s="30"/>
      <c r="K50" s="30"/>
      <c r="L50" s="29"/>
      <c r="M50" s="30"/>
      <c r="N50" s="30"/>
      <c r="O50" s="30"/>
      <c r="P50" s="30"/>
      <c r="Q50" s="30"/>
      <c r="R50" s="30"/>
      <c r="S50" s="30"/>
      <c r="T50" s="30"/>
      <c r="U50" s="30"/>
      <c r="V50" s="31"/>
    </row>
    <row r="51" spans="1:22">
      <c r="A51" s="1" t="s">
        <v>72</v>
      </c>
      <c r="B51" s="29">
        <v>1584.5189094794912</v>
      </c>
      <c r="C51" s="30">
        <v>198.8324883999733</v>
      </c>
      <c r="D51" s="30">
        <v>0</v>
      </c>
      <c r="E51" s="30">
        <v>0</v>
      </c>
      <c r="F51" s="30">
        <v>0</v>
      </c>
      <c r="G51" s="31">
        <f>SUM(UT_FINANCIAL)</f>
        <v>1783.3513978794645</v>
      </c>
      <c r="H51" s="30"/>
      <c r="I51" s="30"/>
      <c r="J51" s="30"/>
      <c r="K51" s="30"/>
      <c r="L51" s="29">
        <v>27000</v>
      </c>
      <c r="M51" s="30">
        <v>0</v>
      </c>
      <c r="N51" s="30"/>
      <c r="O51" s="30">
        <v>0</v>
      </c>
      <c r="P51" s="30">
        <v>0</v>
      </c>
      <c r="Q51" s="30"/>
      <c r="R51" s="30">
        <v>0</v>
      </c>
      <c r="S51" s="30">
        <v>0</v>
      </c>
      <c r="T51" s="30"/>
      <c r="U51" s="30">
        <v>0</v>
      </c>
      <c r="V51" s="31">
        <v>0</v>
      </c>
    </row>
    <row r="52" spans="1:22">
      <c r="A52" s="1" t="s">
        <v>73</v>
      </c>
      <c r="B52" s="29">
        <v>0</v>
      </c>
      <c r="C52" s="30">
        <v>0</v>
      </c>
      <c r="D52" s="30">
        <v>0</v>
      </c>
      <c r="E52" s="30">
        <v>0</v>
      </c>
      <c r="F52" s="30">
        <v>0</v>
      </c>
      <c r="G52" s="31">
        <f>SUM(VT_FINANCIAL)</f>
        <v>0</v>
      </c>
      <c r="H52" s="30"/>
      <c r="I52" s="30"/>
      <c r="J52" s="30"/>
      <c r="K52" s="30"/>
      <c r="L52" s="29"/>
      <c r="M52" s="30"/>
      <c r="N52" s="30"/>
      <c r="O52" s="30"/>
      <c r="P52" s="30"/>
      <c r="Q52" s="30"/>
      <c r="R52" s="30"/>
      <c r="S52" s="30"/>
      <c r="T52" s="30"/>
      <c r="U52" s="30"/>
      <c r="V52" s="31"/>
    </row>
    <row r="53" spans="1:22">
      <c r="A53" s="1" t="s">
        <v>74</v>
      </c>
      <c r="B53" s="29">
        <v>0</v>
      </c>
      <c r="C53" s="30">
        <v>0</v>
      </c>
      <c r="D53" s="30">
        <v>0</v>
      </c>
      <c r="E53" s="30">
        <v>0</v>
      </c>
      <c r="F53" s="30">
        <v>0</v>
      </c>
      <c r="G53" s="31">
        <f>SUM(VA_FINANCIAL)</f>
        <v>0</v>
      </c>
      <c r="H53" s="30"/>
      <c r="I53" s="30"/>
      <c r="J53" s="30"/>
      <c r="K53" s="30"/>
      <c r="L53" s="29"/>
      <c r="M53" s="30"/>
      <c r="N53" s="30"/>
      <c r="O53" s="30"/>
      <c r="P53" s="30"/>
      <c r="Q53" s="30"/>
      <c r="R53" s="30"/>
      <c r="S53" s="30"/>
      <c r="T53" s="30"/>
      <c r="U53" s="30"/>
      <c r="V53" s="31"/>
    </row>
    <row r="54" spans="1:22">
      <c r="A54" s="1" t="s">
        <v>75</v>
      </c>
      <c r="B54" s="29">
        <v>0</v>
      </c>
      <c r="C54" s="30">
        <v>0</v>
      </c>
      <c r="D54" s="30">
        <v>0</v>
      </c>
      <c r="E54" s="30">
        <v>0</v>
      </c>
      <c r="F54" s="30">
        <v>0</v>
      </c>
      <c r="G54" s="31">
        <f>SUM(WA_FINANCIAL)</f>
        <v>0</v>
      </c>
      <c r="H54" s="30"/>
      <c r="I54" s="30"/>
      <c r="J54" s="30"/>
      <c r="K54" s="30"/>
      <c r="L54" s="29"/>
      <c r="M54" s="30"/>
      <c r="N54" s="30"/>
      <c r="O54" s="30"/>
      <c r="P54" s="30"/>
      <c r="Q54" s="30"/>
      <c r="R54" s="30"/>
      <c r="S54" s="30"/>
      <c r="T54" s="30"/>
      <c r="U54" s="30"/>
      <c r="V54" s="31"/>
    </row>
    <row r="55" spans="1:22">
      <c r="A55" s="1" t="s">
        <v>76</v>
      </c>
      <c r="B55" s="29">
        <v>0</v>
      </c>
      <c r="C55" s="30">
        <v>0</v>
      </c>
      <c r="D55" s="30">
        <v>0</v>
      </c>
      <c r="E55" s="30">
        <v>0</v>
      </c>
      <c r="F55" s="30">
        <v>0</v>
      </c>
      <c r="G55" s="31">
        <f>SUM(WV_FINANCIAL)</f>
        <v>0</v>
      </c>
      <c r="H55" s="30"/>
      <c r="I55" s="30"/>
      <c r="J55" s="30"/>
      <c r="K55" s="30"/>
      <c r="L55" s="29"/>
      <c r="M55" s="30"/>
      <c r="N55" s="30"/>
      <c r="O55" s="30"/>
      <c r="P55" s="30"/>
      <c r="Q55" s="30"/>
      <c r="R55" s="30"/>
      <c r="S55" s="30"/>
      <c r="T55" s="30"/>
      <c r="U55" s="30"/>
      <c r="V55" s="31"/>
    </row>
    <row r="56" spans="1:22">
      <c r="A56" s="1" t="s">
        <v>77</v>
      </c>
      <c r="B56" s="29">
        <v>0</v>
      </c>
      <c r="C56" s="30">
        <v>0</v>
      </c>
      <c r="D56" s="30">
        <v>0</v>
      </c>
      <c r="E56" s="30">
        <v>0</v>
      </c>
      <c r="F56" s="30">
        <v>0</v>
      </c>
      <c r="G56" s="31">
        <f>SUM(WI_FINANCIAL)</f>
        <v>0</v>
      </c>
      <c r="H56" s="30"/>
      <c r="I56" s="30"/>
      <c r="J56" s="30"/>
      <c r="K56" s="30"/>
      <c r="L56" s="29"/>
      <c r="M56" s="30"/>
      <c r="N56" s="30"/>
      <c r="O56" s="30"/>
      <c r="P56" s="30"/>
      <c r="Q56" s="30"/>
      <c r="R56" s="30"/>
      <c r="S56" s="30"/>
      <c r="T56" s="30"/>
      <c r="U56" s="30"/>
      <c r="V56" s="31"/>
    </row>
    <row r="57" spans="1:22">
      <c r="A57" s="1" t="s">
        <v>78</v>
      </c>
      <c r="B57" s="29">
        <v>0</v>
      </c>
      <c r="C57" s="30">
        <v>0</v>
      </c>
      <c r="D57" s="30">
        <v>0</v>
      </c>
      <c r="E57" s="30">
        <v>0</v>
      </c>
      <c r="F57" s="30">
        <v>0</v>
      </c>
      <c r="G57" s="31">
        <f>SUM(WY_FINANCIAL)</f>
        <v>0</v>
      </c>
      <c r="H57" s="30"/>
      <c r="I57" s="30"/>
      <c r="J57" s="30"/>
      <c r="K57" s="30"/>
      <c r="L57" s="29"/>
      <c r="M57" s="30"/>
      <c r="N57" s="30"/>
      <c r="O57" s="30"/>
      <c r="P57" s="30"/>
      <c r="Q57" s="30"/>
      <c r="R57" s="30"/>
      <c r="S57" s="30"/>
      <c r="T57" s="30"/>
      <c r="U57" s="30"/>
      <c r="V57" s="31"/>
    </row>
    <row r="58" spans="1:22">
      <c r="A58" s="1" t="s">
        <v>79</v>
      </c>
      <c r="B58" s="29">
        <v>0</v>
      </c>
      <c r="C58" s="30">
        <v>0</v>
      </c>
      <c r="D58" s="30">
        <v>0</v>
      </c>
      <c r="E58" s="30">
        <v>0</v>
      </c>
      <c r="F58" s="30">
        <v>0</v>
      </c>
      <c r="G58" s="31">
        <f>SUM(OT_FINANCIAL)</f>
        <v>0</v>
      </c>
      <c r="H58" s="30"/>
      <c r="I58" s="30"/>
      <c r="J58" s="30"/>
      <c r="K58" s="30"/>
      <c r="L58" s="29"/>
      <c r="M58" s="30"/>
      <c r="N58" s="30"/>
      <c r="O58" s="30"/>
      <c r="P58" s="30"/>
      <c r="Q58" s="30"/>
      <c r="R58" s="30"/>
      <c r="S58" s="30"/>
      <c r="T58" s="30"/>
      <c r="U58" s="30"/>
      <c r="V58" s="31"/>
    </row>
    <row r="59" spans="1:22">
      <c r="B59" s="29"/>
      <c r="C59" s="30"/>
      <c r="D59" s="30"/>
      <c r="E59" s="30"/>
      <c r="F59" s="30"/>
      <c r="G59" s="31"/>
      <c r="H59" s="30"/>
      <c r="I59" s="30"/>
      <c r="J59" s="30"/>
      <c r="K59" s="30"/>
      <c r="L59" s="29"/>
      <c r="M59" s="30"/>
      <c r="N59" s="30"/>
      <c r="O59" s="30"/>
      <c r="P59" s="30"/>
      <c r="Q59" s="30"/>
      <c r="R59" s="30"/>
      <c r="S59" s="30"/>
      <c r="T59" s="30"/>
      <c r="U59" s="30"/>
      <c r="V59" s="31"/>
    </row>
    <row r="60" spans="1:22">
      <c r="A60" s="1" t="s">
        <v>8</v>
      </c>
      <c r="B60" s="29">
        <f>SUM(LIFE)</f>
        <v>13024.421721024919</v>
      </c>
      <c r="C60" s="30">
        <f>SUM(ALLOCATED)</f>
        <v>198.8324883999733</v>
      </c>
      <c r="D60" s="30">
        <f>SUM(HEALTH)</f>
        <v>0</v>
      </c>
      <c r="E60" s="30">
        <f>SUM(UNALLOCATED)</f>
        <v>27443.965790575112</v>
      </c>
      <c r="F60" s="30">
        <f>SUM(LTC)</f>
        <v>0</v>
      </c>
      <c r="G60" s="31">
        <f>SUM(ALL_BLOCKS)</f>
        <v>40667.220000000008</v>
      </c>
      <c r="H60" s="30"/>
      <c r="I60" s="30"/>
      <c r="J60" s="30"/>
      <c r="K60" s="30"/>
      <c r="L60" s="29">
        <f>SUM(LIFE_CALLED)</f>
        <v>57000</v>
      </c>
      <c r="M60" s="30">
        <f>SUM(LIFE_REFUNDED)</f>
        <v>0</v>
      </c>
      <c r="N60" s="30"/>
      <c r="O60" s="30">
        <f>SUM(ALLOC_CALLED)</f>
        <v>0</v>
      </c>
      <c r="P60" s="30">
        <f>SUM(ALLOC_REFUNDED)</f>
        <v>0</v>
      </c>
      <c r="Q60" s="30"/>
      <c r="R60" s="30">
        <f>SUM(HEALTH_CALLED)</f>
        <v>0</v>
      </c>
      <c r="S60" s="30">
        <f>SUM(HEALTH_REFUNDED)</f>
        <v>0</v>
      </c>
      <c r="T60" s="30"/>
      <c r="U60" s="30">
        <f>SUM(UNALLOC_CALLED)</f>
        <v>0</v>
      </c>
      <c r="V60" s="31">
        <f>SUM(UNALLOC_REFUNDED)</f>
        <v>0</v>
      </c>
    </row>
    <row r="61" spans="1:22" ht="5.0999999999999996" customHeight="1">
      <c r="B61" s="8"/>
      <c r="G61" s="11"/>
      <c r="L61" s="8"/>
      <c r="V61" s="11"/>
    </row>
    <row r="62" spans="1:22">
      <c r="B62" s="8"/>
      <c r="G62" s="11"/>
      <c r="L62" s="122" t="s">
        <v>80</v>
      </c>
      <c r="M62" s="123"/>
      <c r="N62" s="123"/>
      <c r="O62" s="123"/>
      <c r="P62" s="123"/>
      <c r="Q62" s="123"/>
      <c r="R62" s="123"/>
      <c r="S62" s="123"/>
      <c r="T62" s="123"/>
      <c r="U62" s="123"/>
      <c r="V62" s="124"/>
    </row>
    <row r="63" spans="1:22">
      <c r="B63" s="8"/>
      <c r="G63" s="11"/>
      <c r="L63" s="125"/>
      <c r="M63" s="123"/>
      <c r="N63" s="123"/>
      <c r="O63" s="123"/>
      <c r="P63" s="123"/>
      <c r="Q63" s="123"/>
      <c r="R63" s="123"/>
      <c r="S63" s="123"/>
      <c r="T63" s="123"/>
      <c r="U63" s="123"/>
      <c r="V63" s="124"/>
    </row>
    <row r="64" spans="1:22">
      <c r="B64" s="10"/>
      <c r="C64" s="7"/>
      <c r="D64" s="7"/>
      <c r="E64" s="7"/>
      <c r="F64" s="7"/>
      <c r="G64" s="13"/>
      <c r="L64" s="126"/>
      <c r="M64" s="127"/>
      <c r="N64" s="127"/>
      <c r="O64" s="127"/>
      <c r="P64" s="127"/>
      <c r="Q64" s="127"/>
      <c r="R64" s="127"/>
      <c r="S64" s="127"/>
      <c r="T64" s="127"/>
      <c r="U64" s="127"/>
      <c r="V64" s="128"/>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pageSetUpPr fitToPage="1"/>
  </sheetPr>
  <dimension ref="A1:V64"/>
  <sheetViews>
    <sheetView zoomScale="75" workbookViewId="0">
      <selection sqref="A1:XFD1048576"/>
    </sheetView>
  </sheetViews>
  <sheetFormatPr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129" t="s">
        <v>167</v>
      </c>
      <c r="B1" s="123"/>
      <c r="C1" s="123"/>
      <c r="D1" s="123"/>
      <c r="E1" s="123"/>
      <c r="F1" s="123"/>
      <c r="G1" s="123"/>
    </row>
    <row r="3" spans="1:22">
      <c r="B3" s="130" t="s">
        <v>1</v>
      </c>
      <c r="C3" s="131"/>
      <c r="D3" s="131"/>
      <c r="E3" s="131"/>
      <c r="F3" s="131"/>
      <c r="G3" s="132"/>
      <c r="L3" s="133" t="s">
        <v>2</v>
      </c>
      <c r="M3" s="134"/>
      <c r="N3" s="134"/>
      <c r="O3" s="134"/>
      <c r="P3" s="134"/>
      <c r="Q3" s="134"/>
      <c r="R3" s="134"/>
      <c r="S3" s="134"/>
      <c r="T3" s="134"/>
      <c r="U3" s="134"/>
      <c r="V3" s="135"/>
    </row>
    <row r="4" spans="1:22">
      <c r="B4" s="8"/>
      <c r="G4" s="11"/>
      <c r="L4" s="136" t="s">
        <v>3</v>
      </c>
      <c r="M4" s="137"/>
      <c r="N4" s="4"/>
      <c r="O4" s="138" t="s">
        <v>4</v>
      </c>
      <c r="P4" s="137"/>
      <c r="Q4" s="4"/>
      <c r="R4" s="138" t="s">
        <v>5</v>
      </c>
      <c r="S4" s="137"/>
      <c r="T4" s="4"/>
      <c r="U4" s="138" t="s">
        <v>6</v>
      </c>
      <c r="V4" s="139"/>
    </row>
    <row r="5" spans="1:22" ht="60" customHeight="1">
      <c r="B5" s="9" t="s">
        <v>3</v>
      </c>
      <c r="C5" s="5" t="s">
        <v>4</v>
      </c>
      <c r="D5" s="5" t="s">
        <v>5</v>
      </c>
      <c r="E5" s="5" t="s">
        <v>6</v>
      </c>
      <c r="F5" s="5" t="s">
        <v>7</v>
      </c>
      <c r="G5" s="12" t="s">
        <v>8</v>
      </c>
      <c r="L5" s="15" t="s">
        <v>9</v>
      </c>
      <c r="M5" s="14" t="s">
        <v>10</v>
      </c>
      <c r="N5" s="14"/>
      <c r="O5" s="14" t="s">
        <v>9</v>
      </c>
      <c r="P5" s="14" t="s">
        <v>10</v>
      </c>
      <c r="Q5" s="14"/>
      <c r="R5" s="14" t="s">
        <v>9</v>
      </c>
      <c r="S5" s="14" t="s">
        <v>10</v>
      </c>
      <c r="T5" s="14"/>
      <c r="U5" s="14" t="s">
        <v>9</v>
      </c>
      <c r="V5" s="16" t="s">
        <v>10</v>
      </c>
    </row>
    <row r="6" spans="1:22">
      <c r="A6" s="1" t="s">
        <v>11</v>
      </c>
      <c r="B6" s="29">
        <v>0</v>
      </c>
      <c r="C6" s="30">
        <v>0</v>
      </c>
      <c r="D6" s="30">
        <v>0</v>
      </c>
      <c r="E6" s="30">
        <v>0</v>
      </c>
      <c r="F6" s="30">
        <v>0</v>
      </c>
      <c r="G6" s="31">
        <f>SUM(AL_FINANCIAL)</f>
        <v>0</v>
      </c>
      <c r="H6" s="30"/>
      <c r="I6" s="30"/>
      <c r="J6" s="30"/>
      <c r="K6" s="30"/>
      <c r="L6" s="29"/>
      <c r="M6" s="30"/>
      <c r="N6" s="30"/>
      <c r="O6" s="30"/>
      <c r="P6" s="30"/>
      <c r="Q6" s="30"/>
      <c r="R6" s="30"/>
      <c r="S6" s="30"/>
      <c r="T6" s="30"/>
      <c r="U6" s="30"/>
      <c r="V6" s="31"/>
    </row>
    <row r="7" spans="1:22">
      <c r="A7" s="1" t="s">
        <v>12</v>
      </c>
      <c r="B7" s="29">
        <v>0</v>
      </c>
      <c r="C7" s="30">
        <v>0</v>
      </c>
      <c r="D7" s="30">
        <v>0</v>
      </c>
      <c r="E7" s="30">
        <v>0</v>
      </c>
      <c r="F7" s="30">
        <v>0</v>
      </c>
      <c r="G7" s="31">
        <f>SUM(AK_FINANCIAL)</f>
        <v>0</v>
      </c>
      <c r="H7" s="30"/>
      <c r="I7" s="32"/>
      <c r="J7" s="33"/>
      <c r="K7" s="30"/>
      <c r="L7" s="29"/>
      <c r="M7" s="30"/>
      <c r="N7" s="30"/>
      <c r="O7" s="30"/>
      <c r="P7" s="30"/>
      <c r="Q7" s="30"/>
      <c r="R7" s="30"/>
      <c r="S7" s="30"/>
      <c r="T7" s="30"/>
      <c r="U7" s="30"/>
      <c r="V7" s="31"/>
    </row>
    <row r="8" spans="1:22">
      <c r="A8" s="1" t="s">
        <v>13</v>
      </c>
      <c r="B8" s="29">
        <v>0</v>
      </c>
      <c r="C8" s="30">
        <v>0</v>
      </c>
      <c r="D8" s="30">
        <v>49571.648912400473</v>
      </c>
      <c r="E8" s="30">
        <v>0</v>
      </c>
      <c r="F8" s="30">
        <v>0</v>
      </c>
      <c r="G8" s="31">
        <f>SUM(AZ_FINANCIAL)</f>
        <v>49571.648912400473</v>
      </c>
      <c r="H8" s="30"/>
      <c r="I8" s="34" t="s">
        <v>14</v>
      </c>
      <c r="J8" s="35"/>
      <c r="K8" s="30"/>
      <c r="L8" s="29"/>
      <c r="M8" s="30"/>
      <c r="N8" s="30"/>
      <c r="O8" s="30"/>
      <c r="P8" s="30"/>
      <c r="Q8" s="30"/>
      <c r="R8" s="30"/>
      <c r="S8" s="30"/>
      <c r="T8" s="30"/>
      <c r="U8" s="30"/>
      <c r="V8" s="31"/>
    </row>
    <row r="9" spans="1:22">
      <c r="A9" s="1" t="s">
        <v>15</v>
      </c>
      <c r="B9" s="29">
        <v>0</v>
      </c>
      <c r="C9" s="30">
        <v>0</v>
      </c>
      <c r="D9" s="30">
        <v>-5.6843418860808015E-14</v>
      </c>
      <c r="E9" s="30">
        <v>0</v>
      </c>
      <c r="F9" s="30">
        <v>0</v>
      </c>
      <c r="G9" s="31">
        <f>SUM(AR_FINANCIAL)</f>
        <v>-5.6843418860808015E-14</v>
      </c>
      <c r="H9" s="30"/>
      <c r="I9" s="34"/>
      <c r="J9" s="35"/>
      <c r="K9" s="30"/>
      <c r="L9" s="29"/>
      <c r="M9" s="30"/>
      <c r="N9" s="30"/>
      <c r="O9" s="30"/>
      <c r="P9" s="30"/>
      <c r="Q9" s="30"/>
      <c r="R9" s="30"/>
      <c r="S9" s="30"/>
      <c r="T9" s="30"/>
      <c r="U9" s="30"/>
      <c r="V9" s="31"/>
    </row>
    <row r="10" spans="1:22">
      <c r="A10" s="1" t="s">
        <v>16</v>
      </c>
      <c r="B10" s="29">
        <v>0</v>
      </c>
      <c r="C10" s="30">
        <v>0</v>
      </c>
      <c r="D10" s="30">
        <v>0</v>
      </c>
      <c r="E10" s="30">
        <v>0</v>
      </c>
      <c r="F10" s="30">
        <v>0</v>
      </c>
      <c r="G10" s="31">
        <f>SUM(CA_FINANCIAL)</f>
        <v>0</v>
      </c>
      <c r="H10" s="30"/>
      <c r="I10" s="34" t="s">
        <v>17</v>
      </c>
      <c r="J10" s="35">
        <v>6483172.1899999995</v>
      </c>
      <c r="K10" s="30"/>
      <c r="L10" s="29"/>
      <c r="M10" s="30"/>
      <c r="N10" s="30"/>
      <c r="O10" s="30"/>
      <c r="P10" s="30"/>
      <c r="Q10" s="30"/>
      <c r="R10" s="30"/>
      <c r="S10" s="30"/>
      <c r="T10" s="30"/>
      <c r="U10" s="30"/>
      <c r="V10" s="31"/>
    </row>
    <row r="11" spans="1:22">
      <c r="A11" s="1" t="s">
        <v>18</v>
      </c>
      <c r="B11" s="29">
        <v>0</v>
      </c>
      <c r="C11" s="30">
        <v>0</v>
      </c>
      <c r="D11" s="30">
        <v>0</v>
      </c>
      <c r="E11" s="30">
        <v>0</v>
      </c>
      <c r="F11" s="30">
        <v>0</v>
      </c>
      <c r="G11" s="31">
        <f>SUM(CO_FINANCIAL)</f>
        <v>0</v>
      </c>
      <c r="H11" s="30"/>
      <c r="I11" s="34"/>
      <c r="J11" s="35"/>
      <c r="K11" s="30"/>
      <c r="L11" s="29"/>
      <c r="M11" s="30"/>
      <c r="N11" s="30"/>
      <c r="O11" s="30"/>
      <c r="P11" s="30"/>
      <c r="Q11" s="30"/>
      <c r="R11" s="30"/>
      <c r="S11" s="30"/>
      <c r="T11" s="30"/>
      <c r="U11" s="30"/>
      <c r="V11" s="31"/>
    </row>
    <row r="12" spans="1:22">
      <c r="A12" s="1" t="s">
        <v>19</v>
      </c>
      <c r="B12" s="29">
        <v>0</v>
      </c>
      <c r="C12" s="30">
        <v>0</v>
      </c>
      <c r="D12" s="30">
        <v>0</v>
      </c>
      <c r="E12" s="30">
        <v>0</v>
      </c>
      <c r="F12" s="30">
        <v>0</v>
      </c>
      <c r="G12" s="31">
        <f>SUM(CT_FINANCIAL)</f>
        <v>0</v>
      </c>
      <c r="H12" s="30"/>
      <c r="I12" s="34" t="s">
        <v>20</v>
      </c>
      <c r="J12" s="35"/>
      <c r="K12" s="30"/>
      <c r="L12" s="29"/>
      <c r="M12" s="30"/>
      <c r="N12" s="30"/>
      <c r="O12" s="30"/>
      <c r="P12" s="30"/>
      <c r="Q12" s="30"/>
      <c r="R12" s="30"/>
      <c r="S12" s="30"/>
      <c r="T12" s="30"/>
      <c r="U12" s="30"/>
      <c r="V12" s="31"/>
    </row>
    <row r="13" spans="1:22">
      <c r="A13" s="1" t="s">
        <v>21</v>
      </c>
      <c r="B13" s="29">
        <v>0</v>
      </c>
      <c r="C13" s="30">
        <v>0</v>
      </c>
      <c r="D13" s="30">
        <v>0</v>
      </c>
      <c r="E13" s="30">
        <v>0</v>
      </c>
      <c r="F13" s="30">
        <v>0</v>
      </c>
      <c r="G13" s="31">
        <f>SUM(DE_FINANCIAL)</f>
        <v>0</v>
      </c>
      <c r="H13" s="30"/>
      <c r="I13" s="34" t="s">
        <v>22</v>
      </c>
      <c r="J13" s="35">
        <v>6483172.1899999995</v>
      </c>
      <c r="K13" s="30"/>
      <c r="L13" s="29"/>
      <c r="M13" s="30"/>
      <c r="N13" s="30"/>
      <c r="O13" s="30"/>
      <c r="P13" s="30"/>
      <c r="Q13" s="30"/>
      <c r="R13" s="30"/>
      <c r="S13" s="30"/>
      <c r="T13" s="30"/>
      <c r="U13" s="30"/>
      <c r="V13" s="31"/>
    </row>
    <row r="14" spans="1:22">
      <c r="A14" s="1" t="s">
        <v>23</v>
      </c>
      <c r="B14" s="29">
        <v>0</v>
      </c>
      <c r="C14" s="30">
        <v>0</v>
      </c>
      <c r="D14" s="30">
        <v>0</v>
      </c>
      <c r="E14" s="30">
        <v>0</v>
      </c>
      <c r="F14" s="30">
        <v>0</v>
      </c>
      <c r="G14" s="31">
        <f>SUM(DC_FINANCIAL)</f>
        <v>0</v>
      </c>
      <c r="H14" s="30"/>
      <c r="I14" s="34" t="s">
        <v>24</v>
      </c>
      <c r="J14" s="35">
        <v>1119709.19</v>
      </c>
      <c r="K14" s="30"/>
      <c r="L14" s="29"/>
      <c r="M14" s="30"/>
      <c r="N14" s="30"/>
      <c r="O14" s="30"/>
      <c r="P14" s="30"/>
      <c r="Q14" s="30"/>
      <c r="R14" s="30"/>
      <c r="S14" s="30"/>
      <c r="T14" s="30"/>
      <c r="U14" s="30"/>
      <c r="V14" s="31"/>
    </row>
    <row r="15" spans="1:22">
      <c r="A15" s="1" t="s">
        <v>25</v>
      </c>
      <c r="B15" s="29">
        <v>0</v>
      </c>
      <c r="C15" s="30">
        <v>0</v>
      </c>
      <c r="D15" s="30">
        <v>84239.078371273587</v>
      </c>
      <c r="E15" s="30">
        <v>0</v>
      </c>
      <c r="F15" s="30">
        <v>0</v>
      </c>
      <c r="G15" s="31">
        <f>SUM(FL_FINANCIAL)</f>
        <v>84239.078371273587</v>
      </c>
      <c r="H15" s="30"/>
      <c r="I15" s="34" t="s">
        <v>26</v>
      </c>
      <c r="J15" s="35">
        <v>1400435.2486441541</v>
      </c>
      <c r="K15" s="30"/>
      <c r="L15" s="29"/>
      <c r="M15" s="30"/>
      <c r="N15" s="30"/>
      <c r="O15" s="30"/>
      <c r="P15" s="30"/>
      <c r="Q15" s="30"/>
      <c r="R15" s="30"/>
      <c r="S15" s="30"/>
      <c r="T15" s="30"/>
      <c r="U15" s="30"/>
      <c r="V15" s="31"/>
    </row>
    <row r="16" spans="1:22">
      <c r="A16" s="1" t="s">
        <v>27</v>
      </c>
      <c r="B16" s="29">
        <v>0</v>
      </c>
      <c r="C16" s="30">
        <v>0</v>
      </c>
      <c r="D16" s="30">
        <v>39895.879057794402</v>
      </c>
      <c r="E16" s="30">
        <v>0</v>
      </c>
      <c r="F16" s="30">
        <v>0</v>
      </c>
      <c r="G16" s="31">
        <f>SUM(GA_FINANCIAL)</f>
        <v>39895.879057794402</v>
      </c>
      <c r="H16" s="30"/>
      <c r="I16" s="34" t="s">
        <v>28</v>
      </c>
      <c r="J16" s="35">
        <v>0</v>
      </c>
      <c r="K16" s="30"/>
      <c r="L16" s="29"/>
      <c r="M16" s="30"/>
      <c r="N16" s="30"/>
      <c r="O16" s="30"/>
      <c r="P16" s="30"/>
      <c r="Q16" s="30"/>
      <c r="R16" s="30"/>
      <c r="S16" s="30"/>
      <c r="T16" s="30"/>
      <c r="U16" s="30"/>
      <c r="V16" s="31"/>
    </row>
    <row r="17" spans="1:22">
      <c r="A17" s="1" t="s">
        <v>29</v>
      </c>
      <c r="B17" s="29">
        <v>0</v>
      </c>
      <c r="C17" s="30">
        <v>0</v>
      </c>
      <c r="D17" s="30">
        <v>0</v>
      </c>
      <c r="E17" s="30">
        <v>0</v>
      </c>
      <c r="F17" s="30">
        <v>0</v>
      </c>
      <c r="G17" s="31">
        <f>SUM(HI_FINANCIAL)</f>
        <v>0</v>
      </c>
      <c r="H17" s="30"/>
      <c r="I17" s="34"/>
      <c r="J17" s="35"/>
      <c r="K17" s="30"/>
      <c r="L17" s="29"/>
      <c r="M17" s="30"/>
      <c r="N17" s="30"/>
      <c r="O17" s="30"/>
      <c r="P17" s="30"/>
      <c r="Q17" s="30"/>
      <c r="R17" s="30"/>
      <c r="S17" s="30"/>
      <c r="T17" s="30"/>
      <c r="U17" s="30"/>
      <c r="V17" s="31"/>
    </row>
    <row r="18" spans="1:22">
      <c r="A18" s="1" t="s">
        <v>30</v>
      </c>
      <c r="B18" s="29">
        <v>0</v>
      </c>
      <c r="C18" s="30">
        <v>0</v>
      </c>
      <c r="D18" s="30">
        <v>0</v>
      </c>
      <c r="E18" s="30">
        <v>0</v>
      </c>
      <c r="F18" s="30">
        <v>0</v>
      </c>
      <c r="G18" s="31">
        <f>SUM(ID_FINANCIAL)</f>
        <v>0</v>
      </c>
      <c r="H18" s="30"/>
      <c r="I18" s="34" t="s">
        <v>31</v>
      </c>
      <c r="J18" s="35"/>
      <c r="K18" s="30"/>
      <c r="L18" s="29"/>
      <c r="M18" s="30"/>
      <c r="N18" s="30"/>
      <c r="O18" s="30"/>
      <c r="P18" s="30"/>
      <c r="Q18" s="30"/>
      <c r="R18" s="30"/>
      <c r="S18" s="30"/>
      <c r="T18" s="30"/>
      <c r="U18" s="30"/>
      <c r="V18" s="31"/>
    </row>
    <row r="19" spans="1:22">
      <c r="A19" s="1" t="s">
        <v>32</v>
      </c>
      <c r="B19" s="29">
        <v>0</v>
      </c>
      <c r="C19" s="30">
        <v>0</v>
      </c>
      <c r="D19" s="30">
        <v>0</v>
      </c>
      <c r="E19" s="30">
        <v>0</v>
      </c>
      <c r="F19" s="30">
        <v>0</v>
      </c>
      <c r="G19" s="31">
        <f>SUM(IL_FINANCIAL)</f>
        <v>0</v>
      </c>
      <c r="H19" s="30"/>
      <c r="I19" s="34" t="s">
        <v>33</v>
      </c>
      <c r="J19" s="35">
        <v>0</v>
      </c>
      <c r="K19" s="30"/>
      <c r="L19" s="29"/>
      <c r="M19" s="30"/>
      <c r="N19" s="30"/>
      <c r="O19" s="30"/>
      <c r="P19" s="30"/>
      <c r="Q19" s="30"/>
      <c r="R19" s="30"/>
      <c r="S19" s="30"/>
      <c r="T19" s="30"/>
      <c r="U19" s="30"/>
      <c r="V19" s="31"/>
    </row>
    <row r="20" spans="1:22">
      <c r="A20" s="1" t="s">
        <v>34</v>
      </c>
      <c r="B20" s="29">
        <v>0</v>
      </c>
      <c r="C20" s="30">
        <v>0</v>
      </c>
      <c r="D20" s="30">
        <v>0</v>
      </c>
      <c r="E20" s="30">
        <v>0</v>
      </c>
      <c r="F20" s="30">
        <v>0</v>
      </c>
      <c r="G20" s="31">
        <f>SUM(IN_FINANCIAL)</f>
        <v>0</v>
      </c>
      <c r="H20" s="30"/>
      <c r="I20" s="34" t="s">
        <v>35</v>
      </c>
      <c r="J20" s="35">
        <v>6483172.1899999995</v>
      </c>
      <c r="K20" s="30"/>
      <c r="L20" s="29"/>
      <c r="M20" s="30"/>
      <c r="N20" s="30"/>
      <c r="O20" s="30"/>
      <c r="P20" s="30"/>
      <c r="Q20" s="30"/>
      <c r="R20" s="30"/>
      <c r="S20" s="30"/>
      <c r="T20" s="30"/>
      <c r="U20" s="30"/>
      <c r="V20" s="31"/>
    </row>
    <row r="21" spans="1:22">
      <c r="A21" s="1" t="s">
        <v>36</v>
      </c>
      <c r="B21" s="29">
        <v>0</v>
      </c>
      <c r="C21" s="30">
        <v>0</v>
      </c>
      <c r="D21" s="30">
        <v>0</v>
      </c>
      <c r="E21" s="30">
        <v>0</v>
      </c>
      <c r="F21" s="30">
        <v>0</v>
      </c>
      <c r="G21" s="31">
        <f>SUM(IA_FINANCIAL)</f>
        <v>0</v>
      </c>
      <c r="H21" s="30"/>
      <c r="I21" s="34" t="s">
        <v>37</v>
      </c>
      <c r="J21" s="35"/>
      <c r="K21" s="30"/>
      <c r="L21" s="29"/>
      <c r="M21" s="30"/>
      <c r="N21" s="30"/>
      <c r="O21" s="30"/>
      <c r="P21" s="30"/>
      <c r="Q21" s="30"/>
      <c r="R21" s="30"/>
      <c r="S21" s="30"/>
      <c r="T21" s="30"/>
      <c r="U21" s="30"/>
      <c r="V21" s="31"/>
    </row>
    <row r="22" spans="1:22">
      <c r="A22" s="1" t="s">
        <v>38</v>
      </c>
      <c r="B22" s="29">
        <v>0</v>
      </c>
      <c r="C22" s="30">
        <v>0</v>
      </c>
      <c r="D22" s="30">
        <v>0</v>
      </c>
      <c r="E22" s="30">
        <v>0</v>
      </c>
      <c r="F22" s="30">
        <v>0</v>
      </c>
      <c r="G22" s="31">
        <f>SUM(KS_FINANCIAL)</f>
        <v>0</v>
      </c>
      <c r="H22" s="30"/>
      <c r="I22" s="34" t="s">
        <v>39</v>
      </c>
      <c r="J22" s="35">
        <v>0</v>
      </c>
      <c r="K22" s="30"/>
      <c r="L22" s="29"/>
      <c r="M22" s="30"/>
      <c r="N22" s="30"/>
      <c r="O22" s="30"/>
      <c r="P22" s="30"/>
      <c r="Q22" s="30"/>
      <c r="R22" s="30"/>
      <c r="S22" s="30"/>
      <c r="T22" s="30"/>
      <c r="U22" s="30"/>
      <c r="V22" s="31"/>
    </row>
    <row r="23" spans="1:22">
      <c r="A23" s="1" t="s">
        <v>40</v>
      </c>
      <c r="B23" s="29">
        <v>0</v>
      </c>
      <c r="C23" s="30">
        <v>0</v>
      </c>
      <c r="D23" s="30">
        <v>0</v>
      </c>
      <c r="E23" s="30">
        <v>0</v>
      </c>
      <c r="F23" s="30">
        <v>0</v>
      </c>
      <c r="G23" s="31">
        <f>SUM(KY_FINANCIAL)</f>
        <v>0</v>
      </c>
      <c r="H23" s="30"/>
      <c r="I23" s="34" t="s">
        <v>41</v>
      </c>
      <c r="J23" s="35"/>
      <c r="K23" s="30"/>
      <c r="L23" s="29"/>
      <c r="M23" s="30"/>
      <c r="N23" s="30"/>
      <c r="O23" s="30"/>
      <c r="P23" s="30"/>
      <c r="Q23" s="30"/>
      <c r="R23" s="30"/>
      <c r="S23" s="30"/>
      <c r="T23" s="30"/>
      <c r="U23" s="30"/>
      <c r="V23" s="31"/>
    </row>
    <row r="24" spans="1:22">
      <c r="A24" s="1" t="s">
        <v>42</v>
      </c>
      <c r="B24" s="29">
        <v>0</v>
      </c>
      <c r="C24" s="30">
        <v>0</v>
      </c>
      <c r="D24" s="30">
        <v>7622.8258359391002</v>
      </c>
      <c r="E24" s="30">
        <v>0</v>
      </c>
      <c r="F24" s="30">
        <v>0</v>
      </c>
      <c r="G24" s="31">
        <f>SUM(LA_FINANCIAL)</f>
        <v>7622.8258359391002</v>
      </c>
      <c r="H24" s="30"/>
      <c r="I24" s="34" t="s">
        <v>43</v>
      </c>
      <c r="J24" s="35">
        <v>8644975.9399999995</v>
      </c>
      <c r="K24" s="30"/>
      <c r="L24" s="29"/>
      <c r="M24" s="30"/>
      <c r="N24" s="30"/>
      <c r="O24" s="30"/>
      <c r="P24" s="30"/>
      <c r="Q24" s="30"/>
      <c r="R24" s="30"/>
      <c r="S24" s="30"/>
      <c r="T24" s="30"/>
      <c r="U24" s="30"/>
      <c r="V24" s="31"/>
    </row>
    <row r="25" spans="1:22">
      <c r="A25" s="1" t="s">
        <v>44</v>
      </c>
      <c r="B25" s="29">
        <v>0</v>
      </c>
      <c r="C25" s="30">
        <v>0</v>
      </c>
      <c r="D25" s="30">
        <v>0</v>
      </c>
      <c r="E25" s="30">
        <v>0</v>
      </c>
      <c r="F25" s="30">
        <v>0</v>
      </c>
      <c r="G25" s="31">
        <f>SUM(ME_FINANCIAL)</f>
        <v>0</v>
      </c>
      <c r="H25" s="30"/>
      <c r="I25" s="34"/>
      <c r="J25" s="35"/>
      <c r="K25" s="30"/>
      <c r="L25" s="29"/>
      <c r="M25" s="30"/>
      <c r="N25" s="30"/>
      <c r="O25" s="30"/>
      <c r="P25" s="30"/>
      <c r="Q25" s="30"/>
      <c r="R25" s="30"/>
      <c r="S25" s="30"/>
      <c r="T25" s="30"/>
      <c r="U25" s="30"/>
      <c r="V25" s="31"/>
    </row>
    <row r="26" spans="1:22">
      <c r="A26" s="1" t="s">
        <v>45</v>
      </c>
      <c r="B26" s="29">
        <v>0</v>
      </c>
      <c r="C26" s="30">
        <v>0</v>
      </c>
      <c r="D26" s="30">
        <v>0</v>
      </c>
      <c r="E26" s="30">
        <v>0</v>
      </c>
      <c r="F26" s="30">
        <v>0</v>
      </c>
      <c r="G26" s="31">
        <f>SUM(MD_FINANCIAL)</f>
        <v>0</v>
      </c>
      <c r="H26" s="30"/>
      <c r="I26" s="34" t="s">
        <v>46</v>
      </c>
      <c r="J26" s="35">
        <f>SUM(ADD_FINANCIAL)-SUM(LESS_FINANCIAL)</f>
        <v>358340.688644154</v>
      </c>
      <c r="K26" s="30"/>
      <c r="L26" s="29"/>
      <c r="M26" s="30"/>
      <c r="N26" s="30"/>
      <c r="O26" s="30"/>
      <c r="P26" s="30"/>
      <c r="Q26" s="30"/>
      <c r="R26" s="30"/>
      <c r="S26" s="30"/>
      <c r="T26" s="30"/>
      <c r="U26" s="30"/>
      <c r="V26" s="31"/>
    </row>
    <row r="27" spans="1:22">
      <c r="A27" s="1" t="s">
        <v>47</v>
      </c>
      <c r="B27" s="29">
        <v>0</v>
      </c>
      <c r="C27" s="30">
        <v>0</v>
      </c>
      <c r="D27" s="30">
        <v>0</v>
      </c>
      <c r="E27" s="30">
        <v>0</v>
      </c>
      <c r="F27" s="30">
        <v>0</v>
      </c>
      <c r="G27" s="31">
        <f>SUM(MA_FINANCIAL)</f>
        <v>0</v>
      </c>
      <c r="H27" s="30"/>
      <c r="I27" s="34" t="s">
        <v>48</v>
      </c>
      <c r="J27" s="35">
        <f>SUM(ALL_BLOCKS)</f>
        <v>358340.68864415365</v>
      </c>
      <c r="K27" s="30"/>
      <c r="L27" s="29"/>
      <c r="M27" s="30"/>
      <c r="N27" s="30"/>
      <c r="O27" s="30"/>
      <c r="P27" s="30"/>
      <c r="Q27" s="30"/>
      <c r="R27" s="30"/>
      <c r="S27" s="30"/>
      <c r="T27" s="30"/>
      <c r="U27" s="30"/>
      <c r="V27" s="31"/>
    </row>
    <row r="28" spans="1:22">
      <c r="A28" s="1" t="s">
        <v>49</v>
      </c>
      <c r="B28" s="29">
        <v>0</v>
      </c>
      <c r="C28" s="30">
        <v>0</v>
      </c>
      <c r="D28" s="30">
        <v>0</v>
      </c>
      <c r="E28" s="30">
        <v>0</v>
      </c>
      <c r="F28" s="30">
        <v>0</v>
      </c>
      <c r="G28" s="31">
        <f>SUM(MI_FINANCIAL)</f>
        <v>0</v>
      </c>
      <c r="H28" s="30"/>
      <c r="I28" s="36"/>
      <c r="J28" s="37"/>
      <c r="K28" s="30"/>
      <c r="L28" s="29"/>
      <c r="M28" s="30"/>
      <c r="N28" s="30"/>
      <c r="O28" s="30"/>
      <c r="P28" s="30"/>
      <c r="Q28" s="30"/>
      <c r="R28" s="30"/>
      <c r="S28" s="30"/>
      <c r="T28" s="30"/>
      <c r="U28" s="30"/>
      <c r="V28" s="31"/>
    </row>
    <row r="29" spans="1:22">
      <c r="A29" s="1" t="s">
        <v>50</v>
      </c>
      <c r="B29" s="29">
        <v>0</v>
      </c>
      <c r="C29" s="30">
        <v>0</v>
      </c>
      <c r="D29" s="30">
        <v>0</v>
      </c>
      <c r="E29" s="30">
        <v>0</v>
      </c>
      <c r="F29" s="30">
        <v>0</v>
      </c>
      <c r="G29" s="31">
        <f>SUM(MN_FINANCIAL)</f>
        <v>0</v>
      </c>
      <c r="H29" s="30"/>
      <c r="I29" s="30"/>
      <c r="J29" s="30"/>
      <c r="K29" s="30"/>
      <c r="L29" s="29"/>
      <c r="M29" s="30"/>
      <c r="N29" s="30"/>
      <c r="O29" s="30"/>
      <c r="P29" s="30"/>
      <c r="Q29" s="30"/>
      <c r="R29" s="30"/>
      <c r="S29" s="30"/>
      <c r="T29" s="30"/>
      <c r="U29" s="30"/>
      <c r="V29" s="31"/>
    </row>
    <row r="30" spans="1:22">
      <c r="A30" s="1" t="s">
        <v>51</v>
      </c>
      <c r="B30" s="29">
        <v>0</v>
      </c>
      <c r="C30" s="30">
        <v>0</v>
      </c>
      <c r="D30" s="30">
        <v>38715.573822923237</v>
      </c>
      <c r="E30" s="30">
        <v>0</v>
      </c>
      <c r="F30" s="30">
        <v>0</v>
      </c>
      <c r="G30" s="31">
        <f>SUM(MS_FINANCIAL)</f>
        <v>38715.573822923237</v>
      </c>
      <c r="H30" s="30"/>
      <c r="I30" s="30"/>
      <c r="J30" s="30"/>
      <c r="K30" s="30"/>
      <c r="L30" s="29"/>
      <c r="M30" s="30"/>
      <c r="N30" s="30"/>
      <c r="O30" s="30"/>
      <c r="P30" s="30"/>
      <c r="Q30" s="30"/>
      <c r="R30" s="30"/>
      <c r="S30" s="30"/>
      <c r="T30" s="30"/>
      <c r="U30" s="30"/>
      <c r="V30" s="31"/>
    </row>
    <row r="31" spans="1:22">
      <c r="A31" s="1" t="s">
        <v>52</v>
      </c>
      <c r="B31" s="29">
        <v>0</v>
      </c>
      <c r="C31" s="30">
        <v>0</v>
      </c>
      <c r="D31" s="30">
        <v>0</v>
      </c>
      <c r="E31" s="30">
        <v>0</v>
      </c>
      <c r="F31" s="30">
        <v>0</v>
      </c>
      <c r="G31" s="31">
        <f>SUM(MO_FINANCIAL)</f>
        <v>0</v>
      </c>
      <c r="H31" s="30"/>
      <c r="I31" s="30"/>
      <c r="J31" s="30"/>
      <c r="K31" s="30"/>
      <c r="L31" s="29"/>
      <c r="M31" s="30"/>
      <c r="N31" s="30"/>
      <c r="O31" s="30"/>
      <c r="P31" s="30"/>
      <c r="Q31" s="30"/>
      <c r="R31" s="30"/>
      <c r="S31" s="30"/>
      <c r="T31" s="30"/>
      <c r="U31" s="30"/>
      <c r="V31" s="31"/>
    </row>
    <row r="32" spans="1:22">
      <c r="A32" s="1" t="s">
        <v>53</v>
      </c>
      <c r="B32" s="29">
        <v>0</v>
      </c>
      <c r="C32" s="30">
        <v>0</v>
      </c>
      <c r="D32" s="30">
        <v>0</v>
      </c>
      <c r="E32" s="30">
        <v>0</v>
      </c>
      <c r="F32" s="30">
        <v>0</v>
      </c>
      <c r="G32" s="31">
        <f>SUM(MT_FINANCIAL)</f>
        <v>0</v>
      </c>
      <c r="H32" s="30"/>
      <c r="I32" s="30"/>
      <c r="J32" s="30"/>
      <c r="K32" s="30"/>
      <c r="L32" s="29"/>
      <c r="M32" s="30"/>
      <c r="N32" s="30"/>
      <c r="O32" s="30"/>
      <c r="P32" s="30"/>
      <c r="Q32" s="30"/>
      <c r="R32" s="30"/>
      <c r="S32" s="30"/>
      <c r="T32" s="30"/>
      <c r="U32" s="30"/>
      <c r="V32" s="31"/>
    </row>
    <row r="33" spans="1:22">
      <c r="A33" s="1" t="s">
        <v>54</v>
      </c>
      <c r="B33" s="29">
        <v>0</v>
      </c>
      <c r="C33" s="30">
        <v>0</v>
      </c>
      <c r="D33" s="30">
        <v>0</v>
      </c>
      <c r="E33" s="30">
        <v>0</v>
      </c>
      <c r="F33" s="30">
        <v>0</v>
      </c>
      <c r="G33" s="31">
        <f>SUM(NE_FINANCIAL)</f>
        <v>0</v>
      </c>
      <c r="H33" s="30"/>
      <c r="I33" s="30"/>
      <c r="J33" s="30"/>
      <c r="K33" s="30"/>
      <c r="L33" s="29"/>
      <c r="M33" s="30"/>
      <c r="N33" s="30"/>
      <c r="O33" s="30"/>
      <c r="P33" s="30"/>
      <c r="Q33" s="30"/>
      <c r="R33" s="30"/>
      <c r="S33" s="30"/>
      <c r="T33" s="30"/>
      <c r="U33" s="30"/>
      <c r="V33" s="31"/>
    </row>
    <row r="34" spans="1:22">
      <c r="A34" s="1" t="s">
        <v>55</v>
      </c>
      <c r="B34" s="29">
        <v>0</v>
      </c>
      <c r="C34" s="30">
        <v>0</v>
      </c>
      <c r="D34" s="30">
        <v>3160.3889240487874</v>
      </c>
      <c r="E34" s="30">
        <v>0</v>
      </c>
      <c r="F34" s="30">
        <v>0</v>
      </c>
      <c r="G34" s="31">
        <f>SUM(NV_FINANCIAL)</f>
        <v>3160.3889240487874</v>
      </c>
      <c r="H34" s="30"/>
      <c r="I34" s="30"/>
      <c r="J34" s="30"/>
      <c r="K34" s="30"/>
      <c r="L34" s="29"/>
      <c r="M34" s="30"/>
      <c r="N34" s="30"/>
      <c r="O34" s="30"/>
      <c r="P34" s="30"/>
      <c r="Q34" s="30"/>
      <c r="R34" s="30"/>
      <c r="S34" s="30"/>
      <c r="T34" s="30"/>
      <c r="U34" s="30"/>
      <c r="V34" s="31"/>
    </row>
    <row r="35" spans="1:22">
      <c r="A35" s="1" t="s">
        <v>56</v>
      </c>
      <c r="B35" s="29">
        <v>0</v>
      </c>
      <c r="C35" s="30">
        <v>0</v>
      </c>
      <c r="D35" s="30">
        <v>0</v>
      </c>
      <c r="E35" s="30">
        <v>0</v>
      </c>
      <c r="F35" s="30">
        <v>0</v>
      </c>
      <c r="G35" s="31">
        <f>SUM(NH_FINANCIAL)</f>
        <v>0</v>
      </c>
      <c r="H35" s="30"/>
      <c r="I35" s="30"/>
      <c r="J35" s="30"/>
      <c r="K35" s="30"/>
      <c r="L35" s="29"/>
      <c r="M35" s="30"/>
      <c r="N35" s="30"/>
      <c r="O35" s="30"/>
      <c r="P35" s="30"/>
      <c r="Q35" s="30"/>
      <c r="R35" s="30"/>
      <c r="S35" s="30"/>
      <c r="T35" s="30"/>
      <c r="U35" s="30"/>
      <c r="V35" s="31"/>
    </row>
    <row r="36" spans="1:22">
      <c r="A36" s="1" t="s">
        <v>57</v>
      </c>
      <c r="B36" s="29">
        <v>0</v>
      </c>
      <c r="C36" s="30">
        <v>0</v>
      </c>
      <c r="D36" s="30">
        <v>0</v>
      </c>
      <c r="E36" s="30">
        <v>0</v>
      </c>
      <c r="F36" s="30">
        <v>0</v>
      </c>
      <c r="G36" s="31">
        <f>SUM(NJ_FINANCIAL)</f>
        <v>0</v>
      </c>
      <c r="H36" s="30"/>
      <c r="I36" s="30"/>
      <c r="J36" s="30"/>
      <c r="K36" s="30"/>
      <c r="L36" s="29"/>
      <c r="M36" s="30"/>
      <c r="N36" s="30"/>
      <c r="O36" s="30"/>
      <c r="P36" s="30"/>
      <c r="Q36" s="30"/>
      <c r="R36" s="30"/>
      <c r="S36" s="30"/>
      <c r="T36" s="30"/>
      <c r="U36" s="30"/>
      <c r="V36" s="31"/>
    </row>
    <row r="37" spans="1:22">
      <c r="A37" s="1" t="s">
        <v>58</v>
      </c>
      <c r="B37" s="29">
        <v>0</v>
      </c>
      <c r="C37" s="30">
        <v>0</v>
      </c>
      <c r="D37" s="30">
        <v>0</v>
      </c>
      <c r="E37" s="30">
        <v>0</v>
      </c>
      <c r="F37" s="30">
        <v>0</v>
      </c>
      <c r="G37" s="31">
        <f>SUM(NM_FINANCIAL)</f>
        <v>0</v>
      </c>
      <c r="H37" s="30"/>
      <c r="I37" s="30"/>
      <c r="J37" s="30"/>
      <c r="K37" s="30"/>
      <c r="L37" s="29"/>
      <c r="M37" s="30"/>
      <c r="N37" s="30"/>
      <c r="O37" s="30"/>
      <c r="P37" s="30"/>
      <c r="Q37" s="30"/>
      <c r="R37" s="30"/>
      <c r="S37" s="30"/>
      <c r="T37" s="30"/>
      <c r="U37" s="30"/>
      <c r="V37" s="31"/>
    </row>
    <row r="38" spans="1:22">
      <c r="A38" s="1" t="s">
        <v>59</v>
      </c>
      <c r="B38" s="29">
        <v>0</v>
      </c>
      <c r="C38" s="30">
        <v>0</v>
      </c>
      <c r="D38" s="30">
        <v>0</v>
      </c>
      <c r="E38" s="30">
        <v>0</v>
      </c>
      <c r="F38" s="30">
        <v>0</v>
      </c>
      <c r="G38" s="31">
        <f>SUM(NY_FINANCIAL)</f>
        <v>0</v>
      </c>
      <c r="H38" s="30"/>
      <c r="I38" s="30"/>
      <c r="J38" s="30"/>
      <c r="K38" s="30"/>
      <c r="L38" s="29"/>
      <c r="M38" s="30"/>
      <c r="N38" s="30"/>
      <c r="O38" s="30"/>
      <c r="P38" s="30"/>
      <c r="Q38" s="30"/>
      <c r="R38" s="30"/>
      <c r="S38" s="30"/>
      <c r="T38" s="30"/>
      <c r="U38" s="30"/>
      <c r="V38" s="31"/>
    </row>
    <row r="39" spans="1:22">
      <c r="A39" s="1" t="s">
        <v>60</v>
      </c>
      <c r="B39" s="29">
        <v>0</v>
      </c>
      <c r="C39" s="30">
        <v>0</v>
      </c>
      <c r="D39" s="30">
        <v>68326.405215713196</v>
      </c>
      <c r="E39" s="30">
        <v>0</v>
      </c>
      <c r="F39" s="30">
        <v>0</v>
      </c>
      <c r="G39" s="31">
        <f>SUM(NC_FINANCIAL)</f>
        <v>68326.405215713196</v>
      </c>
      <c r="H39" s="30"/>
      <c r="I39" s="30"/>
      <c r="J39" s="30"/>
      <c r="K39" s="30"/>
      <c r="L39" s="29"/>
      <c r="M39" s="30"/>
      <c r="N39" s="30"/>
      <c r="O39" s="30"/>
      <c r="P39" s="30"/>
      <c r="Q39" s="30"/>
      <c r="R39" s="30"/>
      <c r="S39" s="30"/>
      <c r="T39" s="30"/>
      <c r="U39" s="30"/>
      <c r="V39" s="31"/>
    </row>
    <row r="40" spans="1:22">
      <c r="A40" s="1" t="s">
        <v>61</v>
      </c>
      <c r="B40" s="29">
        <v>0</v>
      </c>
      <c r="C40" s="30">
        <v>0</v>
      </c>
      <c r="D40" s="30">
        <v>-2.8421709430404007E-14</v>
      </c>
      <c r="E40" s="30">
        <v>0</v>
      </c>
      <c r="F40" s="30">
        <v>0</v>
      </c>
      <c r="G40" s="31">
        <f>SUM(ND_FINANCIAL)</f>
        <v>-2.8421709430404007E-14</v>
      </c>
      <c r="H40" s="30"/>
      <c r="I40" s="30"/>
      <c r="J40" s="30"/>
      <c r="K40" s="30"/>
      <c r="L40" s="29"/>
      <c r="M40" s="30"/>
      <c r="N40" s="30"/>
      <c r="O40" s="30"/>
      <c r="P40" s="30"/>
      <c r="Q40" s="30"/>
      <c r="R40" s="30"/>
      <c r="S40" s="30"/>
      <c r="T40" s="30"/>
      <c r="U40" s="30"/>
      <c r="V40" s="31"/>
    </row>
    <row r="41" spans="1:22">
      <c r="A41" s="1" t="s">
        <v>62</v>
      </c>
      <c r="B41" s="29">
        <v>0</v>
      </c>
      <c r="C41" s="30">
        <v>0</v>
      </c>
      <c r="D41" s="30">
        <v>521.92471757796011</v>
      </c>
      <c r="E41" s="30">
        <v>0</v>
      </c>
      <c r="F41" s="30">
        <v>0</v>
      </c>
      <c r="G41" s="31">
        <f>SUM(OH_FINANCIAL)</f>
        <v>521.92471757796011</v>
      </c>
      <c r="H41" s="30"/>
      <c r="I41" s="30"/>
      <c r="J41" s="30"/>
      <c r="K41" s="30"/>
      <c r="L41" s="29">
        <v>0</v>
      </c>
      <c r="M41" s="30">
        <v>0</v>
      </c>
      <c r="N41" s="30"/>
      <c r="O41" s="30">
        <v>0</v>
      </c>
      <c r="P41" s="30">
        <v>0</v>
      </c>
      <c r="Q41" s="30"/>
      <c r="R41" s="30">
        <v>250000</v>
      </c>
      <c r="S41" s="30">
        <v>0</v>
      </c>
      <c r="T41" s="30"/>
      <c r="U41" s="30">
        <v>0</v>
      </c>
      <c r="V41" s="31">
        <v>0</v>
      </c>
    </row>
    <row r="42" spans="1:22">
      <c r="A42" s="1" t="s">
        <v>63</v>
      </c>
      <c r="B42" s="29">
        <v>0</v>
      </c>
      <c r="C42" s="30">
        <v>0</v>
      </c>
      <c r="D42" s="30">
        <v>-9.0949470177292824E-13</v>
      </c>
      <c r="E42" s="30">
        <v>0</v>
      </c>
      <c r="F42" s="30">
        <v>0</v>
      </c>
      <c r="G42" s="31">
        <f>SUM(OK_FINANCIAL)</f>
        <v>-9.0949470177292824E-13</v>
      </c>
      <c r="H42" s="30"/>
      <c r="I42" s="30"/>
      <c r="J42" s="30"/>
      <c r="K42" s="30"/>
      <c r="L42" s="29"/>
      <c r="M42" s="30"/>
      <c r="N42" s="30"/>
      <c r="O42" s="30"/>
      <c r="P42" s="30"/>
      <c r="Q42" s="30"/>
      <c r="R42" s="30"/>
      <c r="S42" s="30"/>
      <c r="T42" s="30"/>
      <c r="U42" s="30"/>
      <c r="V42" s="31"/>
    </row>
    <row r="43" spans="1:22">
      <c r="A43" s="1" t="s">
        <v>64</v>
      </c>
      <c r="B43" s="29">
        <v>0</v>
      </c>
      <c r="C43" s="30">
        <v>0</v>
      </c>
      <c r="D43" s="30">
        <v>0</v>
      </c>
      <c r="E43" s="30">
        <v>0</v>
      </c>
      <c r="F43" s="30">
        <v>0</v>
      </c>
      <c r="G43" s="31">
        <f>SUM(OR_FINANCIAL)</f>
        <v>0</v>
      </c>
      <c r="H43" s="30"/>
      <c r="I43" s="30"/>
      <c r="J43" s="30"/>
      <c r="K43" s="30"/>
      <c r="L43" s="29"/>
      <c r="M43" s="30"/>
      <c r="N43" s="30"/>
      <c r="O43" s="30"/>
      <c r="P43" s="30"/>
      <c r="Q43" s="30"/>
      <c r="R43" s="30"/>
      <c r="S43" s="30"/>
      <c r="T43" s="30"/>
      <c r="U43" s="30"/>
      <c r="V43" s="31"/>
    </row>
    <row r="44" spans="1:22">
      <c r="A44" s="1" t="s">
        <v>65</v>
      </c>
      <c r="B44" s="29">
        <v>0</v>
      </c>
      <c r="C44" s="30">
        <v>0</v>
      </c>
      <c r="D44" s="30">
        <v>18625.386461751419</v>
      </c>
      <c r="E44" s="30">
        <v>0</v>
      </c>
      <c r="F44" s="30">
        <v>0</v>
      </c>
      <c r="G44" s="31">
        <f>SUM(PA_FINANCIAL)</f>
        <v>18625.386461751419</v>
      </c>
      <c r="H44" s="30"/>
      <c r="I44" s="30"/>
      <c r="J44" s="30"/>
      <c r="K44" s="30"/>
      <c r="L44" s="29"/>
      <c r="M44" s="30"/>
      <c r="N44" s="30"/>
      <c r="O44" s="30"/>
      <c r="P44" s="30"/>
      <c r="Q44" s="30"/>
      <c r="R44" s="30"/>
      <c r="S44" s="30"/>
      <c r="T44" s="30"/>
      <c r="U44" s="30"/>
      <c r="V44" s="31"/>
    </row>
    <row r="45" spans="1:22">
      <c r="A45" s="1" t="s">
        <v>66</v>
      </c>
      <c r="B45" s="29">
        <v>0</v>
      </c>
      <c r="C45" s="30">
        <v>0</v>
      </c>
      <c r="D45" s="30">
        <v>0</v>
      </c>
      <c r="E45" s="30">
        <v>0</v>
      </c>
      <c r="F45" s="30">
        <v>0</v>
      </c>
      <c r="G45" s="31">
        <f>SUM(PR_FINANCIAL)</f>
        <v>0</v>
      </c>
      <c r="H45" s="30"/>
      <c r="I45" s="30"/>
      <c r="J45" s="30"/>
      <c r="K45" s="30"/>
      <c r="L45" s="29"/>
      <c r="M45" s="30"/>
      <c r="N45" s="30"/>
      <c r="O45" s="30"/>
      <c r="P45" s="30"/>
      <c r="Q45" s="30"/>
      <c r="R45" s="30"/>
      <c r="S45" s="30"/>
      <c r="T45" s="30"/>
      <c r="U45" s="30"/>
      <c r="V45" s="31"/>
    </row>
    <row r="46" spans="1:22">
      <c r="A46" s="1" t="s">
        <v>67</v>
      </c>
      <c r="B46" s="29">
        <v>0</v>
      </c>
      <c r="C46" s="30">
        <v>0</v>
      </c>
      <c r="D46" s="30">
        <v>0</v>
      </c>
      <c r="E46" s="30">
        <v>0</v>
      </c>
      <c r="F46" s="30">
        <v>0</v>
      </c>
      <c r="G46" s="31">
        <f>SUM(RI_FINANCIAL)</f>
        <v>0</v>
      </c>
      <c r="H46" s="30"/>
      <c r="I46" s="30"/>
      <c r="J46" s="30"/>
      <c r="K46" s="30"/>
      <c r="L46" s="29"/>
      <c r="M46" s="30"/>
      <c r="N46" s="30"/>
      <c r="O46" s="30"/>
      <c r="P46" s="30"/>
      <c r="Q46" s="30"/>
      <c r="R46" s="30"/>
      <c r="S46" s="30"/>
      <c r="T46" s="30"/>
      <c r="U46" s="30"/>
      <c r="V46" s="31"/>
    </row>
    <row r="47" spans="1:22">
      <c r="A47" s="1" t="s">
        <v>68</v>
      </c>
      <c r="B47" s="29">
        <v>0</v>
      </c>
      <c r="C47" s="30">
        <v>0</v>
      </c>
      <c r="D47" s="30">
        <v>24.962512594378495</v>
      </c>
      <c r="E47" s="30">
        <v>0</v>
      </c>
      <c r="F47" s="30">
        <v>0</v>
      </c>
      <c r="G47" s="31">
        <f>SUM(SC_FINANCIAL)</f>
        <v>24.962512594378495</v>
      </c>
      <c r="H47" s="30"/>
      <c r="I47" s="30"/>
      <c r="J47" s="30"/>
      <c r="K47" s="30"/>
      <c r="L47" s="29"/>
      <c r="M47" s="30"/>
      <c r="N47" s="30"/>
      <c r="O47" s="30"/>
      <c r="P47" s="30"/>
      <c r="Q47" s="30"/>
      <c r="R47" s="30"/>
      <c r="S47" s="30"/>
      <c r="T47" s="30"/>
      <c r="U47" s="30"/>
      <c r="V47" s="31"/>
    </row>
    <row r="48" spans="1:22">
      <c r="A48" s="1" t="s">
        <v>69</v>
      </c>
      <c r="B48" s="29">
        <v>0</v>
      </c>
      <c r="C48" s="30">
        <v>0</v>
      </c>
      <c r="D48" s="30">
        <v>-5.6843418860808015E-14</v>
      </c>
      <c r="E48" s="30">
        <v>0</v>
      </c>
      <c r="F48" s="30">
        <v>0</v>
      </c>
      <c r="G48" s="31">
        <f>SUM(SD_FINANCIAL)</f>
        <v>-5.6843418860808015E-14</v>
      </c>
      <c r="H48" s="30"/>
      <c r="I48" s="30"/>
      <c r="J48" s="30"/>
      <c r="K48" s="30"/>
      <c r="L48" s="29"/>
      <c r="M48" s="30"/>
      <c r="N48" s="30"/>
      <c r="O48" s="30"/>
      <c r="P48" s="30"/>
      <c r="Q48" s="30"/>
      <c r="R48" s="30"/>
      <c r="S48" s="30"/>
      <c r="T48" s="30"/>
      <c r="U48" s="30"/>
      <c r="V48" s="31"/>
    </row>
    <row r="49" spans="1:22">
      <c r="A49" s="1" t="s">
        <v>70</v>
      </c>
      <c r="B49" s="29">
        <v>0</v>
      </c>
      <c r="C49" s="30">
        <v>0</v>
      </c>
      <c r="D49" s="30">
        <v>0</v>
      </c>
      <c r="E49" s="30">
        <v>0</v>
      </c>
      <c r="F49" s="30">
        <v>0</v>
      </c>
      <c r="G49" s="31">
        <f>SUM(TN_FINANCIAL)</f>
        <v>0</v>
      </c>
      <c r="H49" s="30"/>
      <c r="I49" s="30"/>
      <c r="J49" s="30"/>
      <c r="K49" s="30"/>
      <c r="L49" s="29"/>
      <c r="M49" s="30"/>
      <c r="N49" s="30"/>
      <c r="O49" s="30"/>
      <c r="P49" s="30"/>
      <c r="Q49" s="30"/>
      <c r="R49" s="30"/>
      <c r="S49" s="30"/>
      <c r="T49" s="30"/>
      <c r="U49" s="30"/>
      <c r="V49" s="31"/>
    </row>
    <row r="50" spans="1:22">
      <c r="A50" s="1" t="s">
        <v>71</v>
      </c>
      <c r="B50" s="29">
        <v>0</v>
      </c>
      <c r="C50" s="30">
        <v>0</v>
      </c>
      <c r="D50" s="30">
        <v>38338.86346861862</v>
      </c>
      <c r="E50" s="30">
        <v>0</v>
      </c>
      <c r="F50" s="30">
        <v>0</v>
      </c>
      <c r="G50" s="31">
        <f>SUM(TX_FINANCIAL)</f>
        <v>38338.86346861862</v>
      </c>
      <c r="H50" s="30"/>
      <c r="I50" s="30"/>
      <c r="J50" s="30"/>
      <c r="K50" s="30"/>
      <c r="L50" s="29"/>
      <c r="M50" s="30"/>
      <c r="N50" s="30"/>
      <c r="O50" s="30"/>
      <c r="P50" s="30"/>
      <c r="Q50" s="30"/>
      <c r="R50" s="30"/>
      <c r="S50" s="30"/>
      <c r="T50" s="30"/>
      <c r="U50" s="30"/>
      <c r="V50" s="31"/>
    </row>
    <row r="51" spans="1:22">
      <c r="A51" s="1" t="s">
        <v>72</v>
      </c>
      <c r="B51" s="29">
        <v>0</v>
      </c>
      <c r="C51" s="30">
        <v>0</v>
      </c>
      <c r="D51" s="30">
        <v>9297.7513435185283</v>
      </c>
      <c r="E51" s="30">
        <v>0</v>
      </c>
      <c r="F51" s="30">
        <v>0</v>
      </c>
      <c r="G51" s="31">
        <f>SUM(UT_FINANCIAL)</f>
        <v>9297.7513435185283</v>
      </c>
      <c r="H51" s="30"/>
      <c r="I51" s="30"/>
      <c r="J51" s="30"/>
      <c r="K51" s="30"/>
      <c r="L51" s="29"/>
      <c r="M51" s="30"/>
      <c r="N51" s="30"/>
      <c r="O51" s="30"/>
      <c r="P51" s="30"/>
      <c r="Q51" s="30"/>
      <c r="R51" s="30"/>
      <c r="S51" s="30"/>
      <c r="T51" s="30"/>
      <c r="U51" s="30"/>
      <c r="V51" s="31"/>
    </row>
    <row r="52" spans="1:22">
      <c r="A52" s="1" t="s">
        <v>73</v>
      </c>
      <c r="B52" s="29">
        <v>0</v>
      </c>
      <c r="C52" s="30">
        <v>0</v>
      </c>
      <c r="D52" s="30">
        <v>0</v>
      </c>
      <c r="E52" s="30">
        <v>0</v>
      </c>
      <c r="F52" s="30">
        <v>0</v>
      </c>
      <c r="G52" s="31">
        <f>SUM(VT_FINANCIAL)</f>
        <v>0</v>
      </c>
      <c r="H52" s="30"/>
      <c r="I52" s="30"/>
      <c r="J52" s="30"/>
      <c r="K52" s="30"/>
      <c r="L52" s="29"/>
      <c r="M52" s="30"/>
      <c r="N52" s="30"/>
      <c r="O52" s="30"/>
      <c r="P52" s="30"/>
      <c r="Q52" s="30"/>
      <c r="R52" s="30"/>
      <c r="S52" s="30"/>
      <c r="T52" s="30"/>
      <c r="U52" s="30"/>
      <c r="V52" s="31"/>
    </row>
    <row r="53" spans="1:22">
      <c r="A53" s="1" t="s">
        <v>74</v>
      </c>
      <c r="B53" s="29">
        <v>0</v>
      </c>
      <c r="C53" s="30">
        <v>0</v>
      </c>
      <c r="D53" s="30">
        <v>0</v>
      </c>
      <c r="E53" s="30">
        <v>0</v>
      </c>
      <c r="F53" s="30">
        <v>0</v>
      </c>
      <c r="G53" s="31">
        <f>SUM(VA_FINANCIAL)</f>
        <v>0</v>
      </c>
      <c r="H53" s="30"/>
      <c r="I53" s="30"/>
      <c r="J53" s="30"/>
      <c r="K53" s="30"/>
      <c r="L53" s="29"/>
      <c r="M53" s="30"/>
      <c r="N53" s="30"/>
      <c r="O53" s="30"/>
      <c r="P53" s="30"/>
      <c r="Q53" s="30"/>
      <c r="R53" s="30"/>
      <c r="S53" s="30"/>
      <c r="T53" s="30"/>
      <c r="U53" s="30"/>
      <c r="V53" s="31"/>
    </row>
    <row r="54" spans="1:22">
      <c r="A54" s="1" t="s">
        <v>75</v>
      </c>
      <c r="B54" s="29">
        <v>0</v>
      </c>
      <c r="C54" s="30">
        <v>0</v>
      </c>
      <c r="D54" s="30">
        <v>0</v>
      </c>
      <c r="E54" s="30">
        <v>0</v>
      </c>
      <c r="F54" s="30">
        <v>0</v>
      </c>
      <c r="G54" s="31">
        <f>SUM(WA_FINANCIAL)</f>
        <v>0</v>
      </c>
      <c r="H54" s="30"/>
      <c r="I54" s="30"/>
      <c r="J54" s="30"/>
      <c r="K54" s="30"/>
      <c r="L54" s="29"/>
      <c r="M54" s="30"/>
      <c r="N54" s="30"/>
      <c r="O54" s="30"/>
      <c r="P54" s="30"/>
      <c r="Q54" s="30"/>
      <c r="R54" s="30"/>
      <c r="S54" s="30"/>
      <c r="T54" s="30"/>
      <c r="U54" s="30"/>
      <c r="V54" s="31"/>
    </row>
    <row r="55" spans="1:22">
      <c r="A55" s="1" t="s">
        <v>76</v>
      </c>
      <c r="B55" s="29">
        <v>0</v>
      </c>
      <c r="C55" s="30">
        <v>0</v>
      </c>
      <c r="D55" s="30">
        <v>0</v>
      </c>
      <c r="E55" s="30">
        <v>0</v>
      </c>
      <c r="F55" s="30">
        <v>0</v>
      </c>
      <c r="G55" s="31">
        <f>SUM(WV_FINANCIAL)</f>
        <v>0</v>
      </c>
      <c r="H55" s="30"/>
      <c r="I55" s="30"/>
      <c r="J55" s="30"/>
      <c r="K55" s="30"/>
      <c r="L55" s="29"/>
      <c r="M55" s="30"/>
      <c r="N55" s="30"/>
      <c r="O55" s="30"/>
      <c r="P55" s="30"/>
      <c r="Q55" s="30"/>
      <c r="R55" s="30"/>
      <c r="S55" s="30"/>
      <c r="T55" s="30"/>
      <c r="U55" s="30"/>
      <c r="V55" s="31"/>
    </row>
    <row r="56" spans="1:22">
      <c r="A56" s="1" t="s">
        <v>77</v>
      </c>
      <c r="B56" s="29">
        <v>0</v>
      </c>
      <c r="C56" s="30">
        <v>0</v>
      </c>
      <c r="D56" s="30">
        <v>0</v>
      </c>
      <c r="E56" s="30">
        <v>0</v>
      </c>
      <c r="F56" s="30">
        <v>0</v>
      </c>
      <c r="G56" s="31">
        <f>SUM(WI_FINANCIAL)</f>
        <v>0</v>
      </c>
      <c r="H56" s="30"/>
      <c r="I56" s="30"/>
      <c r="J56" s="30"/>
      <c r="K56" s="30"/>
      <c r="L56" s="29"/>
      <c r="M56" s="30"/>
      <c r="N56" s="30"/>
      <c r="O56" s="30"/>
      <c r="P56" s="30"/>
      <c r="Q56" s="30"/>
      <c r="R56" s="30"/>
      <c r="S56" s="30"/>
      <c r="T56" s="30"/>
      <c r="U56" s="30"/>
      <c r="V56" s="31"/>
    </row>
    <row r="57" spans="1:22">
      <c r="A57" s="1" t="s">
        <v>78</v>
      </c>
      <c r="B57" s="29">
        <v>0</v>
      </c>
      <c r="C57" s="30">
        <v>0</v>
      </c>
      <c r="D57" s="30">
        <v>0</v>
      </c>
      <c r="E57" s="30">
        <v>0</v>
      </c>
      <c r="F57" s="30">
        <v>0</v>
      </c>
      <c r="G57" s="31">
        <f>SUM(WY_FINANCIAL)</f>
        <v>0</v>
      </c>
      <c r="H57" s="30"/>
      <c r="I57" s="30"/>
      <c r="J57" s="30"/>
      <c r="K57" s="30"/>
      <c r="L57" s="29"/>
      <c r="M57" s="30"/>
      <c r="N57" s="30"/>
      <c r="O57" s="30"/>
      <c r="P57" s="30"/>
      <c r="Q57" s="30"/>
      <c r="R57" s="30"/>
      <c r="S57" s="30"/>
      <c r="T57" s="30"/>
      <c r="U57" s="30"/>
      <c r="V57" s="31"/>
    </row>
    <row r="58" spans="1:22">
      <c r="A58" s="1" t="s">
        <v>79</v>
      </c>
      <c r="B58" s="29">
        <v>0</v>
      </c>
      <c r="C58" s="30">
        <v>0</v>
      </c>
      <c r="D58" s="30">
        <v>0</v>
      </c>
      <c r="E58" s="30">
        <v>0</v>
      </c>
      <c r="F58" s="30">
        <v>0</v>
      </c>
      <c r="G58" s="31">
        <f>SUM(OT_FINANCIAL)</f>
        <v>0</v>
      </c>
      <c r="H58" s="30"/>
      <c r="I58" s="30"/>
      <c r="J58" s="30"/>
      <c r="K58" s="30"/>
      <c r="L58" s="29"/>
      <c r="M58" s="30"/>
      <c r="N58" s="30"/>
      <c r="O58" s="30"/>
      <c r="P58" s="30"/>
      <c r="Q58" s="30"/>
      <c r="R58" s="30"/>
      <c r="S58" s="30"/>
      <c r="T58" s="30"/>
      <c r="U58" s="30"/>
      <c r="V58" s="31"/>
    </row>
    <row r="59" spans="1:22">
      <c r="B59" s="29"/>
      <c r="C59" s="30"/>
      <c r="D59" s="30"/>
      <c r="E59" s="30"/>
      <c r="F59" s="30"/>
      <c r="G59" s="31"/>
      <c r="H59" s="30"/>
      <c r="I59" s="30"/>
      <c r="J59" s="30"/>
      <c r="K59" s="30"/>
      <c r="L59" s="29"/>
      <c r="M59" s="30"/>
      <c r="N59" s="30"/>
      <c r="O59" s="30"/>
      <c r="P59" s="30"/>
      <c r="Q59" s="30"/>
      <c r="R59" s="30"/>
      <c r="S59" s="30"/>
      <c r="T59" s="30"/>
      <c r="U59" s="30"/>
      <c r="V59" s="31"/>
    </row>
    <row r="60" spans="1:22">
      <c r="A60" s="1" t="s">
        <v>8</v>
      </c>
      <c r="B60" s="29">
        <f>SUM(LIFE)</f>
        <v>0</v>
      </c>
      <c r="C60" s="30">
        <f>SUM(ALLOCATED)</f>
        <v>0</v>
      </c>
      <c r="D60" s="30">
        <f>SUM(HEALTH)</f>
        <v>358340.68864415365</v>
      </c>
      <c r="E60" s="30">
        <f>SUM(UNALLOCATED)</f>
        <v>0</v>
      </c>
      <c r="F60" s="30">
        <f>SUM(LTC)</f>
        <v>0</v>
      </c>
      <c r="G60" s="31">
        <f>SUM(ALL_BLOCKS)</f>
        <v>358340.68864415365</v>
      </c>
      <c r="H60" s="30"/>
      <c r="I60" s="30"/>
      <c r="J60" s="30"/>
      <c r="K60" s="30"/>
      <c r="L60" s="29">
        <f>SUM(LIFE_CALLED)</f>
        <v>0</v>
      </c>
      <c r="M60" s="30">
        <f>SUM(LIFE_REFUNDED)</f>
        <v>0</v>
      </c>
      <c r="N60" s="30"/>
      <c r="O60" s="30">
        <f>SUM(ALLOC_CALLED)</f>
        <v>0</v>
      </c>
      <c r="P60" s="30">
        <f>SUM(ALLOC_REFUNDED)</f>
        <v>0</v>
      </c>
      <c r="Q60" s="30"/>
      <c r="R60" s="30">
        <f>SUM(HEALTH_CALLED)</f>
        <v>250000</v>
      </c>
      <c r="S60" s="30">
        <f>SUM(HEALTH_REFUNDED)</f>
        <v>0</v>
      </c>
      <c r="T60" s="30"/>
      <c r="U60" s="30">
        <f>SUM(UNALLOC_CALLED)</f>
        <v>0</v>
      </c>
      <c r="V60" s="31">
        <f>SUM(UNALLOC_REFUNDED)</f>
        <v>0</v>
      </c>
    </row>
    <row r="61" spans="1:22" ht="5.0999999999999996" customHeight="1">
      <c r="B61" s="8"/>
      <c r="G61" s="11"/>
      <c r="L61" s="8"/>
      <c r="V61" s="11"/>
    </row>
    <row r="62" spans="1:22">
      <c r="B62" s="8"/>
      <c r="G62" s="11"/>
      <c r="L62" s="122" t="s">
        <v>80</v>
      </c>
      <c r="M62" s="123"/>
      <c r="N62" s="123"/>
      <c r="O62" s="123"/>
      <c r="P62" s="123"/>
      <c r="Q62" s="123"/>
      <c r="R62" s="123"/>
      <c r="S62" s="123"/>
      <c r="T62" s="123"/>
      <c r="U62" s="123"/>
      <c r="V62" s="124"/>
    </row>
    <row r="63" spans="1:22">
      <c r="B63" s="8"/>
      <c r="G63" s="11"/>
      <c r="L63" s="125"/>
      <c r="M63" s="123"/>
      <c r="N63" s="123"/>
      <c r="O63" s="123"/>
      <c r="P63" s="123"/>
      <c r="Q63" s="123"/>
      <c r="R63" s="123"/>
      <c r="S63" s="123"/>
      <c r="T63" s="123"/>
      <c r="U63" s="123"/>
      <c r="V63" s="124"/>
    </row>
    <row r="64" spans="1:22">
      <c r="B64" s="10"/>
      <c r="C64" s="7"/>
      <c r="D64" s="7"/>
      <c r="E64" s="7"/>
      <c r="F64" s="7"/>
      <c r="G64" s="13"/>
      <c r="L64" s="126"/>
      <c r="M64" s="127"/>
      <c r="N64" s="127"/>
      <c r="O64" s="127"/>
      <c r="P64" s="127"/>
      <c r="Q64" s="127"/>
      <c r="R64" s="127"/>
      <c r="S64" s="127"/>
      <c r="T64" s="127"/>
      <c r="U64" s="127"/>
      <c r="V64" s="128"/>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pageSetUpPr fitToPage="1"/>
  </sheetPr>
  <dimension ref="A1:V64"/>
  <sheetViews>
    <sheetView zoomScale="75" workbookViewId="0">
      <selection sqref="A1:XFD1048576"/>
    </sheetView>
  </sheetViews>
  <sheetFormatPr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129" t="s">
        <v>168</v>
      </c>
      <c r="B1" s="123"/>
      <c r="C1" s="123"/>
      <c r="D1" s="123"/>
      <c r="E1" s="123"/>
      <c r="F1" s="123"/>
      <c r="G1" s="123"/>
    </row>
    <row r="3" spans="1:22">
      <c r="B3" s="130" t="s">
        <v>1</v>
      </c>
      <c r="C3" s="131"/>
      <c r="D3" s="131"/>
      <c r="E3" s="131"/>
      <c r="F3" s="131"/>
      <c r="G3" s="132"/>
      <c r="L3" s="133" t="s">
        <v>2</v>
      </c>
      <c r="M3" s="134"/>
      <c r="N3" s="134"/>
      <c r="O3" s="134"/>
      <c r="P3" s="134"/>
      <c r="Q3" s="134"/>
      <c r="R3" s="134"/>
      <c r="S3" s="134"/>
      <c r="T3" s="134"/>
      <c r="U3" s="134"/>
      <c r="V3" s="135"/>
    </row>
    <row r="4" spans="1:22">
      <c r="B4" s="8"/>
      <c r="G4" s="11"/>
      <c r="L4" s="136" t="s">
        <v>3</v>
      </c>
      <c r="M4" s="137"/>
      <c r="N4" s="4"/>
      <c r="O4" s="138" t="s">
        <v>4</v>
      </c>
      <c r="P4" s="137"/>
      <c r="Q4" s="4"/>
      <c r="R4" s="138" t="s">
        <v>5</v>
      </c>
      <c r="S4" s="137"/>
      <c r="T4" s="4"/>
      <c r="U4" s="138" t="s">
        <v>6</v>
      </c>
      <c r="V4" s="139"/>
    </row>
    <row r="5" spans="1:22" ht="60" customHeight="1">
      <c r="B5" s="9" t="s">
        <v>3</v>
      </c>
      <c r="C5" s="5" t="s">
        <v>4</v>
      </c>
      <c r="D5" s="5" t="s">
        <v>5</v>
      </c>
      <c r="E5" s="5" t="s">
        <v>6</v>
      </c>
      <c r="F5" s="5" t="s">
        <v>7</v>
      </c>
      <c r="G5" s="12" t="s">
        <v>8</v>
      </c>
      <c r="L5" s="15" t="s">
        <v>9</v>
      </c>
      <c r="M5" s="14" t="s">
        <v>10</v>
      </c>
      <c r="N5" s="14"/>
      <c r="O5" s="14" t="s">
        <v>9</v>
      </c>
      <c r="P5" s="14" t="s">
        <v>10</v>
      </c>
      <c r="Q5" s="14"/>
      <c r="R5" s="14" t="s">
        <v>9</v>
      </c>
      <c r="S5" s="14" t="s">
        <v>10</v>
      </c>
      <c r="T5" s="14"/>
      <c r="U5" s="14" t="s">
        <v>9</v>
      </c>
      <c r="V5" s="16" t="s">
        <v>10</v>
      </c>
    </row>
    <row r="6" spans="1:22">
      <c r="A6" s="1" t="s">
        <v>11</v>
      </c>
      <c r="B6" s="29">
        <v>2906553.5435526799</v>
      </c>
      <c r="C6" s="30">
        <v>0</v>
      </c>
      <c r="D6" s="30">
        <v>-10072.383093101758</v>
      </c>
      <c r="E6" s="30">
        <v>0</v>
      </c>
      <c r="F6" s="30">
        <v>0</v>
      </c>
      <c r="G6" s="31">
        <f>SUM(AL_FINANCIAL)</f>
        <v>2896481.160459578</v>
      </c>
      <c r="H6" s="30"/>
      <c r="I6" s="30"/>
      <c r="J6" s="30"/>
      <c r="K6" s="30"/>
      <c r="L6" s="29"/>
      <c r="M6" s="30"/>
      <c r="N6" s="30"/>
      <c r="O6" s="30"/>
      <c r="P6" s="30"/>
      <c r="Q6" s="30"/>
      <c r="R6" s="30"/>
      <c r="S6" s="30"/>
      <c r="T6" s="30"/>
      <c r="U6" s="30"/>
      <c r="V6" s="31"/>
    </row>
    <row r="7" spans="1:22">
      <c r="A7" s="1" t="s">
        <v>12</v>
      </c>
      <c r="B7" s="29">
        <v>0</v>
      </c>
      <c r="C7" s="30">
        <v>0</v>
      </c>
      <c r="D7" s="30">
        <v>0</v>
      </c>
      <c r="E7" s="30">
        <v>0</v>
      </c>
      <c r="F7" s="30">
        <v>0</v>
      </c>
      <c r="G7" s="31">
        <f>SUM(AK_FINANCIAL)</f>
        <v>0</v>
      </c>
      <c r="H7" s="30"/>
      <c r="I7" s="32"/>
      <c r="J7" s="33"/>
      <c r="K7" s="30"/>
      <c r="L7" s="29"/>
      <c r="M7" s="30"/>
      <c r="N7" s="30"/>
      <c r="O7" s="30"/>
      <c r="P7" s="30"/>
      <c r="Q7" s="30"/>
      <c r="R7" s="30"/>
      <c r="S7" s="30"/>
      <c r="T7" s="30"/>
      <c r="U7" s="30"/>
      <c r="V7" s="31"/>
    </row>
    <row r="8" spans="1:22">
      <c r="A8" s="1" t="s">
        <v>13</v>
      </c>
      <c r="B8" s="29">
        <v>0</v>
      </c>
      <c r="C8" s="30">
        <v>0</v>
      </c>
      <c r="D8" s="30">
        <v>0</v>
      </c>
      <c r="E8" s="30">
        <v>0</v>
      </c>
      <c r="F8" s="30">
        <v>0</v>
      </c>
      <c r="G8" s="31">
        <f>SUM(AZ_FINANCIAL)</f>
        <v>0</v>
      </c>
      <c r="H8" s="30"/>
      <c r="I8" s="34" t="s">
        <v>14</v>
      </c>
      <c r="J8" s="35"/>
      <c r="K8" s="30"/>
      <c r="L8" s="29"/>
      <c r="M8" s="30"/>
      <c r="N8" s="30"/>
      <c r="O8" s="30"/>
      <c r="P8" s="30"/>
      <c r="Q8" s="30"/>
      <c r="R8" s="30"/>
      <c r="S8" s="30"/>
      <c r="T8" s="30"/>
      <c r="U8" s="30"/>
      <c r="V8" s="31"/>
    </row>
    <row r="9" spans="1:22">
      <c r="A9" s="1" t="s">
        <v>15</v>
      </c>
      <c r="B9" s="29">
        <v>-62999.0905018372</v>
      </c>
      <c r="C9" s="30">
        <v>0</v>
      </c>
      <c r="D9" s="30">
        <v>1307.6813112826994</v>
      </c>
      <c r="E9" s="30">
        <v>0</v>
      </c>
      <c r="F9" s="30">
        <v>0</v>
      </c>
      <c r="G9" s="31">
        <f>SUM(AR_FINANCIAL)</f>
        <v>-61691.409190554499</v>
      </c>
      <c r="H9" s="30"/>
      <c r="I9" s="34"/>
      <c r="J9" s="35"/>
      <c r="K9" s="30"/>
      <c r="L9" s="29">
        <v>0</v>
      </c>
      <c r="M9" s="30">
        <v>0</v>
      </c>
      <c r="N9" s="30"/>
      <c r="O9" s="30">
        <v>0</v>
      </c>
      <c r="P9" s="30">
        <v>0</v>
      </c>
      <c r="Q9" s="30"/>
      <c r="R9" s="30">
        <v>0</v>
      </c>
      <c r="S9" s="30">
        <v>0</v>
      </c>
      <c r="T9" s="30"/>
      <c r="U9" s="30">
        <v>0</v>
      </c>
      <c r="V9" s="31">
        <v>0</v>
      </c>
    </row>
    <row r="10" spans="1:22">
      <c r="A10" s="1" t="s">
        <v>16</v>
      </c>
      <c r="B10" s="29">
        <v>-11416.597819861199</v>
      </c>
      <c r="C10" s="30">
        <v>0</v>
      </c>
      <c r="D10" s="30">
        <v>-3.6591199463960891</v>
      </c>
      <c r="E10" s="30">
        <v>0</v>
      </c>
      <c r="F10" s="30">
        <v>0</v>
      </c>
      <c r="G10" s="31">
        <f>SUM(CA_FINANCIAL)</f>
        <v>-11420.256939807596</v>
      </c>
      <c r="H10" s="30"/>
      <c r="I10" s="34" t="s">
        <v>17</v>
      </c>
      <c r="J10" s="35">
        <v>11229052.709999997</v>
      </c>
      <c r="K10" s="30"/>
      <c r="L10" s="29"/>
      <c r="M10" s="30"/>
      <c r="N10" s="30"/>
      <c r="O10" s="30"/>
      <c r="P10" s="30"/>
      <c r="Q10" s="30"/>
      <c r="R10" s="30"/>
      <c r="S10" s="30"/>
      <c r="T10" s="30"/>
      <c r="U10" s="30"/>
      <c r="V10" s="31"/>
    </row>
    <row r="11" spans="1:22">
      <c r="A11" s="1" t="s">
        <v>18</v>
      </c>
      <c r="B11" s="29">
        <v>0</v>
      </c>
      <c r="C11" s="30">
        <v>0</v>
      </c>
      <c r="D11" s="30">
        <v>0</v>
      </c>
      <c r="E11" s="30">
        <v>0</v>
      </c>
      <c r="F11" s="30">
        <v>0</v>
      </c>
      <c r="G11" s="31">
        <f>SUM(CO_FINANCIAL)</f>
        <v>0</v>
      </c>
      <c r="H11" s="30"/>
      <c r="I11" s="34"/>
      <c r="J11" s="35"/>
      <c r="K11" s="30"/>
      <c r="L11" s="29"/>
      <c r="M11" s="30"/>
      <c r="N11" s="30"/>
      <c r="O11" s="30"/>
      <c r="P11" s="30"/>
      <c r="Q11" s="30"/>
      <c r="R11" s="30"/>
      <c r="S11" s="30"/>
      <c r="T11" s="30"/>
      <c r="U11" s="30"/>
      <c r="V11" s="31"/>
    </row>
    <row r="12" spans="1:22">
      <c r="A12" s="1" t="s">
        <v>19</v>
      </c>
      <c r="B12" s="29">
        <v>0</v>
      </c>
      <c r="C12" s="30">
        <v>0</v>
      </c>
      <c r="D12" s="30">
        <v>0</v>
      </c>
      <c r="E12" s="30">
        <v>0</v>
      </c>
      <c r="F12" s="30">
        <v>0</v>
      </c>
      <c r="G12" s="31">
        <f>SUM(CT_FINANCIAL)</f>
        <v>0</v>
      </c>
      <c r="H12" s="30"/>
      <c r="I12" s="34" t="s">
        <v>20</v>
      </c>
      <c r="J12" s="35"/>
      <c r="K12" s="30"/>
      <c r="L12" s="29"/>
      <c r="M12" s="30"/>
      <c r="N12" s="30"/>
      <c r="O12" s="30"/>
      <c r="P12" s="30"/>
      <c r="Q12" s="30"/>
      <c r="R12" s="30"/>
      <c r="S12" s="30"/>
      <c r="T12" s="30"/>
      <c r="U12" s="30"/>
      <c r="V12" s="31"/>
    </row>
    <row r="13" spans="1:22">
      <c r="A13" s="1" t="s">
        <v>21</v>
      </c>
      <c r="B13" s="29">
        <v>0</v>
      </c>
      <c r="C13" s="30">
        <v>0</v>
      </c>
      <c r="D13" s="30">
        <v>0</v>
      </c>
      <c r="E13" s="30">
        <v>0</v>
      </c>
      <c r="F13" s="30">
        <v>0</v>
      </c>
      <c r="G13" s="31">
        <f>SUM(DE_FINANCIAL)</f>
        <v>0</v>
      </c>
      <c r="H13" s="30"/>
      <c r="I13" s="34" t="s">
        <v>22</v>
      </c>
      <c r="J13" s="35">
        <v>2004701.7100000004</v>
      </c>
      <c r="K13" s="30"/>
      <c r="L13" s="29"/>
      <c r="M13" s="30"/>
      <c r="N13" s="30"/>
      <c r="O13" s="30"/>
      <c r="P13" s="30"/>
      <c r="Q13" s="30"/>
      <c r="R13" s="30"/>
      <c r="S13" s="30"/>
      <c r="T13" s="30"/>
      <c r="U13" s="30"/>
      <c r="V13" s="31"/>
    </row>
    <row r="14" spans="1:22">
      <c r="A14" s="1" t="s">
        <v>23</v>
      </c>
      <c r="B14" s="29">
        <v>634.10095840712529</v>
      </c>
      <c r="C14" s="30">
        <v>0</v>
      </c>
      <c r="D14" s="30">
        <v>-0.37581067401151813</v>
      </c>
      <c r="E14" s="30">
        <v>0</v>
      </c>
      <c r="F14" s="30">
        <v>0</v>
      </c>
      <c r="G14" s="31">
        <f>SUM(DC_FINANCIAL)</f>
        <v>633.72514773311377</v>
      </c>
      <c r="H14" s="30"/>
      <c r="I14" s="34" t="s">
        <v>24</v>
      </c>
      <c r="J14" s="35">
        <v>0</v>
      </c>
      <c r="K14" s="30"/>
      <c r="L14" s="29"/>
      <c r="M14" s="30"/>
      <c r="N14" s="30"/>
      <c r="O14" s="30"/>
      <c r="P14" s="30"/>
      <c r="Q14" s="30"/>
      <c r="R14" s="30"/>
      <c r="S14" s="30"/>
      <c r="T14" s="30"/>
      <c r="U14" s="30"/>
      <c r="V14" s="31"/>
    </row>
    <row r="15" spans="1:22">
      <c r="A15" s="1" t="s">
        <v>25</v>
      </c>
      <c r="B15" s="29">
        <v>0</v>
      </c>
      <c r="C15" s="30">
        <v>0</v>
      </c>
      <c r="D15" s="30">
        <v>0</v>
      </c>
      <c r="E15" s="30">
        <v>0</v>
      </c>
      <c r="F15" s="30">
        <v>0</v>
      </c>
      <c r="G15" s="31">
        <f>SUM(FL_FINANCIAL)</f>
        <v>0</v>
      </c>
      <c r="H15" s="30"/>
      <c r="I15" s="34" t="s">
        <v>26</v>
      </c>
      <c r="J15" s="35">
        <v>4771062.9939781129</v>
      </c>
      <c r="K15" s="30"/>
      <c r="L15" s="29"/>
      <c r="M15" s="30"/>
      <c r="N15" s="30"/>
      <c r="O15" s="30"/>
      <c r="P15" s="30"/>
      <c r="Q15" s="30"/>
      <c r="R15" s="30"/>
      <c r="S15" s="30"/>
      <c r="T15" s="30"/>
      <c r="U15" s="30"/>
      <c r="V15" s="31"/>
    </row>
    <row r="16" spans="1:22">
      <c r="A16" s="1" t="s">
        <v>27</v>
      </c>
      <c r="B16" s="29">
        <v>0</v>
      </c>
      <c r="C16" s="30">
        <v>0</v>
      </c>
      <c r="D16" s="30">
        <v>0</v>
      </c>
      <c r="E16" s="30">
        <v>0</v>
      </c>
      <c r="F16" s="30">
        <v>0</v>
      </c>
      <c r="G16" s="31">
        <f>SUM(GA_FINANCIAL)</f>
        <v>0</v>
      </c>
      <c r="H16" s="30"/>
      <c r="I16" s="34" t="s">
        <v>28</v>
      </c>
      <c r="J16" s="35">
        <v>9224351</v>
      </c>
      <c r="K16" s="30"/>
      <c r="L16" s="29"/>
      <c r="M16" s="30"/>
      <c r="N16" s="30"/>
      <c r="O16" s="30"/>
      <c r="P16" s="30"/>
      <c r="Q16" s="30"/>
      <c r="R16" s="30"/>
      <c r="S16" s="30"/>
      <c r="T16" s="30"/>
      <c r="U16" s="30"/>
      <c r="V16" s="31"/>
    </row>
    <row r="17" spans="1:22">
      <c r="A17" s="1" t="s">
        <v>29</v>
      </c>
      <c r="B17" s="29">
        <v>0</v>
      </c>
      <c r="C17" s="30">
        <v>0</v>
      </c>
      <c r="D17" s="30">
        <v>0</v>
      </c>
      <c r="E17" s="30">
        <v>0</v>
      </c>
      <c r="F17" s="30">
        <v>0</v>
      </c>
      <c r="G17" s="31">
        <f>SUM(HI_FINANCIAL)</f>
        <v>0</v>
      </c>
      <c r="H17" s="30"/>
      <c r="I17" s="34"/>
      <c r="J17" s="35"/>
      <c r="K17" s="30"/>
      <c r="L17" s="29"/>
      <c r="M17" s="30"/>
      <c r="N17" s="30"/>
      <c r="O17" s="30"/>
      <c r="P17" s="30"/>
      <c r="Q17" s="30"/>
      <c r="R17" s="30"/>
      <c r="S17" s="30"/>
      <c r="T17" s="30"/>
      <c r="U17" s="30"/>
      <c r="V17" s="31"/>
    </row>
    <row r="18" spans="1:22">
      <c r="A18" s="1" t="s">
        <v>30</v>
      </c>
      <c r="B18" s="29">
        <v>0</v>
      </c>
      <c r="C18" s="30">
        <v>0</v>
      </c>
      <c r="D18" s="30">
        <v>0</v>
      </c>
      <c r="E18" s="30">
        <v>0</v>
      </c>
      <c r="F18" s="30">
        <v>0</v>
      </c>
      <c r="G18" s="31">
        <f>SUM(ID_FINANCIAL)</f>
        <v>0</v>
      </c>
      <c r="H18" s="30"/>
      <c r="I18" s="34" t="s">
        <v>31</v>
      </c>
      <c r="J18" s="35"/>
      <c r="K18" s="30"/>
      <c r="L18" s="29"/>
      <c r="M18" s="30"/>
      <c r="N18" s="30"/>
      <c r="O18" s="30"/>
      <c r="P18" s="30"/>
      <c r="Q18" s="30"/>
      <c r="R18" s="30"/>
      <c r="S18" s="30"/>
      <c r="T18" s="30"/>
      <c r="U18" s="30"/>
      <c r="V18" s="31"/>
    </row>
    <row r="19" spans="1:22">
      <c r="A19" s="1" t="s">
        <v>32</v>
      </c>
      <c r="B19" s="29">
        <v>0</v>
      </c>
      <c r="C19" s="30">
        <v>0</v>
      </c>
      <c r="D19" s="30">
        <v>0</v>
      </c>
      <c r="E19" s="30">
        <v>0</v>
      </c>
      <c r="F19" s="30">
        <v>0</v>
      </c>
      <c r="G19" s="31">
        <f>SUM(IL_FINANCIAL)</f>
        <v>0</v>
      </c>
      <c r="H19" s="30"/>
      <c r="I19" s="34" t="s">
        <v>33</v>
      </c>
      <c r="J19" s="35">
        <v>0</v>
      </c>
      <c r="K19" s="30"/>
      <c r="L19" s="29"/>
      <c r="M19" s="30"/>
      <c r="N19" s="30"/>
      <c r="O19" s="30"/>
      <c r="P19" s="30"/>
      <c r="Q19" s="30"/>
      <c r="R19" s="30"/>
      <c r="S19" s="30"/>
      <c r="T19" s="30"/>
      <c r="U19" s="30"/>
      <c r="V19" s="31"/>
    </row>
    <row r="20" spans="1:22">
      <c r="A20" s="1" t="s">
        <v>34</v>
      </c>
      <c r="B20" s="29">
        <v>0</v>
      </c>
      <c r="C20" s="30">
        <v>0</v>
      </c>
      <c r="D20" s="30">
        <v>0</v>
      </c>
      <c r="E20" s="30">
        <v>0</v>
      </c>
      <c r="F20" s="30">
        <v>0</v>
      </c>
      <c r="G20" s="31">
        <f>SUM(IN_FINANCIAL)</f>
        <v>0</v>
      </c>
      <c r="H20" s="30"/>
      <c r="I20" s="34" t="s">
        <v>35</v>
      </c>
      <c r="J20" s="35">
        <v>11229052.709999997</v>
      </c>
      <c r="K20" s="30"/>
      <c r="L20" s="29"/>
      <c r="M20" s="30"/>
      <c r="N20" s="30"/>
      <c r="O20" s="30"/>
      <c r="P20" s="30"/>
      <c r="Q20" s="30"/>
      <c r="R20" s="30"/>
      <c r="S20" s="30"/>
      <c r="T20" s="30"/>
      <c r="U20" s="30"/>
      <c r="V20" s="31"/>
    </row>
    <row r="21" spans="1:22">
      <c r="A21" s="1" t="s">
        <v>36</v>
      </c>
      <c r="B21" s="29">
        <v>0</v>
      </c>
      <c r="C21" s="30">
        <v>0</v>
      </c>
      <c r="D21" s="30">
        <v>0</v>
      </c>
      <c r="E21" s="30">
        <v>0</v>
      </c>
      <c r="F21" s="30">
        <v>0</v>
      </c>
      <c r="G21" s="31">
        <f>SUM(IA_FINANCIAL)</f>
        <v>0</v>
      </c>
      <c r="H21" s="30"/>
      <c r="I21" s="34" t="s">
        <v>37</v>
      </c>
      <c r="J21" s="35"/>
      <c r="K21" s="30"/>
      <c r="L21" s="29"/>
      <c r="M21" s="30"/>
      <c r="N21" s="30"/>
      <c r="O21" s="30"/>
      <c r="P21" s="30"/>
      <c r="Q21" s="30"/>
      <c r="R21" s="30"/>
      <c r="S21" s="30"/>
      <c r="T21" s="30"/>
      <c r="U21" s="30"/>
      <c r="V21" s="31"/>
    </row>
    <row r="22" spans="1:22">
      <c r="A22" s="1" t="s">
        <v>38</v>
      </c>
      <c r="B22" s="29">
        <v>6591.5681765787194</v>
      </c>
      <c r="C22" s="30">
        <v>0</v>
      </c>
      <c r="D22" s="30">
        <v>58.764029245161055</v>
      </c>
      <c r="E22" s="30">
        <v>0</v>
      </c>
      <c r="F22" s="30">
        <v>0</v>
      </c>
      <c r="G22" s="31">
        <f>SUM(KS_FINANCIAL)</f>
        <v>6650.3322058238809</v>
      </c>
      <c r="H22" s="30"/>
      <c r="I22" s="34" t="s">
        <v>39</v>
      </c>
      <c r="J22" s="35">
        <v>0</v>
      </c>
      <c r="K22" s="30"/>
      <c r="L22" s="29"/>
      <c r="M22" s="30"/>
      <c r="N22" s="30"/>
      <c r="O22" s="30"/>
      <c r="P22" s="30"/>
      <c r="Q22" s="30"/>
      <c r="R22" s="30"/>
      <c r="S22" s="30"/>
      <c r="T22" s="30"/>
      <c r="U22" s="30"/>
      <c r="V22" s="31"/>
    </row>
    <row r="23" spans="1:22">
      <c r="A23" s="1" t="s">
        <v>40</v>
      </c>
      <c r="B23" s="29">
        <v>0</v>
      </c>
      <c r="C23" s="30">
        <v>0</v>
      </c>
      <c r="D23" s="30">
        <v>0</v>
      </c>
      <c r="E23" s="30">
        <v>0</v>
      </c>
      <c r="F23" s="30">
        <v>0</v>
      </c>
      <c r="G23" s="31">
        <f>SUM(KY_FINANCIAL)</f>
        <v>0</v>
      </c>
      <c r="H23" s="30"/>
      <c r="I23" s="34" t="s">
        <v>41</v>
      </c>
      <c r="J23" s="35"/>
      <c r="K23" s="30"/>
      <c r="L23" s="29"/>
      <c r="M23" s="30"/>
      <c r="N23" s="30"/>
      <c r="O23" s="30"/>
      <c r="P23" s="30"/>
      <c r="Q23" s="30"/>
      <c r="R23" s="30"/>
      <c r="S23" s="30"/>
      <c r="T23" s="30"/>
      <c r="U23" s="30"/>
      <c r="V23" s="31"/>
    </row>
    <row r="24" spans="1:22">
      <c r="A24" s="1" t="s">
        <v>42</v>
      </c>
      <c r="B24" s="29">
        <v>89711.28417657793</v>
      </c>
      <c r="C24" s="30">
        <v>0</v>
      </c>
      <c r="D24" s="30">
        <v>118.1168909531599</v>
      </c>
      <c r="E24" s="30">
        <v>0</v>
      </c>
      <c r="F24" s="30">
        <v>0</v>
      </c>
      <c r="G24" s="31">
        <f>SUM(LA_FINANCIAL)</f>
        <v>89829.401067531086</v>
      </c>
      <c r="H24" s="30"/>
      <c r="I24" s="34" t="s">
        <v>43</v>
      </c>
      <c r="J24" s="35">
        <v>12721559.000000002</v>
      </c>
      <c r="K24" s="30"/>
      <c r="L24" s="29"/>
      <c r="M24" s="30"/>
      <c r="N24" s="30"/>
      <c r="O24" s="30"/>
      <c r="P24" s="30"/>
      <c r="Q24" s="30"/>
      <c r="R24" s="30"/>
      <c r="S24" s="30"/>
      <c r="T24" s="30"/>
      <c r="U24" s="30"/>
      <c r="V24" s="31"/>
    </row>
    <row r="25" spans="1:22">
      <c r="A25" s="1" t="s">
        <v>44</v>
      </c>
      <c r="B25" s="29">
        <v>0</v>
      </c>
      <c r="C25" s="30">
        <v>0</v>
      </c>
      <c r="D25" s="30">
        <v>0</v>
      </c>
      <c r="E25" s="30">
        <v>0</v>
      </c>
      <c r="F25" s="30">
        <v>0</v>
      </c>
      <c r="G25" s="31">
        <f>SUM(ME_FINANCIAL)</f>
        <v>0</v>
      </c>
      <c r="H25" s="30"/>
      <c r="I25" s="34"/>
      <c r="J25" s="35"/>
      <c r="K25" s="30"/>
      <c r="L25" s="29"/>
      <c r="M25" s="30"/>
      <c r="N25" s="30"/>
      <c r="O25" s="30"/>
      <c r="P25" s="30"/>
      <c r="Q25" s="30"/>
      <c r="R25" s="30"/>
      <c r="S25" s="30"/>
      <c r="T25" s="30"/>
      <c r="U25" s="30"/>
      <c r="V25" s="31"/>
    </row>
    <row r="26" spans="1:22">
      <c r="A26" s="1" t="s">
        <v>45</v>
      </c>
      <c r="B26" s="29">
        <v>0</v>
      </c>
      <c r="C26" s="30">
        <v>0</v>
      </c>
      <c r="D26" s="30">
        <v>0</v>
      </c>
      <c r="E26" s="30">
        <v>0</v>
      </c>
      <c r="F26" s="30">
        <v>0</v>
      </c>
      <c r="G26" s="31">
        <f>SUM(MD_FINANCIAL)</f>
        <v>0</v>
      </c>
      <c r="H26" s="30"/>
      <c r="I26" s="34" t="s">
        <v>46</v>
      </c>
      <c r="J26" s="35">
        <f>SUM(ADD_FINANCIAL)-SUM(LESS_FINANCIAL)</f>
        <v>3278556.7039781101</v>
      </c>
      <c r="K26" s="30"/>
      <c r="L26" s="29"/>
      <c r="M26" s="30"/>
      <c r="N26" s="30"/>
      <c r="O26" s="30"/>
      <c r="P26" s="30"/>
      <c r="Q26" s="30"/>
      <c r="R26" s="30"/>
      <c r="S26" s="30"/>
      <c r="T26" s="30"/>
      <c r="U26" s="30"/>
      <c r="V26" s="31"/>
    </row>
    <row r="27" spans="1:22">
      <c r="A27" s="1" t="s">
        <v>47</v>
      </c>
      <c r="B27" s="29">
        <v>0</v>
      </c>
      <c r="C27" s="30">
        <v>0</v>
      </c>
      <c r="D27" s="30">
        <v>0</v>
      </c>
      <c r="E27" s="30">
        <v>0</v>
      </c>
      <c r="F27" s="30">
        <v>0</v>
      </c>
      <c r="G27" s="31">
        <f>SUM(MA_FINANCIAL)</f>
        <v>0</v>
      </c>
      <c r="H27" s="30"/>
      <c r="I27" s="34" t="s">
        <v>48</v>
      </c>
      <c r="J27" s="35">
        <f>SUM(ALL_BLOCKS)</f>
        <v>3278556.7039781129</v>
      </c>
      <c r="K27" s="30"/>
      <c r="L27" s="29"/>
      <c r="M27" s="30"/>
      <c r="N27" s="30"/>
      <c r="O27" s="30"/>
      <c r="P27" s="30"/>
      <c r="Q27" s="30"/>
      <c r="R27" s="30"/>
      <c r="S27" s="30"/>
      <c r="T27" s="30"/>
      <c r="U27" s="30"/>
      <c r="V27" s="31"/>
    </row>
    <row r="28" spans="1:22">
      <c r="A28" s="1" t="s">
        <v>49</v>
      </c>
      <c r="B28" s="29">
        <v>0</v>
      </c>
      <c r="C28" s="30">
        <v>0</v>
      </c>
      <c r="D28" s="30">
        <v>0</v>
      </c>
      <c r="E28" s="30">
        <v>0</v>
      </c>
      <c r="F28" s="30">
        <v>0</v>
      </c>
      <c r="G28" s="31">
        <f>SUM(MI_FINANCIAL)</f>
        <v>0</v>
      </c>
      <c r="H28" s="30"/>
      <c r="I28" s="36"/>
      <c r="J28" s="37"/>
      <c r="K28" s="30"/>
      <c r="L28" s="29"/>
      <c r="M28" s="30"/>
      <c r="N28" s="30"/>
      <c r="O28" s="30"/>
      <c r="P28" s="30"/>
      <c r="Q28" s="30"/>
      <c r="R28" s="30"/>
      <c r="S28" s="30"/>
      <c r="T28" s="30"/>
      <c r="U28" s="30"/>
      <c r="V28" s="31"/>
    </row>
    <row r="29" spans="1:22">
      <c r="A29" s="1" t="s">
        <v>50</v>
      </c>
      <c r="B29" s="29">
        <v>0</v>
      </c>
      <c r="C29" s="30">
        <v>0</v>
      </c>
      <c r="D29" s="30">
        <v>0</v>
      </c>
      <c r="E29" s="30">
        <v>0</v>
      </c>
      <c r="F29" s="30">
        <v>0</v>
      </c>
      <c r="G29" s="31">
        <f>SUM(MN_FINANCIAL)</f>
        <v>0</v>
      </c>
      <c r="H29" s="30"/>
      <c r="I29" s="30"/>
      <c r="J29" s="30"/>
      <c r="K29" s="30"/>
      <c r="L29" s="29"/>
      <c r="M29" s="30"/>
      <c r="N29" s="30"/>
      <c r="O29" s="30"/>
      <c r="P29" s="30"/>
      <c r="Q29" s="30"/>
      <c r="R29" s="30"/>
      <c r="S29" s="30"/>
      <c r="T29" s="30"/>
      <c r="U29" s="30"/>
      <c r="V29" s="31"/>
    </row>
    <row r="30" spans="1:22">
      <c r="A30" s="1" t="s">
        <v>51</v>
      </c>
      <c r="B30" s="29">
        <v>19829.862378071542</v>
      </c>
      <c r="C30" s="30">
        <v>0</v>
      </c>
      <c r="D30" s="30">
        <v>1249.7270473264052</v>
      </c>
      <c r="E30" s="30">
        <v>0</v>
      </c>
      <c r="F30" s="30">
        <v>0</v>
      </c>
      <c r="G30" s="31">
        <f>SUM(MS_FINANCIAL)</f>
        <v>21079.58942539795</v>
      </c>
      <c r="H30" s="30"/>
      <c r="I30" s="30"/>
      <c r="J30" s="30"/>
      <c r="K30" s="30"/>
      <c r="L30" s="29"/>
      <c r="M30" s="30"/>
      <c r="N30" s="30"/>
      <c r="O30" s="30"/>
      <c r="P30" s="30"/>
      <c r="Q30" s="30"/>
      <c r="R30" s="30"/>
      <c r="S30" s="30"/>
      <c r="T30" s="30"/>
      <c r="U30" s="30"/>
      <c r="V30" s="31"/>
    </row>
    <row r="31" spans="1:22">
      <c r="A31" s="1" t="s">
        <v>52</v>
      </c>
      <c r="B31" s="29">
        <v>-46235.300922502815</v>
      </c>
      <c r="C31" s="30">
        <v>0</v>
      </c>
      <c r="D31" s="30">
        <v>-4938.0820329257485</v>
      </c>
      <c r="E31" s="30">
        <v>0</v>
      </c>
      <c r="F31" s="30">
        <v>0</v>
      </c>
      <c r="G31" s="31">
        <f>SUM(MO_FINANCIAL)</f>
        <v>-51173.382955428562</v>
      </c>
      <c r="H31" s="30"/>
      <c r="I31" s="30"/>
      <c r="J31" s="30"/>
      <c r="K31" s="30"/>
      <c r="L31" s="29"/>
      <c r="M31" s="30"/>
      <c r="N31" s="30"/>
      <c r="O31" s="30"/>
      <c r="P31" s="30"/>
      <c r="Q31" s="30"/>
      <c r="R31" s="30"/>
      <c r="S31" s="30"/>
      <c r="T31" s="30"/>
      <c r="U31" s="30"/>
      <c r="V31" s="31"/>
    </row>
    <row r="32" spans="1:22">
      <c r="A32" s="1" t="s">
        <v>53</v>
      </c>
      <c r="B32" s="29">
        <v>0</v>
      </c>
      <c r="C32" s="30">
        <v>0</v>
      </c>
      <c r="D32" s="30">
        <v>0</v>
      </c>
      <c r="E32" s="30">
        <v>0</v>
      </c>
      <c r="F32" s="30">
        <v>0</v>
      </c>
      <c r="G32" s="31">
        <f>SUM(MT_FINANCIAL)</f>
        <v>0</v>
      </c>
      <c r="H32" s="30"/>
      <c r="I32" s="30"/>
      <c r="J32" s="30"/>
      <c r="K32" s="30"/>
      <c r="L32" s="29"/>
      <c r="M32" s="30"/>
      <c r="N32" s="30"/>
      <c r="O32" s="30"/>
      <c r="P32" s="30"/>
      <c r="Q32" s="30"/>
      <c r="R32" s="30"/>
      <c r="S32" s="30"/>
      <c r="T32" s="30"/>
      <c r="U32" s="30"/>
      <c r="V32" s="31"/>
    </row>
    <row r="33" spans="1:22">
      <c r="A33" s="1" t="s">
        <v>54</v>
      </c>
      <c r="B33" s="29">
        <v>0</v>
      </c>
      <c r="C33" s="30">
        <v>0</v>
      </c>
      <c r="D33" s="30">
        <v>0</v>
      </c>
      <c r="E33" s="30">
        <v>0</v>
      </c>
      <c r="F33" s="30">
        <v>0</v>
      </c>
      <c r="G33" s="31">
        <f>SUM(NE_FINANCIAL)</f>
        <v>0</v>
      </c>
      <c r="H33" s="30"/>
      <c r="I33" s="30"/>
      <c r="J33" s="30"/>
      <c r="K33" s="30"/>
      <c r="L33" s="29"/>
      <c r="M33" s="30"/>
      <c r="N33" s="30"/>
      <c r="O33" s="30"/>
      <c r="P33" s="30"/>
      <c r="Q33" s="30"/>
      <c r="R33" s="30"/>
      <c r="S33" s="30"/>
      <c r="T33" s="30"/>
      <c r="U33" s="30"/>
      <c r="V33" s="31"/>
    </row>
    <row r="34" spans="1:22">
      <c r="A34" s="1" t="s">
        <v>55</v>
      </c>
      <c r="B34" s="29">
        <v>0</v>
      </c>
      <c r="C34" s="30">
        <v>0</v>
      </c>
      <c r="D34" s="30">
        <v>0</v>
      </c>
      <c r="E34" s="30">
        <v>0</v>
      </c>
      <c r="F34" s="30">
        <v>0</v>
      </c>
      <c r="G34" s="31">
        <f>SUM(NV_FINANCIAL)</f>
        <v>0</v>
      </c>
      <c r="H34" s="30"/>
      <c r="I34" s="30"/>
      <c r="J34" s="30"/>
      <c r="K34" s="30"/>
      <c r="L34" s="29"/>
      <c r="M34" s="30"/>
      <c r="N34" s="30"/>
      <c r="O34" s="30"/>
      <c r="P34" s="30"/>
      <c r="Q34" s="30"/>
      <c r="R34" s="30"/>
      <c r="S34" s="30"/>
      <c r="T34" s="30"/>
      <c r="U34" s="30"/>
      <c r="V34" s="31"/>
    </row>
    <row r="35" spans="1:22">
      <c r="A35" s="1" t="s">
        <v>56</v>
      </c>
      <c r="B35" s="29">
        <v>0</v>
      </c>
      <c r="C35" s="30">
        <v>0</v>
      </c>
      <c r="D35" s="30">
        <v>0</v>
      </c>
      <c r="E35" s="30">
        <v>0</v>
      </c>
      <c r="F35" s="30">
        <v>0</v>
      </c>
      <c r="G35" s="31">
        <f>SUM(NH_FINANCIAL)</f>
        <v>0</v>
      </c>
      <c r="H35" s="30"/>
      <c r="I35" s="30"/>
      <c r="J35" s="30"/>
      <c r="K35" s="30"/>
      <c r="L35" s="29"/>
      <c r="M35" s="30"/>
      <c r="N35" s="30"/>
      <c r="O35" s="30"/>
      <c r="P35" s="30"/>
      <c r="Q35" s="30"/>
      <c r="R35" s="30"/>
      <c r="S35" s="30"/>
      <c r="T35" s="30"/>
      <c r="U35" s="30"/>
      <c r="V35" s="31"/>
    </row>
    <row r="36" spans="1:22">
      <c r="A36" s="1" t="s">
        <v>57</v>
      </c>
      <c r="B36" s="29">
        <v>0</v>
      </c>
      <c r="C36" s="30">
        <v>0</v>
      </c>
      <c r="D36" s="30">
        <v>0</v>
      </c>
      <c r="E36" s="30">
        <v>0</v>
      </c>
      <c r="F36" s="30">
        <v>0</v>
      </c>
      <c r="G36" s="31">
        <f>SUM(NJ_FINANCIAL)</f>
        <v>0</v>
      </c>
      <c r="H36" s="30"/>
      <c r="I36" s="30"/>
      <c r="J36" s="30"/>
      <c r="K36" s="30"/>
      <c r="L36" s="29"/>
      <c r="M36" s="30"/>
      <c r="N36" s="30"/>
      <c r="O36" s="30"/>
      <c r="P36" s="30"/>
      <c r="Q36" s="30"/>
      <c r="R36" s="30"/>
      <c r="S36" s="30"/>
      <c r="T36" s="30"/>
      <c r="U36" s="30"/>
      <c r="V36" s="31"/>
    </row>
    <row r="37" spans="1:22">
      <c r="A37" s="1" t="s">
        <v>58</v>
      </c>
      <c r="B37" s="29">
        <v>0</v>
      </c>
      <c r="C37" s="30">
        <v>0</v>
      </c>
      <c r="D37" s="30">
        <v>0</v>
      </c>
      <c r="E37" s="30">
        <v>0</v>
      </c>
      <c r="F37" s="30">
        <v>0</v>
      </c>
      <c r="G37" s="31">
        <f>SUM(NM_FINANCIAL)</f>
        <v>0</v>
      </c>
      <c r="H37" s="30"/>
      <c r="I37" s="30"/>
      <c r="J37" s="30"/>
      <c r="K37" s="30"/>
      <c r="L37" s="29"/>
      <c r="M37" s="30"/>
      <c r="N37" s="30"/>
      <c r="O37" s="30"/>
      <c r="P37" s="30"/>
      <c r="Q37" s="30"/>
      <c r="R37" s="30"/>
      <c r="S37" s="30"/>
      <c r="T37" s="30"/>
      <c r="U37" s="30"/>
      <c r="V37" s="31"/>
    </row>
    <row r="38" spans="1:22">
      <c r="A38" s="1" t="s">
        <v>59</v>
      </c>
      <c r="B38" s="29">
        <v>0</v>
      </c>
      <c r="C38" s="30">
        <v>0</v>
      </c>
      <c r="D38" s="30">
        <v>0</v>
      </c>
      <c r="E38" s="30">
        <v>0</v>
      </c>
      <c r="F38" s="30">
        <v>0</v>
      </c>
      <c r="G38" s="31">
        <f>SUM(NY_FINANCIAL)</f>
        <v>0</v>
      </c>
      <c r="H38" s="30"/>
      <c r="I38" s="30"/>
      <c r="J38" s="30"/>
      <c r="K38" s="30"/>
      <c r="L38" s="29"/>
      <c r="M38" s="30"/>
      <c r="N38" s="30"/>
      <c r="O38" s="30"/>
      <c r="P38" s="30"/>
      <c r="Q38" s="30"/>
      <c r="R38" s="30"/>
      <c r="S38" s="30"/>
      <c r="T38" s="30"/>
      <c r="U38" s="30"/>
      <c r="V38" s="31"/>
    </row>
    <row r="39" spans="1:22">
      <c r="A39" s="1" t="s">
        <v>60</v>
      </c>
      <c r="B39" s="29">
        <v>0</v>
      </c>
      <c r="C39" s="30">
        <v>0</v>
      </c>
      <c r="D39" s="30">
        <v>0</v>
      </c>
      <c r="E39" s="30">
        <v>0</v>
      </c>
      <c r="F39" s="30">
        <v>0</v>
      </c>
      <c r="G39" s="31">
        <f>SUM(NC_FINANCIAL)</f>
        <v>0</v>
      </c>
      <c r="H39" s="30"/>
      <c r="I39" s="30"/>
      <c r="J39" s="30"/>
      <c r="K39" s="30"/>
      <c r="L39" s="29"/>
      <c r="M39" s="30"/>
      <c r="N39" s="30"/>
      <c r="O39" s="30"/>
      <c r="P39" s="30"/>
      <c r="Q39" s="30"/>
      <c r="R39" s="30"/>
      <c r="S39" s="30"/>
      <c r="T39" s="30"/>
      <c r="U39" s="30"/>
      <c r="V39" s="31"/>
    </row>
    <row r="40" spans="1:22">
      <c r="A40" s="1" t="s">
        <v>61</v>
      </c>
      <c r="B40" s="29">
        <v>0</v>
      </c>
      <c r="C40" s="30">
        <v>0</v>
      </c>
      <c r="D40" s="30">
        <v>0</v>
      </c>
      <c r="E40" s="30">
        <v>0</v>
      </c>
      <c r="F40" s="30">
        <v>0</v>
      </c>
      <c r="G40" s="31">
        <f>SUM(ND_FINANCIAL)</f>
        <v>0</v>
      </c>
      <c r="H40" s="30"/>
      <c r="I40" s="30"/>
      <c r="J40" s="30"/>
      <c r="K40" s="30"/>
      <c r="L40" s="29"/>
      <c r="M40" s="30"/>
      <c r="N40" s="30"/>
      <c r="O40" s="30"/>
      <c r="P40" s="30"/>
      <c r="Q40" s="30"/>
      <c r="R40" s="30"/>
      <c r="S40" s="30"/>
      <c r="T40" s="30"/>
      <c r="U40" s="30"/>
      <c r="V40" s="31"/>
    </row>
    <row r="41" spans="1:22">
      <c r="A41" s="1" t="s">
        <v>62</v>
      </c>
      <c r="B41" s="29">
        <v>0</v>
      </c>
      <c r="C41" s="30">
        <v>0</v>
      </c>
      <c r="D41" s="30">
        <v>0</v>
      </c>
      <c r="E41" s="30">
        <v>0</v>
      </c>
      <c r="F41" s="30">
        <v>0</v>
      </c>
      <c r="G41" s="31">
        <f>SUM(OH_FINANCIAL)</f>
        <v>0</v>
      </c>
      <c r="H41" s="30"/>
      <c r="I41" s="30"/>
      <c r="J41" s="30"/>
      <c r="K41" s="30"/>
      <c r="L41" s="29"/>
      <c r="M41" s="30"/>
      <c r="N41" s="30"/>
      <c r="O41" s="30"/>
      <c r="P41" s="30"/>
      <c r="Q41" s="30"/>
      <c r="R41" s="30"/>
      <c r="S41" s="30"/>
      <c r="T41" s="30"/>
      <c r="U41" s="30"/>
      <c r="V41" s="31"/>
    </row>
    <row r="42" spans="1:22">
      <c r="A42" s="1" t="s">
        <v>63</v>
      </c>
      <c r="B42" s="29">
        <v>6867.6717692119419</v>
      </c>
      <c r="C42" s="30">
        <v>0</v>
      </c>
      <c r="D42" s="30">
        <v>-0.16794779871997889</v>
      </c>
      <c r="E42" s="30">
        <v>0</v>
      </c>
      <c r="F42" s="30">
        <v>0</v>
      </c>
      <c r="G42" s="31">
        <f>SUM(OK_FINANCIAL)</f>
        <v>6867.5038214132219</v>
      </c>
      <c r="H42" s="30"/>
      <c r="I42" s="30"/>
      <c r="J42" s="30"/>
      <c r="K42" s="30"/>
      <c r="L42" s="29">
        <v>100000</v>
      </c>
      <c r="M42" s="30">
        <v>0</v>
      </c>
      <c r="N42" s="30"/>
      <c r="O42" s="30">
        <v>0</v>
      </c>
      <c r="P42" s="30">
        <v>0</v>
      </c>
      <c r="Q42" s="30"/>
      <c r="R42" s="30">
        <v>0</v>
      </c>
      <c r="S42" s="30">
        <v>0</v>
      </c>
      <c r="T42" s="30"/>
      <c r="U42" s="30">
        <v>0</v>
      </c>
      <c r="V42" s="31">
        <v>0</v>
      </c>
    </row>
    <row r="43" spans="1:22">
      <c r="A43" s="1" t="s">
        <v>64</v>
      </c>
      <c r="B43" s="29">
        <v>0</v>
      </c>
      <c r="C43" s="30">
        <v>0</v>
      </c>
      <c r="D43" s="30">
        <v>0</v>
      </c>
      <c r="E43" s="30">
        <v>0</v>
      </c>
      <c r="F43" s="30">
        <v>0</v>
      </c>
      <c r="G43" s="31">
        <f>SUM(OR_FINANCIAL)</f>
        <v>0</v>
      </c>
      <c r="H43" s="30"/>
      <c r="I43" s="30"/>
      <c r="J43" s="30"/>
      <c r="K43" s="30"/>
      <c r="L43" s="29"/>
      <c r="M43" s="30"/>
      <c r="N43" s="30"/>
      <c r="O43" s="30"/>
      <c r="P43" s="30"/>
      <c r="Q43" s="30"/>
      <c r="R43" s="30"/>
      <c r="S43" s="30"/>
      <c r="T43" s="30"/>
      <c r="U43" s="30"/>
      <c r="V43" s="31"/>
    </row>
    <row r="44" spans="1:22">
      <c r="A44" s="1" t="s">
        <v>65</v>
      </c>
      <c r="B44" s="29">
        <v>0</v>
      </c>
      <c r="C44" s="30">
        <v>0</v>
      </c>
      <c r="D44" s="30">
        <v>0</v>
      </c>
      <c r="E44" s="30">
        <v>0</v>
      </c>
      <c r="F44" s="30">
        <v>0</v>
      </c>
      <c r="G44" s="31">
        <f>SUM(PA_FINANCIAL)</f>
        <v>0</v>
      </c>
      <c r="H44" s="30"/>
      <c r="I44" s="30"/>
      <c r="J44" s="30"/>
      <c r="K44" s="30"/>
      <c r="L44" s="29"/>
      <c r="M44" s="30"/>
      <c r="N44" s="30"/>
      <c r="O44" s="30"/>
      <c r="P44" s="30"/>
      <c r="Q44" s="30"/>
      <c r="R44" s="30"/>
      <c r="S44" s="30"/>
      <c r="T44" s="30"/>
      <c r="U44" s="30"/>
      <c r="V44" s="31"/>
    </row>
    <row r="45" spans="1:22">
      <c r="A45" s="1" t="s">
        <v>66</v>
      </c>
      <c r="B45" s="29">
        <v>0</v>
      </c>
      <c r="C45" s="30">
        <v>0</v>
      </c>
      <c r="D45" s="30">
        <v>0</v>
      </c>
      <c r="E45" s="30">
        <v>0</v>
      </c>
      <c r="F45" s="30">
        <v>0</v>
      </c>
      <c r="G45" s="31">
        <f>SUM(PR_FINANCIAL)</f>
        <v>0</v>
      </c>
      <c r="H45" s="30"/>
      <c r="I45" s="30"/>
      <c r="J45" s="30"/>
      <c r="K45" s="30"/>
      <c r="L45" s="29"/>
      <c r="M45" s="30"/>
      <c r="N45" s="30"/>
      <c r="O45" s="30"/>
      <c r="P45" s="30"/>
      <c r="Q45" s="30"/>
      <c r="R45" s="30"/>
      <c r="S45" s="30"/>
      <c r="T45" s="30"/>
      <c r="U45" s="30"/>
      <c r="V45" s="31"/>
    </row>
    <row r="46" spans="1:22">
      <c r="A46" s="1" t="s">
        <v>67</v>
      </c>
      <c r="B46" s="29">
        <v>0</v>
      </c>
      <c r="C46" s="30">
        <v>0</v>
      </c>
      <c r="D46" s="30">
        <v>0</v>
      </c>
      <c r="E46" s="30">
        <v>0</v>
      </c>
      <c r="F46" s="30">
        <v>0</v>
      </c>
      <c r="G46" s="31">
        <f>SUM(RI_FINANCIAL)</f>
        <v>0</v>
      </c>
      <c r="H46" s="30"/>
      <c r="I46" s="30"/>
      <c r="J46" s="30"/>
      <c r="K46" s="30"/>
      <c r="L46" s="29"/>
      <c r="M46" s="30"/>
      <c r="N46" s="30"/>
      <c r="O46" s="30"/>
      <c r="P46" s="30"/>
      <c r="Q46" s="30"/>
      <c r="R46" s="30"/>
      <c r="S46" s="30"/>
      <c r="T46" s="30"/>
      <c r="U46" s="30"/>
      <c r="V46" s="31"/>
    </row>
    <row r="47" spans="1:22">
      <c r="A47" s="1" t="s">
        <v>68</v>
      </c>
      <c r="B47" s="29">
        <v>0</v>
      </c>
      <c r="C47" s="30">
        <v>0</v>
      </c>
      <c r="D47" s="30">
        <v>0</v>
      </c>
      <c r="E47" s="30">
        <v>0</v>
      </c>
      <c r="F47" s="30">
        <v>0</v>
      </c>
      <c r="G47" s="31">
        <f>SUM(SC_FINANCIAL)</f>
        <v>0</v>
      </c>
      <c r="H47" s="30"/>
      <c r="I47" s="30"/>
      <c r="J47" s="30"/>
      <c r="K47" s="30"/>
      <c r="L47" s="29"/>
      <c r="M47" s="30"/>
      <c r="N47" s="30"/>
      <c r="O47" s="30"/>
      <c r="P47" s="30"/>
      <c r="Q47" s="30"/>
      <c r="R47" s="30"/>
      <c r="S47" s="30"/>
      <c r="T47" s="30"/>
      <c r="U47" s="30"/>
      <c r="V47" s="31"/>
    </row>
    <row r="48" spans="1:22">
      <c r="A48" s="1" t="s">
        <v>69</v>
      </c>
      <c r="B48" s="29">
        <v>0</v>
      </c>
      <c r="C48" s="30">
        <v>0</v>
      </c>
      <c r="D48" s="30">
        <v>0</v>
      </c>
      <c r="E48" s="30">
        <v>0</v>
      </c>
      <c r="F48" s="30">
        <v>0</v>
      </c>
      <c r="G48" s="31">
        <f>SUM(SD_FINANCIAL)</f>
        <v>0</v>
      </c>
      <c r="H48" s="30"/>
      <c r="I48" s="30"/>
      <c r="J48" s="30"/>
      <c r="K48" s="30"/>
      <c r="L48" s="29"/>
      <c r="M48" s="30"/>
      <c r="N48" s="30"/>
      <c r="O48" s="30"/>
      <c r="P48" s="30"/>
      <c r="Q48" s="30"/>
      <c r="R48" s="30"/>
      <c r="S48" s="30"/>
      <c r="T48" s="30"/>
      <c r="U48" s="30"/>
      <c r="V48" s="31"/>
    </row>
    <row r="49" spans="1:22">
      <c r="A49" s="1" t="s">
        <v>70</v>
      </c>
      <c r="B49" s="29">
        <v>203295.38858040213</v>
      </c>
      <c r="C49" s="30">
        <v>0</v>
      </c>
      <c r="D49" s="30">
        <v>-487.64977361485808</v>
      </c>
      <c r="E49" s="30">
        <v>0</v>
      </c>
      <c r="F49" s="30">
        <v>0</v>
      </c>
      <c r="G49" s="31">
        <f>SUM(TN_FINANCIAL)</f>
        <v>202807.73880678727</v>
      </c>
      <c r="H49" s="30"/>
      <c r="I49" s="30"/>
      <c r="J49" s="30"/>
      <c r="K49" s="30"/>
      <c r="L49" s="29"/>
      <c r="M49" s="30"/>
      <c r="N49" s="30"/>
      <c r="O49" s="30"/>
      <c r="P49" s="30"/>
      <c r="Q49" s="30"/>
      <c r="R49" s="30"/>
      <c r="S49" s="30"/>
      <c r="T49" s="30"/>
      <c r="U49" s="30"/>
      <c r="V49" s="31"/>
    </row>
    <row r="50" spans="1:22">
      <c r="A50" s="1" t="s">
        <v>71</v>
      </c>
      <c r="B50" s="29">
        <v>69363.955683978158</v>
      </c>
      <c r="C50" s="30">
        <v>0</v>
      </c>
      <c r="D50" s="30">
        <v>-222.90656843383476</v>
      </c>
      <c r="E50" s="30">
        <v>0</v>
      </c>
      <c r="F50" s="30">
        <v>0</v>
      </c>
      <c r="G50" s="31">
        <f>SUM(TX_FINANCIAL)</f>
        <v>69141.049115544331</v>
      </c>
      <c r="H50" s="30"/>
      <c r="I50" s="30"/>
      <c r="J50" s="30"/>
      <c r="K50" s="30"/>
      <c r="L50" s="29">
        <v>224994</v>
      </c>
      <c r="M50" s="30">
        <v>0</v>
      </c>
      <c r="N50" s="30"/>
      <c r="O50" s="30">
        <v>0</v>
      </c>
      <c r="P50" s="30">
        <v>0</v>
      </c>
      <c r="Q50" s="30"/>
      <c r="R50" s="30">
        <v>0</v>
      </c>
      <c r="S50" s="30">
        <v>0</v>
      </c>
      <c r="T50" s="30"/>
      <c r="U50" s="30">
        <v>0</v>
      </c>
      <c r="V50" s="31">
        <v>0</v>
      </c>
    </row>
    <row r="51" spans="1:22">
      <c r="A51" s="1" t="s">
        <v>72</v>
      </c>
      <c r="B51" s="29">
        <v>0</v>
      </c>
      <c r="C51" s="30">
        <v>0</v>
      </c>
      <c r="D51" s="30">
        <v>0</v>
      </c>
      <c r="E51" s="30">
        <v>0</v>
      </c>
      <c r="F51" s="30">
        <v>0</v>
      </c>
      <c r="G51" s="31">
        <f>SUM(UT_FINANCIAL)</f>
        <v>0</v>
      </c>
      <c r="H51" s="30"/>
      <c r="I51" s="30"/>
      <c r="J51" s="30"/>
      <c r="K51" s="30"/>
      <c r="L51" s="29"/>
      <c r="M51" s="30"/>
      <c r="N51" s="30"/>
      <c r="O51" s="30"/>
      <c r="P51" s="30"/>
      <c r="Q51" s="30"/>
      <c r="R51" s="30"/>
      <c r="S51" s="30"/>
      <c r="T51" s="30"/>
      <c r="U51" s="30"/>
      <c r="V51" s="31"/>
    </row>
    <row r="52" spans="1:22">
      <c r="A52" s="1" t="s">
        <v>73</v>
      </c>
      <c r="B52" s="29">
        <v>0</v>
      </c>
      <c r="C52" s="30">
        <v>0</v>
      </c>
      <c r="D52" s="30">
        <v>0</v>
      </c>
      <c r="E52" s="30">
        <v>0</v>
      </c>
      <c r="F52" s="30">
        <v>0</v>
      </c>
      <c r="G52" s="31">
        <f>SUM(VT_FINANCIAL)</f>
        <v>0</v>
      </c>
      <c r="H52" s="30"/>
      <c r="I52" s="30"/>
      <c r="J52" s="30"/>
      <c r="K52" s="30"/>
      <c r="L52" s="29"/>
      <c r="M52" s="30"/>
      <c r="N52" s="30"/>
      <c r="O52" s="30"/>
      <c r="P52" s="30"/>
      <c r="Q52" s="30"/>
      <c r="R52" s="30"/>
      <c r="S52" s="30"/>
      <c r="T52" s="30"/>
      <c r="U52" s="30"/>
      <c r="V52" s="31"/>
    </row>
    <row r="53" spans="1:22">
      <c r="A53" s="1" t="s">
        <v>74</v>
      </c>
      <c r="B53" s="29">
        <v>109510.76110767561</v>
      </c>
      <c r="C53" s="30">
        <v>0</v>
      </c>
      <c r="D53" s="30">
        <v>-159.50809358116192</v>
      </c>
      <c r="E53" s="30">
        <v>0</v>
      </c>
      <c r="F53" s="30">
        <v>0</v>
      </c>
      <c r="G53" s="31">
        <f>SUM(VA_FINANCIAL)</f>
        <v>109351.25301409446</v>
      </c>
      <c r="H53" s="30"/>
      <c r="I53" s="30"/>
      <c r="J53" s="30"/>
      <c r="K53" s="30"/>
      <c r="L53" s="29"/>
      <c r="M53" s="30"/>
      <c r="N53" s="30"/>
      <c r="O53" s="30"/>
      <c r="P53" s="30"/>
      <c r="Q53" s="30"/>
      <c r="R53" s="30"/>
      <c r="S53" s="30"/>
      <c r="T53" s="30"/>
      <c r="U53" s="30"/>
      <c r="V53" s="31"/>
    </row>
    <row r="54" spans="1:22">
      <c r="A54" s="1" t="s">
        <v>75</v>
      </c>
      <c r="B54" s="29">
        <v>0</v>
      </c>
      <c r="C54" s="30">
        <v>0</v>
      </c>
      <c r="D54" s="30">
        <v>0</v>
      </c>
      <c r="E54" s="30">
        <v>0</v>
      </c>
      <c r="F54" s="30">
        <v>0</v>
      </c>
      <c r="G54" s="31">
        <f>SUM(WA_FINANCIAL)</f>
        <v>0</v>
      </c>
      <c r="H54" s="30"/>
      <c r="I54" s="30"/>
      <c r="J54" s="30"/>
      <c r="K54" s="30"/>
      <c r="L54" s="29"/>
      <c r="M54" s="30"/>
      <c r="N54" s="30"/>
      <c r="O54" s="30"/>
      <c r="P54" s="30"/>
      <c r="Q54" s="30"/>
      <c r="R54" s="30"/>
      <c r="S54" s="30"/>
      <c r="T54" s="30"/>
      <c r="U54" s="30"/>
      <c r="V54" s="31"/>
    </row>
    <row r="55" spans="1:22">
      <c r="A55" s="1" t="s">
        <v>76</v>
      </c>
      <c r="B55" s="29">
        <v>0</v>
      </c>
      <c r="C55" s="30">
        <v>0</v>
      </c>
      <c r="D55" s="30">
        <v>0</v>
      </c>
      <c r="E55" s="30">
        <v>0</v>
      </c>
      <c r="F55" s="30">
        <v>0</v>
      </c>
      <c r="G55" s="31">
        <f>SUM(WV_FINANCIAL)</f>
        <v>0</v>
      </c>
      <c r="H55" s="30"/>
      <c r="I55" s="30"/>
      <c r="J55" s="30"/>
      <c r="K55" s="30"/>
      <c r="L55" s="29"/>
      <c r="M55" s="30"/>
      <c r="N55" s="30"/>
      <c r="O55" s="30"/>
      <c r="P55" s="30"/>
      <c r="Q55" s="30"/>
      <c r="R55" s="30"/>
      <c r="S55" s="30"/>
      <c r="T55" s="30"/>
      <c r="U55" s="30"/>
      <c r="V55" s="31"/>
    </row>
    <row r="56" spans="1:22">
      <c r="A56" s="1" t="s">
        <v>77</v>
      </c>
      <c r="B56" s="29">
        <v>0</v>
      </c>
      <c r="C56" s="30">
        <v>0</v>
      </c>
      <c r="D56" s="30">
        <v>0</v>
      </c>
      <c r="E56" s="30">
        <v>0</v>
      </c>
      <c r="F56" s="30">
        <v>0</v>
      </c>
      <c r="G56" s="31">
        <f>SUM(WI_FINANCIAL)</f>
        <v>0</v>
      </c>
      <c r="H56" s="30"/>
      <c r="I56" s="30"/>
      <c r="J56" s="30"/>
      <c r="K56" s="30"/>
      <c r="L56" s="29"/>
      <c r="M56" s="30"/>
      <c r="N56" s="30"/>
      <c r="O56" s="30"/>
      <c r="P56" s="30"/>
      <c r="Q56" s="30"/>
      <c r="R56" s="30"/>
      <c r="S56" s="30"/>
      <c r="T56" s="30"/>
      <c r="U56" s="30"/>
      <c r="V56" s="31"/>
    </row>
    <row r="57" spans="1:22">
      <c r="A57" s="1" t="s">
        <v>78</v>
      </c>
      <c r="B57" s="29">
        <v>0</v>
      </c>
      <c r="C57" s="30">
        <v>0</v>
      </c>
      <c r="D57" s="30">
        <v>0</v>
      </c>
      <c r="E57" s="30">
        <v>0</v>
      </c>
      <c r="F57" s="30">
        <v>0</v>
      </c>
      <c r="G57" s="31">
        <f>SUM(WY_FINANCIAL)</f>
        <v>0</v>
      </c>
      <c r="H57" s="30"/>
      <c r="I57" s="30"/>
      <c r="J57" s="30"/>
      <c r="K57" s="30"/>
      <c r="L57" s="29"/>
      <c r="M57" s="30"/>
      <c r="N57" s="30"/>
      <c r="O57" s="30"/>
      <c r="P57" s="30"/>
      <c r="Q57" s="30"/>
      <c r="R57" s="30"/>
      <c r="S57" s="30"/>
      <c r="T57" s="30"/>
      <c r="U57" s="30"/>
      <c r="V57" s="31"/>
    </row>
    <row r="58" spans="1:22">
      <c r="A58" s="1" t="s">
        <v>79</v>
      </c>
      <c r="B58" s="29">
        <v>0</v>
      </c>
      <c r="C58" s="30">
        <v>0</v>
      </c>
      <c r="D58" s="30">
        <v>0</v>
      </c>
      <c r="E58" s="30">
        <v>0</v>
      </c>
      <c r="F58" s="30">
        <v>0</v>
      </c>
      <c r="G58" s="31">
        <f>SUM(OT_FINANCIAL)</f>
        <v>0</v>
      </c>
      <c r="H58" s="30"/>
      <c r="I58" s="30"/>
      <c r="J58" s="30"/>
      <c r="K58" s="30"/>
      <c r="L58" s="29"/>
      <c r="M58" s="30"/>
      <c r="N58" s="30"/>
      <c r="O58" s="30"/>
      <c r="P58" s="30"/>
      <c r="Q58" s="30"/>
      <c r="R58" s="30"/>
      <c r="S58" s="30"/>
      <c r="T58" s="30"/>
      <c r="U58" s="30"/>
      <c r="V58" s="31"/>
    </row>
    <row r="59" spans="1:22">
      <c r="B59" s="29"/>
      <c r="C59" s="30"/>
      <c r="D59" s="30"/>
      <c r="E59" s="30"/>
      <c r="F59" s="30"/>
      <c r="G59" s="31"/>
      <c r="H59" s="30"/>
      <c r="I59" s="30"/>
      <c r="J59" s="30"/>
      <c r="K59" s="30"/>
      <c r="L59" s="29"/>
      <c r="M59" s="30"/>
      <c r="N59" s="30"/>
      <c r="O59" s="30"/>
      <c r="P59" s="30"/>
      <c r="Q59" s="30"/>
      <c r="R59" s="30"/>
      <c r="S59" s="30"/>
      <c r="T59" s="30"/>
      <c r="U59" s="30"/>
      <c r="V59" s="31"/>
    </row>
    <row r="60" spans="1:22">
      <c r="A60" s="1" t="s">
        <v>8</v>
      </c>
      <c r="B60" s="29">
        <f>SUM(LIFE)</f>
        <v>3291707.1471393816</v>
      </c>
      <c r="C60" s="30">
        <f>SUM(ALLOCATED)</f>
        <v>0</v>
      </c>
      <c r="D60" s="30">
        <f>SUM(HEALTH)</f>
        <v>-13150.443161269061</v>
      </c>
      <c r="E60" s="30">
        <f>SUM(UNALLOCATED)</f>
        <v>0</v>
      </c>
      <c r="F60" s="30">
        <f>SUM(LTC)</f>
        <v>0</v>
      </c>
      <c r="G60" s="31">
        <f>SUM(ALL_BLOCKS)</f>
        <v>3278556.7039781129</v>
      </c>
      <c r="H60" s="30"/>
      <c r="I60" s="30"/>
      <c r="J60" s="30"/>
      <c r="K60" s="30"/>
      <c r="L60" s="29">
        <f>SUM(LIFE_CALLED)</f>
        <v>324994</v>
      </c>
      <c r="M60" s="30">
        <f>SUM(LIFE_REFUNDED)</f>
        <v>0</v>
      </c>
      <c r="N60" s="30"/>
      <c r="O60" s="30">
        <f>SUM(ALLOC_CALLED)</f>
        <v>0</v>
      </c>
      <c r="P60" s="30">
        <f>SUM(ALLOC_REFUNDED)</f>
        <v>0</v>
      </c>
      <c r="Q60" s="30"/>
      <c r="R60" s="30">
        <f>SUM(HEALTH_CALLED)</f>
        <v>0</v>
      </c>
      <c r="S60" s="30">
        <f>SUM(HEALTH_REFUNDED)</f>
        <v>0</v>
      </c>
      <c r="T60" s="30"/>
      <c r="U60" s="30">
        <f>SUM(UNALLOC_CALLED)</f>
        <v>0</v>
      </c>
      <c r="V60" s="31">
        <f>SUM(UNALLOC_REFUNDED)</f>
        <v>0</v>
      </c>
    </row>
    <row r="61" spans="1:22" ht="5.0999999999999996" customHeight="1">
      <c r="B61" s="8"/>
      <c r="G61" s="11"/>
      <c r="L61" s="8"/>
      <c r="V61" s="11"/>
    </row>
    <row r="62" spans="1:22">
      <c r="B62" s="8"/>
      <c r="G62" s="11"/>
      <c r="L62" s="122" t="s">
        <v>80</v>
      </c>
      <c r="M62" s="123"/>
      <c r="N62" s="123"/>
      <c r="O62" s="123"/>
      <c r="P62" s="123"/>
      <c r="Q62" s="123"/>
      <c r="R62" s="123"/>
      <c r="S62" s="123"/>
      <c r="T62" s="123"/>
      <c r="U62" s="123"/>
      <c r="V62" s="124"/>
    </row>
    <row r="63" spans="1:22">
      <c r="B63" s="8"/>
      <c r="G63" s="11"/>
      <c r="L63" s="125"/>
      <c r="M63" s="123"/>
      <c r="N63" s="123"/>
      <c r="O63" s="123"/>
      <c r="P63" s="123"/>
      <c r="Q63" s="123"/>
      <c r="R63" s="123"/>
      <c r="S63" s="123"/>
      <c r="T63" s="123"/>
      <c r="U63" s="123"/>
      <c r="V63" s="124"/>
    </row>
    <row r="64" spans="1:22">
      <c r="B64" s="10"/>
      <c r="C64" s="7"/>
      <c r="D64" s="7"/>
      <c r="E64" s="7"/>
      <c r="F64" s="7"/>
      <c r="G64" s="13"/>
      <c r="L64" s="126"/>
      <c r="M64" s="127"/>
      <c r="N64" s="127"/>
      <c r="O64" s="127"/>
      <c r="P64" s="127"/>
      <c r="Q64" s="127"/>
      <c r="R64" s="127"/>
      <c r="S64" s="127"/>
      <c r="T64" s="127"/>
      <c r="U64" s="127"/>
      <c r="V64" s="128"/>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V64"/>
  <sheetViews>
    <sheetView zoomScale="75" workbookViewId="0">
      <selection sqref="A1:XFD1048576"/>
    </sheetView>
  </sheetViews>
  <sheetFormatPr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129" t="s">
        <v>88</v>
      </c>
      <c r="B1" s="123"/>
      <c r="C1" s="123"/>
      <c r="D1" s="123"/>
      <c r="E1" s="123"/>
      <c r="F1" s="123"/>
      <c r="G1" s="123"/>
    </row>
    <row r="3" spans="1:22">
      <c r="B3" s="130" t="s">
        <v>1</v>
      </c>
      <c r="C3" s="131"/>
      <c r="D3" s="131"/>
      <c r="E3" s="131"/>
      <c r="F3" s="131"/>
      <c r="G3" s="132"/>
      <c r="L3" s="133" t="s">
        <v>2</v>
      </c>
      <c r="M3" s="134"/>
      <c r="N3" s="134"/>
      <c r="O3" s="134"/>
      <c r="P3" s="134"/>
      <c r="Q3" s="134"/>
      <c r="R3" s="134"/>
      <c r="S3" s="134"/>
      <c r="T3" s="134"/>
      <c r="U3" s="134"/>
      <c r="V3" s="135"/>
    </row>
    <row r="4" spans="1:22">
      <c r="B4" s="8"/>
      <c r="G4" s="11"/>
      <c r="L4" s="136" t="s">
        <v>3</v>
      </c>
      <c r="M4" s="137"/>
      <c r="N4" s="4"/>
      <c r="O4" s="138" t="s">
        <v>4</v>
      </c>
      <c r="P4" s="137"/>
      <c r="Q4" s="4"/>
      <c r="R4" s="138" t="s">
        <v>5</v>
      </c>
      <c r="S4" s="137"/>
      <c r="T4" s="4"/>
      <c r="U4" s="138" t="s">
        <v>6</v>
      </c>
      <c r="V4" s="139"/>
    </row>
    <row r="5" spans="1:22" ht="60" customHeight="1">
      <c r="B5" s="9" t="s">
        <v>3</v>
      </c>
      <c r="C5" s="5" t="s">
        <v>4</v>
      </c>
      <c r="D5" s="5" t="s">
        <v>5</v>
      </c>
      <c r="E5" s="5" t="s">
        <v>6</v>
      </c>
      <c r="F5" s="5" t="s">
        <v>7</v>
      </c>
      <c r="G5" s="12" t="s">
        <v>8</v>
      </c>
      <c r="L5" s="15" t="s">
        <v>9</v>
      </c>
      <c r="M5" s="14" t="s">
        <v>10</v>
      </c>
      <c r="N5" s="14"/>
      <c r="O5" s="14" t="s">
        <v>9</v>
      </c>
      <c r="P5" s="14" t="s">
        <v>10</v>
      </c>
      <c r="Q5" s="14"/>
      <c r="R5" s="14" t="s">
        <v>9</v>
      </c>
      <c r="S5" s="14" t="s">
        <v>10</v>
      </c>
      <c r="T5" s="14"/>
      <c r="U5" s="14" t="s">
        <v>9</v>
      </c>
      <c r="V5" s="16" t="s">
        <v>10</v>
      </c>
    </row>
    <row r="6" spans="1:22">
      <c r="A6" s="1" t="s">
        <v>11</v>
      </c>
      <c r="B6" s="29">
        <v>0</v>
      </c>
      <c r="C6" s="30">
        <v>0</v>
      </c>
      <c r="D6" s="30">
        <v>0</v>
      </c>
      <c r="E6" s="30">
        <v>0</v>
      </c>
      <c r="F6" s="30">
        <v>0</v>
      </c>
      <c r="G6" s="31">
        <f>SUM(AL_FINANCIAL)</f>
        <v>0</v>
      </c>
      <c r="H6" s="30"/>
      <c r="I6" s="30"/>
      <c r="J6" s="30"/>
      <c r="K6" s="30"/>
      <c r="L6" s="29"/>
      <c r="M6" s="30"/>
      <c r="N6" s="30"/>
      <c r="O6" s="30"/>
      <c r="P6" s="30"/>
      <c r="Q6" s="30"/>
      <c r="R6" s="30"/>
      <c r="S6" s="30"/>
      <c r="T6" s="30"/>
      <c r="U6" s="30"/>
      <c r="V6" s="31"/>
    </row>
    <row r="7" spans="1:22">
      <c r="A7" s="1" t="s">
        <v>12</v>
      </c>
      <c r="B7" s="29">
        <v>0</v>
      </c>
      <c r="C7" s="30">
        <v>0</v>
      </c>
      <c r="D7" s="30">
        <v>-772.09944445061592</v>
      </c>
      <c r="E7" s="30">
        <v>0</v>
      </c>
      <c r="F7" s="30">
        <v>0</v>
      </c>
      <c r="G7" s="31">
        <f>SUM(AK_FINANCIAL)</f>
        <v>-772.09944445061592</v>
      </c>
      <c r="H7" s="30"/>
      <c r="I7" s="32"/>
      <c r="J7" s="33"/>
      <c r="K7" s="30"/>
      <c r="L7" s="29">
        <v>0</v>
      </c>
      <c r="M7" s="30">
        <v>0</v>
      </c>
      <c r="N7" s="30"/>
      <c r="O7" s="30">
        <v>0</v>
      </c>
      <c r="P7" s="30">
        <v>0</v>
      </c>
      <c r="Q7" s="30"/>
      <c r="R7" s="30">
        <v>25000</v>
      </c>
      <c r="S7" s="30">
        <v>8000</v>
      </c>
      <c r="T7" s="30"/>
      <c r="U7" s="30">
        <v>0</v>
      </c>
      <c r="V7" s="31">
        <v>0</v>
      </c>
    </row>
    <row r="8" spans="1:22">
      <c r="A8" s="1" t="s">
        <v>13</v>
      </c>
      <c r="B8" s="29">
        <v>-496.37073693605453</v>
      </c>
      <c r="C8" s="30">
        <v>0</v>
      </c>
      <c r="D8" s="30">
        <v>-149370.66183492355</v>
      </c>
      <c r="E8" s="30">
        <v>0</v>
      </c>
      <c r="F8" s="30">
        <v>0</v>
      </c>
      <c r="G8" s="31">
        <f>SUM(AZ_FINANCIAL)</f>
        <v>-149867.0325718596</v>
      </c>
      <c r="H8" s="30"/>
      <c r="I8" s="34" t="s">
        <v>14</v>
      </c>
      <c r="J8" s="35"/>
      <c r="K8" s="30"/>
      <c r="L8" s="29">
        <v>0</v>
      </c>
      <c r="M8" s="30">
        <v>0</v>
      </c>
      <c r="N8" s="30"/>
      <c r="O8" s="30">
        <v>0</v>
      </c>
      <c r="P8" s="30">
        <v>0</v>
      </c>
      <c r="Q8" s="30"/>
      <c r="R8" s="30">
        <v>0</v>
      </c>
      <c r="S8" s="30">
        <v>0</v>
      </c>
      <c r="T8" s="30"/>
      <c r="U8" s="30">
        <v>0</v>
      </c>
      <c r="V8" s="31">
        <v>0</v>
      </c>
    </row>
    <row r="9" spans="1:22">
      <c r="A9" s="1" t="s">
        <v>15</v>
      </c>
      <c r="B9" s="29">
        <v>0</v>
      </c>
      <c r="C9" s="30">
        <v>0</v>
      </c>
      <c r="D9" s="30">
        <v>0</v>
      </c>
      <c r="E9" s="30">
        <v>0</v>
      </c>
      <c r="F9" s="30">
        <v>0</v>
      </c>
      <c r="G9" s="31">
        <f>SUM(AR_FINANCIAL)</f>
        <v>0</v>
      </c>
      <c r="H9" s="30"/>
      <c r="I9" s="34"/>
      <c r="J9" s="35"/>
      <c r="K9" s="30"/>
      <c r="L9" s="29"/>
      <c r="M9" s="30"/>
      <c r="N9" s="30"/>
      <c r="O9" s="30"/>
      <c r="P9" s="30"/>
      <c r="Q9" s="30"/>
      <c r="R9" s="30"/>
      <c r="S9" s="30"/>
      <c r="T9" s="30"/>
      <c r="U9" s="30"/>
      <c r="V9" s="31"/>
    </row>
    <row r="10" spans="1:22">
      <c r="A10" s="1" t="s">
        <v>16</v>
      </c>
      <c r="B10" s="29">
        <v>0</v>
      </c>
      <c r="C10" s="30">
        <v>0</v>
      </c>
      <c r="D10" s="30">
        <v>-48862.885737602832</v>
      </c>
      <c r="E10" s="30">
        <v>0</v>
      </c>
      <c r="F10" s="30">
        <v>0</v>
      </c>
      <c r="G10" s="31">
        <f>SUM(CA_FINANCIAL)</f>
        <v>-48862.885737602832</v>
      </c>
      <c r="H10" s="30"/>
      <c r="I10" s="34" t="s">
        <v>17</v>
      </c>
      <c r="J10" s="35">
        <v>4821737</v>
      </c>
      <c r="K10" s="30"/>
      <c r="L10" s="29">
        <v>0</v>
      </c>
      <c r="M10" s="30">
        <v>0</v>
      </c>
      <c r="N10" s="30"/>
      <c r="O10" s="30">
        <v>0</v>
      </c>
      <c r="P10" s="30">
        <v>0</v>
      </c>
      <c r="Q10" s="30"/>
      <c r="R10" s="30">
        <v>1200000</v>
      </c>
      <c r="S10" s="30">
        <v>950000</v>
      </c>
      <c r="T10" s="30"/>
      <c r="U10" s="30">
        <v>0</v>
      </c>
      <c r="V10" s="31">
        <v>0</v>
      </c>
    </row>
    <row r="11" spans="1:22">
      <c r="A11" s="1" t="s">
        <v>18</v>
      </c>
      <c r="B11" s="29">
        <v>0</v>
      </c>
      <c r="C11" s="30">
        <v>0</v>
      </c>
      <c r="D11" s="30">
        <v>-7542.2743478405901</v>
      </c>
      <c r="E11" s="30">
        <v>0</v>
      </c>
      <c r="F11" s="30">
        <v>0</v>
      </c>
      <c r="G11" s="31">
        <f>SUM(CO_FINANCIAL)</f>
        <v>-7542.2743478405901</v>
      </c>
      <c r="H11" s="30"/>
      <c r="I11" s="34"/>
      <c r="J11" s="35"/>
      <c r="K11" s="30"/>
      <c r="L11" s="29">
        <v>0</v>
      </c>
      <c r="M11" s="30">
        <v>0</v>
      </c>
      <c r="N11" s="30"/>
      <c r="O11" s="30">
        <v>0</v>
      </c>
      <c r="P11" s="30">
        <v>0</v>
      </c>
      <c r="Q11" s="30"/>
      <c r="R11" s="30">
        <v>165000</v>
      </c>
      <c r="S11" s="30">
        <v>107622</v>
      </c>
      <c r="T11" s="30"/>
      <c r="U11" s="30">
        <v>0</v>
      </c>
      <c r="V11" s="31">
        <v>0</v>
      </c>
    </row>
    <row r="12" spans="1:22">
      <c r="A12" s="1" t="s">
        <v>19</v>
      </c>
      <c r="B12" s="29">
        <v>0</v>
      </c>
      <c r="C12" s="30">
        <v>0</v>
      </c>
      <c r="D12" s="30">
        <v>0</v>
      </c>
      <c r="E12" s="30">
        <v>0</v>
      </c>
      <c r="F12" s="30">
        <v>0</v>
      </c>
      <c r="G12" s="31">
        <f>SUM(CT_FINANCIAL)</f>
        <v>0</v>
      </c>
      <c r="H12" s="30"/>
      <c r="I12" s="34" t="s">
        <v>20</v>
      </c>
      <c r="J12" s="35"/>
      <c r="K12" s="30"/>
      <c r="L12" s="29"/>
      <c r="M12" s="30"/>
      <c r="N12" s="30"/>
      <c r="O12" s="30"/>
      <c r="P12" s="30"/>
      <c r="Q12" s="30"/>
      <c r="R12" s="30"/>
      <c r="S12" s="30"/>
      <c r="T12" s="30"/>
      <c r="U12" s="30"/>
      <c r="V12" s="31"/>
    </row>
    <row r="13" spans="1:22">
      <c r="A13" s="1" t="s">
        <v>21</v>
      </c>
      <c r="B13" s="29">
        <v>0</v>
      </c>
      <c r="C13" s="30">
        <v>0</v>
      </c>
      <c r="D13" s="30">
        <v>0</v>
      </c>
      <c r="E13" s="30">
        <v>0</v>
      </c>
      <c r="F13" s="30">
        <v>0</v>
      </c>
      <c r="G13" s="31">
        <f>SUM(DE_FINANCIAL)</f>
        <v>0</v>
      </c>
      <c r="H13" s="30"/>
      <c r="I13" s="34" t="s">
        <v>22</v>
      </c>
      <c r="J13" s="35">
        <v>4821737</v>
      </c>
      <c r="K13" s="30"/>
      <c r="L13" s="29"/>
      <c r="M13" s="30"/>
      <c r="N13" s="30"/>
      <c r="O13" s="30"/>
      <c r="P13" s="30"/>
      <c r="Q13" s="30"/>
      <c r="R13" s="30"/>
      <c r="S13" s="30"/>
      <c r="T13" s="30"/>
      <c r="U13" s="30"/>
      <c r="V13" s="31"/>
    </row>
    <row r="14" spans="1:22">
      <c r="A14" s="1" t="s">
        <v>23</v>
      </c>
      <c r="B14" s="29">
        <v>0</v>
      </c>
      <c r="C14" s="30">
        <v>0</v>
      </c>
      <c r="D14" s="30">
        <v>0</v>
      </c>
      <c r="E14" s="30">
        <v>0</v>
      </c>
      <c r="F14" s="30">
        <v>0</v>
      </c>
      <c r="G14" s="31">
        <f>SUM(DC_FINANCIAL)</f>
        <v>0</v>
      </c>
      <c r="H14" s="30"/>
      <c r="I14" s="34" t="s">
        <v>24</v>
      </c>
      <c r="J14" s="35">
        <v>550530</v>
      </c>
      <c r="K14" s="30"/>
      <c r="L14" s="29"/>
      <c r="M14" s="30"/>
      <c r="N14" s="30"/>
      <c r="O14" s="30"/>
      <c r="P14" s="30"/>
      <c r="Q14" s="30"/>
      <c r="R14" s="30"/>
      <c r="S14" s="30"/>
      <c r="T14" s="30"/>
      <c r="U14" s="30"/>
      <c r="V14" s="31"/>
    </row>
    <row r="15" spans="1:22">
      <c r="A15" s="1" t="s">
        <v>25</v>
      </c>
      <c r="B15" s="29">
        <v>0</v>
      </c>
      <c r="C15" s="30">
        <v>0</v>
      </c>
      <c r="D15" s="30">
        <v>0</v>
      </c>
      <c r="E15" s="30">
        <v>0</v>
      </c>
      <c r="F15" s="30">
        <v>0</v>
      </c>
      <c r="G15" s="31">
        <f>SUM(FL_FINANCIAL)</f>
        <v>0</v>
      </c>
      <c r="H15" s="30"/>
      <c r="I15" s="34" t="s">
        <v>26</v>
      </c>
      <c r="J15" s="35">
        <v>274565.90999999997</v>
      </c>
      <c r="K15" s="30"/>
      <c r="L15" s="29"/>
      <c r="M15" s="30"/>
      <c r="N15" s="30"/>
      <c r="O15" s="30"/>
      <c r="P15" s="30"/>
      <c r="Q15" s="30"/>
      <c r="R15" s="30"/>
      <c r="S15" s="30"/>
      <c r="T15" s="30"/>
      <c r="U15" s="30"/>
      <c r="V15" s="31"/>
    </row>
    <row r="16" spans="1:22">
      <c r="A16" s="1" t="s">
        <v>27</v>
      </c>
      <c r="B16" s="29">
        <v>0</v>
      </c>
      <c r="C16" s="30">
        <v>0</v>
      </c>
      <c r="D16" s="30">
        <v>0</v>
      </c>
      <c r="E16" s="30">
        <v>0</v>
      </c>
      <c r="F16" s="30">
        <v>0</v>
      </c>
      <c r="G16" s="31">
        <f>SUM(GA_FINANCIAL)</f>
        <v>0</v>
      </c>
      <c r="H16" s="30"/>
      <c r="I16" s="34" t="s">
        <v>28</v>
      </c>
      <c r="J16" s="35">
        <v>0</v>
      </c>
      <c r="K16" s="30"/>
      <c r="L16" s="29"/>
      <c r="M16" s="30"/>
      <c r="N16" s="30"/>
      <c r="O16" s="30"/>
      <c r="P16" s="30"/>
      <c r="Q16" s="30"/>
      <c r="R16" s="30"/>
      <c r="S16" s="30"/>
      <c r="T16" s="30"/>
      <c r="U16" s="30"/>
      <c r="V16" s="31"/>
    </row>
    <row r="17" spans="1:22">
      <c r="A17" s="1" t="s">
        <v>29</v>
      </c>
      <c r="B17" s="29">
        <v>0</v>
      </c>
      <c r="C17" s="30">
        <v>0</v>
      </c>
      <c r="D17" s="30">
        <v>0</v>
      </c>
      <c r="E17" s="30">
        <v>0</v>
      </c>
      <c r="F17" s="30">
        <v>0</v>
      </c>
      <c r="G17" s="31">
        <f>SUM(HI_FINANCIAL)</f>
        <v>0</v>
      </c>
      <c r="H17" s="30"/>
      <c r="I17" s="34"/>
      <c r="J17" s="35"/>
      <c r="K17" s="30"/>
      <c r="L17" s="29"/>
      <c r="M17" s="30"/>
      <c r="N17" s="30"/>
      <c r="O17" s="30"/>
      <c r="P17" s="30"/>
      <c r="Q17" s="30"/>
      <c r="R17" s="30"/>
      <c r="S17" s="30"/>
      <c r="T17" s="30"/>
      <c r="U17" s="30"/>
      <c r="V17" s="31"/>
    </row>
    <row r="18" spans="1:22">
      <c r="A18" s="1" t="s">
        <v>30</v>
      </c>
      <c r="B18" s="29">
        <v>0</v>
      </c>
      <c r="C18" s="30">
        <v>0</v>
      </c>
      <c r="D18" s="30">
        <v>27937.140698436684</v>
      </c>
      <c r="E18" s="30">
        <v>0</v>
      </c>
      <c r="F18" s="30">
        <v>0</v>
      </c>
      <c r="G18" s="31">
        <f>SUM(ID_FINANCIAL)</f>
        <v>27937.140698436684</v>
      </c>
      <c r="H18" s="30"/>
      <c r="I18" s="34" t="s">
        <v>31</v>
      </c>
      <c r="J18" s="35"/>
      <c r="K18" s="30"/>
      <c r="L18" s="29"/>
      <c r="M18" s="30"/>
      <c r="N18" s="30"/>
      <c r="O18" s="30"/>
      <c r="P18" s="30"/>
      <c r="Q18" s="30"/>
      <c r="R18" s="30"/>
      <c r="S18" s="30"/>
      <c r="T18" s="30"/>
      <c r="U18" s="30"/>
      <c r="V18" s="31"/>
    </row>
    <row r="19" spans="1:22">
      <c r="A19" s="1" t="s">
        <v>32</v>
      </c>
      <c r="B19" s="29">
        <v>0</v>
      </c>
      <c r="C19" s="30">
        <v>0</v>
      </c>
      <c r="D19" s="30">
        <v>0</v>
      </c>
      <c r="E19" s="30">
        <v>0</v>
      </c>
      <c r="F19" s="30">
        <v>0</v>
      </c>
      <c r="G19" s="31">
        <f>SUM(IL_FINANCIAL)</f>
        <v>0</v>
      </c>
      <c r="H19" s="30"/>
      <c r="I19" s="34" t="s">
        <v>33</v>
      </c>
      <c r="J19" s="35">
        <v>0</v>
      </c>
      <c r="K19" s="30"/>
      <c r="L19" s="29"/>
      <c r="M19" s="30"/>
      <c r="N19" s="30"/>
      <c r="O19" s="30"/>
      <c r="P19" s="30"/>
      <c r="Q19" s="30"/>
      <c r="R19" s="30"/>
      <c r="S19" s="30"/>
      <c r="T19" s="30"/>
      <c r="U19" s="30"/>
      <c r="V19" s="31"/>
    </row>
    <row r="20" spans="1:22">
      <c r="A20" s="1" t="s">
        <v>34</v>
      </c>
      <c r="B20" s="29">
        <v>0</v>
      </c>
      <c r="C20" s="30">
        <v>0</v>
      </c>
      <c r="D20" s="30">
        <v>-122.17480416884246</v>
      </c>
      <c r="E20" s="30">
        <v>0</v>
      </c>
      <c r="F20" s="30">
        <v>0</v>
      </c>
      <c r="G20" s="31">
        <f>SUM(IN_FINANCIAL)</f>
        <v>-122.17480416884246</v>
      </c>
      <c r="H20" s="30"/>
      <c r="I20" s="34" t="s">
        <v>35</v>
      </c>
      <c r="J20" s="35">
        <v>4821737</v>
      </c>
      <c r="K20" s="30"/>
      <c r="L20" s="29"/>
      <c r="M20" s="30"/>
      <c r="N20" s="30"/>
      <c r="O20" s="30"/>
      <c r="P20" s="30"/>
      <c r="Q20" s="30"/>
      <c r="R20" s="30"/>
      <c r="S20" s="30"/>
      <c r="T20" s="30"/>
      <c r="U20" s="30"/>
      <c r="V20" s="31"/>
    </row>
    <row r="21" spans="1:22">
      <c r="A21" s="1" t="s">
        <v>36</v>
      </c>
      <c r="B21" s="29">
        <v>0</v>
      </c>
      <c r="C21" s="30">
        <v>0</v>
      </c>
      <c r="D21" s="30">
        <v>0</v>
      </c>
      <c r="E21" s="30">
        <v>0</v>
      </c>
      <c r="F21" s="30">
        <v>0</v>
      </c>
      <c r="G21" s="31">
        <f>SUM(IA_FINANCIAL)</f>
        <v>0</v>
      </c>
      <c r="H21" s="30"/>
      <c r="I21" s="34" t="s">
        <v>37</v>
      </c>
      <c r="J21" s="35"/>
      <c r="K21" s="30"/>
      <c r="L21" s="29"/>
      <c r="M21" s="30"/>
      <c r="N21" s="30"/>
      <c r="O21" s="30"/>
      <c r="P21" s="30"/>
      <c r="Q21" s="30"/>
      <c r="R21" s="30"/>
      <c r="S21" s="30"/>
      <c r="T21" s="30"/>
      <c r="U21" s="30"/>
      <c r="V21" s="31"/>
    </row>
    <row r="22" spans="1:22">
      <c r="A22" s="1" t="s">
        <v>38</v>
      </c>
      <c r="B22" s="29">
        <v>0</v>
      </c>
      <c r="C22" s="30">
        <v>0</v>
      </c>
      <c r="D22" s="30">
        <v>0</v>
      </c>
      <c r="E22" s="30">
        <v>0</v>
      </c>
      <c r="F22" s="30">
        <v>0</v>
      </c>
      <c r="G22" s="31">
        <f>SUM(KS_FINANCIAL)</f>
        <v>0</v>
      </c>
      <c r="H22" s="30"/>
      <c r="I22" s="34" t="s">
        <v>39</v>
      </c>
      <c r="J22" s="35">
        <v>0</v>
      </c>
      <c r="K22" s="30"/>
      <c r="L22" s="29"/>
      <c r="M22" s="30"/>
      <c r="N22" s="30"/>
      <c r="O22" s="30"/>
      <c r="P22" s="30"/>
      <c r="Q22" s="30"/>
      <c r="R22" s="30"/>
      <c r="S22" s="30"/>
      <c r="T22" s="30"/>
      <c r="U22" s="30"/>
      <c r="V22" s="31"/>
    </row>
    <row r="23" spans="1:22">
      <c r="A23" s="1" t="s">
        <v>40</v>
      </c>
      <c r="B23" s="29">
        <v>0</v>
      </c>
      <c r="C23" s="30">
        <v>0</v>
      </c>
      <c r="D23" s="30">
        <v>0</v>
      </c>
      <c r="E23" s="30">
        <v>0</v>
      </c>
      <c r="F23" s="30">
        <v>0</v>
      </c>
      <c r="G23" s="31">
        <f>SUM(KY_FINANCIAL)</f>
        <v>0</v>
      </c>
      <c r="H23" s="30"/>
      <c r="I23" s="34" t="s">
        <v>41</v>
      </c>
      <c r="J23" s="35"/>
      <c r="K23" s="30"/>
      <c r="L23" s="29"/>
      <c r="M23" s="30"/>
      <c r="N23" s="30"/>
      <c r="O23" s="30"/>
      <c r="P23" s="30"/>
      <c r="Q23" s="30"/>
      <c r="R23" s="30"/>
      <c r="S23" s="30"/>
      <c r="T23" s="30"/>
      <c r="U23" s="30"/>
      <c r="V23" s="31"/>
    </row>
    <row r="24" spans="1:22">
      <c r="A24" s="1" t="s">
        <v>42</v>
      </c>
      <c r="B24" s="29">
        <v>0</v>
      </c>
      <c r="C24" s="30">
        <v>0</v>
      </c>
      <c r="D24" s="30">
        <v>4903</v>
      </c>
      <c r="E24" s="30">
        <v>0</v>
      </c>
      <c r="F24" s="30">
        <v>0</v>
      </c>
      <c r="G24" s="31">
        <f>SUM(LA_FINANCIAL)</f>
        <v>4903</v>
      </c>
      <c r="H24" s="30"/>
      <c r="I24" s="34" t="s">
        <v>43</v>
      </c>
      <c r="J24" s="35">
        <v>5782884.919999999</v>
      </c>
      <c r="K24" s="30"/>
      <c r="L24" s="29"/>
      <c r="M24" s="30"/>
      <c r="N24" s="30"/>
      <c r="O24" s="30"/>
      <c r="P24" s="30"/>
      <c r="Q24" s="30"/>
      <c r="R24" s="30"/>
      <c r="S24" s="30"/>
      <c r="T24" s="30"/>
      <c r="U24" s="30"/>
      <c r="V24" s="31"/>
    </row>
    <row r="25" spans="1:22">
      <c r="A25" s="1" t="s">
        <v>44</v>
      </c>
      <c r="B25" s="29">
        <v>0</v>
      </c>
      <c r="C25" s="30">
        <v>0</v>
      </c>
      <c r="D25" s="30">
        <v>0</v>
      </c>
      <c r="E25" s="30">
        <v>0</v>
      </c>
      <c r="F25" s="30">
        <v>0</v>
      </c>
      <c r="G25" s="31">
        <f>SUM(ME_FINANCIAL)</f>
        <v>0</v>
      </c>
      <c r="H25" s="30"/>
      <c r="I25" s="34"/>
      <c r="J25" s="35"/>
      <c r="K25" s="30"/>
      <c r="L25" s="29"/>
      <c r="M25" s="30"/>
      <c r="N25" s="30"/>
      <c r="O25" s="30"/>
      <c r="P25" s="30"/>
      <c r="Q25" s="30"/>
      <c r="R25" s="30"/>
      <c r="S25" s="30"/>
      <c r="T25" s="30"/>
      <c r="U25" s="30"/>
      <c r="V25" s="31"/>
    </row>
    <row r="26" spans="1:22">
      <c r="A26" s="1" t="s">
        <v>45</v>
      </c>
      <c r="B26" s="29">
        <v>0</v>
      </c>
      <c r="C26" s="30">
        <v>0</v>
      </c>
      <c r="D26" s="30">
        <v>0</v>
      </c>
      <c r="E26" s="30">
        <v>0</v>
      </c>
      <c r="F26" s="30">
        <v>0</v>
      </c>
      <c r="G26" s="31">
        <f>SUM(MD_FINANCIAL)</f>
        <v>0</v>
      </c>
      <c r="H26" s="30"/>
      <c r="I26" s="34" t="s">
        <v>46</v>
      </c>
      <c r="J26" s="35">
        <f>SUM(ADD_FINANCIAL)-SUM(LESS_FINANCIAL)</f>
        <v>-136052.00999999791</v>
      </c>
      <c r="K26" s="30"/>
      <c r="L26" s="29"/>
      <c r="M26" s="30"/>
      <c r="N26" s="30"/>
      <c r="O26" s="30"/>
      <c r="P26" s="30"/>
      <c r="Q26" s="30"/>
      <c r="R26" s="30"/>
      <c r="S26" s="30"/>
      <c r="T26" s="30"/>
      <c r="U26" s="30"/>
      <c r="V26" s="31"/>
    </row>
    <row r="27" spans="1:22">
      <c r="A27" s="1" t="s">
        <v>47</v>
      </c>
      <c r="B27" s="29">
        <v>0</v>
      </c>
      <c r="C27" s="30">
        <v>0</v>
      </c>
      <c r="D27" s="30">
        <v>0</v>
      </c>
      <c r="E27" s="30">
        <v>0</v>
      </c>
      <c r="F27" s="30">
        <v>0</v>
      </c>
      <c r="G27" s="31">
        <f>SUM(MA_FINANCIAL)</f>
        <v>0</v>
      </c>
      <c r="H27" s="30"/>
      <c r="I27" s="34" t="s">
        <v>48</v>
      </c>
      <c r="J27" s="35">
        <f>SUM(ALL_BLOCKS)</f>
        <v>-136052.00999999919</v>
      </c>
      <c r="K27" s="30"/>
      <c r="L27" s="29"/>
      <c r="M27" s="30"/>
      <c r="N27" s="30"/>
      <c r="O27" s="30"/>
      <c r="P27" s="30"/>
      <c r="Q27" s="30"/>
      <c r="R27" s="30"/>
      <c r="S27" s="30"/>
      <c r="T27" s="30"/>
      <c r="U27" s="30"/>
      <c r="V27" s="31"/>
    </row>
    <row r="28" spans="1:22">
      <c r="A28" s="1" t="s">
        <v>49</v>
      </c>
      <c r="B28" s="29">
        <v>0</v>
      </c>
      <c r="C28" s="30">
        <v>0</v>
      </c>
      <c r="D28" s="30">
        <v>0</v>
      </c>
      <c r="E28" s="30">
        <v>0</v>
      </c>
      <c r="F28" s="30">
        <v>0</v>
      </c>
      <c r="G28" s="31">
        <f>SUM(MI_FINANCIAL)</f>
        <v>0</v>
      </c>
      <c r="H28" s="30"/>
      <c r="I28" s="36"/>
      <c r="J28" s="37"/>
      <c r="K28" s="30"/>
      <c r="L28" s="29"/>
      <c r="M28" s="30"/>
      <c r="N28" s="30"/>
      <c r="O28" s="30"/>
      <c r="P28" s="30"/>
      <c r="Q28" s="30"/>
      <c r="R28" s="30"/>
      <c r="S28" s="30"/>
      <c r="T28" s="30"/>
      <c r="U28" s="30"/>
      <c r="V28" s="31"/>
    </row>
    <row r="29" spans="1:22">
      <c r="A29" s="1" t="s">
        <v>50</v>
      </c>
      <c r="B29" s="29">
        <v>0</v>
      </c>
      <c r="C29" s="30">
        <v>0</v>
      </c>
      <c r="D29" s="30">
        <v>0</v>
      </c>
      <c r="E29" s="30">
        <v>0</v>
      </c>
      <c r="F29" s="30">
        <v>0</v>
      </c>
      <c r="G29" s="31">
        <f>SUM(MN_FINANCIAL)</f>
        <v>0</v>
      </c>
      <c r="H29" s="30"/>
      <c r="I29" s="30"/>
      <c r="J29" s="30"/>
      <c r="K29" s="30"/>
      <c r="L29" s="29"/>
      <c r="M29" s="30"/>
      <c r="N29" s="30"/>
      <c r="O29" s="30"/>
      <c r="P29" s="30"/>
      <c r="Q29" s="30"/>
      <c r="R29" s="30"/>
      <c r="S29" s="30"/>
      <c r="T29" s="30"/>
      <c r="U29" s="30"/>
      <c r="V29" s="31"/>
    </row>
    <row r="30" spans="1:22">
      <c r="A30" s="1" t="s">
        <v>51</v>
      </c>
      <c r="B30" s="29">
        <v>0</v>
      </c>
      <c r="C30" s="30">
        <v>0</v>
      </c>
      <c r="D30" s="30">
        <v>0</v>
      </c>
      <c r="E30" s="30">
        <v>0</v>
      </c>
      <c r="F30" s="30">
        <v>0</v>
      </c>
      <c r="G30" s="31">
        <f>SUM(MS_FINANCIAL)</f>
        <v>0</v>
      </c>
      <c r="H30" s="30"/>
      <c r="I30" s="30"/>
      <c r="J30" s="30"/>
      <c r="K30" s="30"/>
      <c r="L30" s="29"/>
      <c r="M30" s="30"/>
      <c r="N30" s="30"/>
      <c r="O30" s="30"/>
      <c r="P30" s="30"/>
      <c r="Q30" s="30"/>
      <c r="R30" s="30"/>
      <c r="S30" s="30"/>
      <c r="T30" s="30"/>
      <c r="U30" s="30"/>
      <c r="V30" s="31"/>
    </row>
    <row r="31" spans="1:22">
      <c r="A31" s="1" t="s">
        <v>52</v>
      </c>
      <c r="B31" s="29">
        <v>0</v>
      </c>
      <c r="C31" s="30">
        <v>0</v>
      </c>
      <c r="D31" s="30">
        <v>6818.2586880145755</v>
      </c>
      <c r="E31" s="30">
        <v>0</v>
      </c>
      <c r="F31" s="30">
        <v>0</v>
      </c>
      <c r="G31" s="31">
        <f>SUM(MO_FINANCIAL)</f>
        <v>6818.2586880145755</v>
      </c>
      <c r="H31" s="30"/>
      <c r="I31" s="30"/>
      <c r="J31" s="30"/>
      <c r="K31" s="30"/>
      <c r="L31" s="29"/>
      <c r="M31" s="30"/>
      <c r="N31" s="30"/>
      <c r="O31" s="30"/>
      <c r="P31" s="30"/>
      <c r="Q31" s="30"/>
      <c r="R31" s="30"/>
      <c r="S31" s="30"/>
      <c r="T31" s="30"/>
      <c r="U31" s="30"/>
      <c r="V31" s="31"/>
    </row>
    <row r="32" spans="1:22">
      <c r="A32" s="1" t="s">
        <v>53</v>
      </c>
      <c r="B32" s="29">
        <v>0</v>
      </c>
      <c r="C32" s="30">
        <v>0</v>
      </c>
      <c r="D32" s="30">
        <v>4295</v>
      </c>
      <c r="E32" s="30">
        <v>0</v>
      </c>
      <c r="F32" s="30">
        <v>0</v>
      </c>
      <c r="G32" s="31">
        <f>SUM(MT_FINANCIAL)</f>
        <v>4295</v>
      </c>
      <c r="H32" s="30"/>
      <c r="I32" s="30"/>
      <c r="J32" s="30"/>
      <c r="K32" s="30"/>
      <c r="L32" s="29"/>
      <c r="M32" s="30"/>
      <c r="N32" s="30"/>
      <c r="O32" s="30"/>
      <c r="P32" s="30"/>
      <c r="Q32" s="30"/>
      <c r="R32" s="30"/>
      <c r="S32" s="30"/>
      <c r="T32" s="30"/>
      <c r="U32" s="30"/>
      <c r="V32" s="31"/>
    </row>
    <row r="33" spans="1:22">
      <c r="A33" s="1" t="s">
        <v>54</v>
      </c>
      <c r="B33" s="29">
        <v>0</v>
      </c>
      <c r="C33" s="30">
        <v>0</v>
      </c>
      <c r="D33" s="30">
        <v>0</v>
      </c>
      <c r="E33" s="30">
        <v>0</v>
      </c>
      <c r="F33" s="30">
        <v>0</v>
      </c>
      <c r="G33" s="31">
        <f>SUM(NE_FINANCIAL)</f>
        <v>0</v>
      </c>
      <c r="H33" s="30"/>
      <c r="I33" s="30"/>
      <c r="J33" s="30"/>
      <c r="K33" s="30"/>
      <c r="L33" s="29"/>
      <c r="M33" s="30"/>
      <c r="N33" s="30"/>
      <c r="O33" s="30"/>
      <c r="P33" s="30"/>
      <c r="Q33" s="30"/>
      <c r="R33" s="30"/>
      <c r="S33" s="30"/>
      <c r="T33" s="30"/>
      <c r="U33" s="30"/>
      <c r="V33" s="31"/>
    </row>
    <row r="34" spans="1:22">
      <c r="A34" s="1" t="s">
        <v>55</v>
      </c>
      <c r="B34" s="29">
        <v>0</v>
      </c>
      <c r="C34" s="30">
        <v>0</v>
      </c>
      <c r="D34" s="30">
        <v>-9136.3213482072169</v>
      </c>
      <c r="E34" s="30">
        <v>0</v>
      </c>
      <c r="F34" s="30">
        <v>0</v>
      </c>
      <c r="G34" s="31">
        <f>SUM(NV_FINANCIAL)</f>
        <v>-9136.3213482072169</v>
      </c>
      <c r="H34" s="30"/>
      <c r="I34" s="30"/>
      <c r="J34" s="30"/>
      <c r="K34" s="30"/>
      <c r="L34" s="29">
        <v>0</v>
      </c>
      <c r="M34" s="30">
        <v>0</v>
      </c>
      <c r="N34" s="30"/>
      <c r="O34" s="30">
        <v>0</v>
      </c>
      <c r="P34" s="30">
        <v>0</v>
      </c>
      <c r="Q34" s="30"/>
      <c r="R34" s="30">
        <v>151200</v>
      </c>
      <c r="S34" s="30">
        <v>0</v>
      </c>
      <c r="T34" s="30"/>
      <c r="U34" s="30">
        <v>0</v>
      </c>
      <c r="V34" s="31">
        <v>0</v>
      </c>
    </row>
    <row r="35" spans="1:22">
      <c r="A35" s="1" t="s">
        <v>56</v>
      </c>
      <c r="B35" s="29">
        <v>0</v>
      </c>
      <c r="C35" s="30">
        <v>0</v>
      </c>
      <c r="D35" s="30">
        <v>0</v>
      </c>
      <c r="E35" s="30">
        <v>0</v>
      </c>
      <c r="F35" s="30">
        <v>0</v>
      </c>
      <c r="G35" s="31">
        <f>SUM(NH_FINANCIAL)</f>
        <v>0</v>
      </c>
      <c r="H35" s="30"/>
      <c r="I35" s="30"/>
      <c r="J35" s="30"/>
      <c r="K35" s="30"/>
      <c r="L35" s="29"/>
      <c r="M35" s="30"/>
      <c r="N35" s="30"/>
      <c r="O35" s="30"/>
      <c r="P35" s="30"/>
      <c r="Q35" s="30"/>
      <c r="R35" s="30"/>
      <c r="S35" s="30"/>
      <c r="T35" s="30"/>
      <c r="U35" s="30"/>
      <c r="V35" s="31"/>
    </row>
    <row r="36" spans="1:22">
      <c r="A36" s="1" t="s">
        <v>57</v>
      </c>
      <c r="B36" s="29">
        <v>0</v>
      </c>
      <c r="C36" s="30">
        <v>0</v>
      </c>
      <c r="D36" s="30">
        <v>0</v>
      </c>
      <c r="E36" s="30">
        <v>0</v>
      </c>
      <c r="F36" s="30">
        <v>0</v>
      </c>
      <c r="G36" s="31">
        <f>SUM(NJ_FINANCIAL)</f>
        <v>0</v>
      </c>
      <c r="H36" s="30"/>
      <c r="I36" s="30"/>
      <c r="J36" s="30"/>
      <c r="K36" s="30"/>
      <c r="L36" s="29"/>
      <c r="M36" s="30"/>
      <c r="N36" s="30"/>
      <c r="O36" s="30"/>
      <c r="P36" s="30"/>
      <c r="Q36" s="30"/>
      <c r="R36" s="30"/>
      <c r="S36" s="30"/>
      <c r="T36" s="30"/>
      <c r="U36" s="30"/>
      <c r="V36" s="31"/>
    </row>
    <row r="37" spans="1:22">
      <c r="A37" s="1" t="s">
        <v>58</v>
      </c>
      <c r="B37" s="29">
        <v>0</v>
      </c>
      <c r="C37" s="30">
        <v>0</v>
      </c>
      <c r="D37" s="30">
        <v>1095.2007387695703</v>
      </c>
      <c r="E37" s="30">
        <v>0</v>
      </c>
      <c r="F37" s="30">
        <v>0</v>
      </c>
      <c r="G37" s="31">
        <f>SUM(NM_FINANCIAL)</f>
        <v>1095.2007387695703</v>
      </c>
      <c r="H37" s="30"/>
      <c r="I37" s="30"/>
      <c r="J37" s="30"/>
      <c r="K37" s="30"/>
      <c r="L37" s="29"/>
      <c r="M37" s="30"/>
      <c r="N37" s="30"/>
      <c r="O37" s="30"/>
      <c r="P37" s="30"/>
      <c r="Q37" s="30"/>
      <c r="R37" s="30"/>
      <c r="S37" s="30"/>
      <c r="T37" s="30"/>
      <c r="U37" s="30"/>
      <c r="V37" s="31"/>
    </row>
    <row r="38" spans="1:22">
      <c r="A38" s="1" t="s">
        <v>59</v>
      </c>
      <c r="B38" s="29">
        <v>0</v>
      </c>
      <c r="C38" s="30">
        <v>0</v>
      </c>
      <c r="D38" s="30">
        <v>0</v>
      </c>
      <c r="E38" s="30">
        <v>0</v>
      </c>
      <c r="F38" s="30">
        <v>0</v>
      </c>
      <c r="G38" s="31">
        <f>SUM(NY_FINANCIAL)</f>
        <v>0</v>
      </c>
      <c r="H38" s="30"/>
      <c r="I38" s="30"/>
      <c r="J38" s="30"/>
      <c r="K38" s="30"/>
      <c r="L38" s="29"/>
      <c r="M38" s="30"/>
      <c r="N38" s="30"/>
      <c r="O38" s="30"/>
      <c r="P38" s="30"/>
      <c r="Q38" s="30"/>
      <c r="R38" s="30"/>
      <c r="S38" s="30"/>
      <c r="T38" s="30"/>
      <c r="U38" s="30"/>
      <c r="V38" s="31"/>
    </row>
    <row r="39" spans="1:22">
      <c r="A39" s="1" t="s">
        <v>60</v>
      </c>
      <c r="B39" s="29">
        <v>0</v>
      </c>
      <c r="C39" s="30">
        <v>0</v>
      </c>
      <c r="D39" s="30">
        <v>0</v>
      </c>
      <c r="E39" s="30">
        <v>0</v>
      </c>
      <c r="F39" s="30">
        <v>0</v>
      </c>
      <c r="G39" s="31">
        <f>SUM(NC_FINANCIAL)</f>
        <v>0</v>
      </c>
      <c r="H39" s="30"/>
      <c r="I39" s="30"/>
      <c r="J39" s="30"/>
      <c r="K39" s="30"/>
      <c r="L39" s="29"/>
      <c r="M39" s="30"/>
      <c r="N39" s="30"/>
      <c r="O39" s="30"/>
      <c r="P39" s="30"/>
      <c r="Q39" s="30"/>
      <c r="R39" s="30"/>
      <c r="S39" s="30"/>
      <c r="T39" s="30"/>
      <c r="U39" s="30"/>
      <c r="V39" s="31"/>
    </row>
    <row r="40" spans="1:22">
      <c r="A40" s="1" t="s">
        <v>61</v>
      </c>
      <c r="B40" s="29">
        <v>0</v>
      </c>
      <c r="C40" s="30">
        <v>0</v>
      </c>
      <c r="D40" s="30">
        <v>0</v>
      </c>
      <c r="E40" s="30">
        <v>0</v>
      </c>
      <c r="F40" s="30">
        <v>0</v>
      </c>
      <c r="G40" s="31">
        <f>SUM(ND_FINANCIAL)</f>
        <v>0</v>
      </c>
      <c r="H40" s="30"/>
      <c r="I40" s="30"/>
      <c r="J40" s="30"/>
      <c r="K40" s="30"/>
      <c r="L40" s="29"/>
      <c r="M40" s="30"/>
      <c r="N40" s="30"/>
      <c r="O40" s="30"/>
      <c r="P40" s="30"/>
      <c r="Q40" s="30"/>
      <c r="R40" s="30"/>
      <c r="S40" s="30"/>
      <c r="T40" s="30"/>
      <c r="U40" s="30"/>
      <c r="V40" s="31"/>
    </row>
    <row r="41" spans="1:22">
      <c r="A41" s="1" t="s">
        <v>62</v>
      </c>
      <c r="B41" s="29">
        <v>0</v>
      </c>
      <c r="C41" s="30">
        <v>0</v>
      </c>
      <c r="D41" s="30">
        <v>0</v>
      </c>
      <c r="E41" s="30">
        <v>0</v>
      </c>
      <c r="F41" s="30">
        <v>0</v>
      </c>
      <c r="G41" s="31">
        <f>SUM(OH_FINANCIAL)</f>
        <v>0</v>
      </c>
      <c r="H41" s="30"/>
      <c r="I41" s="30"/>
      <c r="J41" s="30"/>
      <c r="K41" s="30"/>
      <c r="L41" s="29"/>
      <c r="M41" s="30"/>
      <c r="N41" s="30"/>
      <c r="O41" s="30"/>
      <c r="P41" s="30"/>
      <c r="Q41" s="30"/>
      <c r="R41" s="30"/>
      <c r="S41" s="30"/>
      <c r="T41" s="30"/>
      <c r="U41" s="30"/>
      <c r="V41" s="31"/>
    </row>
    <row r="42" spans="1:22">
      <c r="A42" s="1" t="s">
        <v>63</v>
      </c>
      <c r="B42" s="29">
        <v>-197.62557965040287</v>
      </c>
      <c r="C42" s="30">
        <v>0</v>
      </c>
      <c r="D42" s="30">
        <v>-2154.0990556314355</v>
      </c>
      <c r="E42" s="30">
        <v>0</v>
      </c>
      <c r="F42" s="30">
        <v>0</v>
      </c>
      <c r="G42" s="31">
        <f>SUM(OK_FINANCIAL)</f>
        <v>-2351.7246352818383</v>
      </c>
      <c r="H42" s="30"/>
      <c r="I42" s="30"/>
      <c r="J42" s="30"/>
      <c r="K42" s="30"/>
      <c r="L42" s="29">
        <v>0</v>
      </c>
      <c r="M42" s="30">
        <v>0</v>
      </c>
      <c r="N42" s="30"/>
      <c r="O42" s="30">
        <v>0</v>
      </c>
      <c r="P42" s="30">
        <v>0</v>
      </c>
      <c r="Q42" s="30"/>
      <c r="R42" s="30">
        <v>0</v>
      </c>
      <c r="S42" s="30">
        <v>0</v>
      </c>
      <c r="T42" s="30"/>
      <c r="U42" s="30">
        <v>0</v>
      </c>
      <c r="V42" s="31">
        <v>0</v>
      </c>
    </row>
    <row r="43" spans="1:22">
      <c r="A43" s="1" t="s">
        <v>64</v>
      </c>
      <c r="B43" s="29">
        <v>0</v>
      </c>
      <c r="C43" s="30">
        <v>0</v>
      </c>
      <c r="D43" s="30">
        <v>-1257.9881652426084</v>
      </c>
      <c r="E43" s="30">
        <v>0</v>
      </c>
      <c r="F43" s="30">
        <v>0</v>
      </c>
      <c r="G43" s="31">
        <f>SUM(OR_FINANCIAL)</f>
        <v>-1257.9881652426084</v>
      </c>
      <c r="H43" s="30"/>
      <c r="I43" s="30"/>
      <c r="J43" s="30"/>
      <c r="K43" s="30"/>
      <c r="L43" s="29"/>
      <c r="M43" s="30"/>
      <c r="N43" s="30"/>
      <c r="O43" s="30"/>
      <c r="P43" s="30"/>
      <c r="Q43" s="30"/>
      <c r="R43" s="30"/>
      <c r="S43" s="30"/>
      <c r="T43" s="30"/>
      <c r="U43" s="30"/>
      <c r="V43" s="31"/>
    </row>
    <row r="44" spans="1:22">
      <c r="A44" s="1" t="s">
        <v>65</v>
      </c>
      <c r="B44" s="29">
        <v>0</v>
      </c>
      <c r="C44" s="30">
        <v>0</v>
      </c>
      <c r="D44" s="30">
        <v>0</v>
      </c>
      <c r="E44" s="30">
        <v>0</v>
      </c>
      <c r="F44" s="30">
        <v>0</v>
      </c>
      <c r="G44" s="31">
        <f>SUM(PA_FINANCIAL)</f>
        <v>0</v>
      </c>
      <c r="H44" s="30"/>
      <c r="I44" s="30"/>
      <c r="J44" s="30"/>
      <c r="K44" s="30"/>
      <c r="L44" s="29"/>
      <c r="M44" s="30"/>
      <c r="N44" s="30"/>
      <c r="O44" s="30"/>
      <c r="P44" s="30"/>
      <c r="Q44" s="30"/>
      <c r="R44" s="30"/>
      <c r="S44" s="30"/>
      <c r="T44" s="30"/>
      <c r="U44" s="30"/>
      <c r="V44" s="31"/>
    </row>
    <row r="45" spans="1:22">
      <c r="A45" s="1" t="s">
        <v>66</v>
      </c>
      <c r="B45" s="29">
        <v>0</v>
      </c>
      <c r="C45" s="30">
        <v>0</v>
      </c>
      <c r="D45" s="30">
        <v>0</v>
      </c>
      <c r="E45" s="30">
        <v>0</v>
      </c>
      <c r="F45" s="30">
        <v>0</v>
      </c>
      <c r="G45" s="31">
        <f>SUM(PR_FINANCIAL)</f>
        <v>0</v>
      </c>
      <c r="H45" s="30"/>
      <c r="I45" s="30"/>
      <c r="J45" s="30"/>
      <c r="K45" s="30"/>
      <c r="L45" s="29"/>
      <c r="M45" s="30"/>
      <c r="N45" s="30"/>
      <c r="O45" s="30"/>
      <c r="P45" s="30"/>
      <c r="Q45" s="30"/>
      <c r="R45" s="30"/>
      <c r="S45" s="30"/>
      <c r="T45" s="30"/>
      <c r="U45" s="30"/>
      <c r="V45" s="31"/>
    </row>
    <row r="46" spans="1:22">
      <c r="A46" s="1" t="s">
        <v>67</v>
      </c>
      <c r="B46" s="29">
        <v>0</v>
      </c>
      <c r="C46" s="30">
        <v>0</v>
      </c>
      <c r="D46" s="30">
        <v>0</v>
      </c>
      <c r="E46" s="30">
        <v>0</v>
      </c>
      <c r="F46" s="30">
        <v>0</v>
      </c>
      <c r="G46" s="31">
        <f>SUM(RI_FINANCIAL)</f>
        <v>0</v>
      </c>
      <c r="H46" s="30"/>
      <c r="I46" s="30"/>
      <c r="J46" s="30"/>
      <c r="K46" s="30"/>
      <c r="L46" s="29"/>
      <c r="M46" s="30"/>
      <c r="N46" s="30"/>
      <c r="O46" s="30"/>
      <c r="P46" s="30"/>
      <c r="Q46" s="30"/>
      <c r="R46" s="30"/>
      <c r="S46" s="30"/>
      <c r="T46" s="30"/>
      <c r="U46" s="30"/>
      <c r="V46" s="31"/>
    </row>
    <row r="47" spans="1:22">
      <c r="A47" s="1" t="s">
        <v>68</v>
      </c>
      <c r="B47" s="29">
        <v>0</v>
      </c>
      <c r="C47" s="30">
        <v>0</v>
      </c>
      <c r="D47" s="30">
        <v>0</v>
      </c>
      <c r="E47" s="30">
        <v>0</v>
      </c>
      <c r="F47" s="30">
        <v>0</v>
      </c>
      <c r="G47" s="31">
        <f>SUM(SC_FINANCIAL)</f>
        <v>0</v>
      </c>
      <c r="H47" s="30"/>
      <c r="I47" s="30"/>
      <c r="J47" s="30"/>
      <c r="K47" s="30"/>
      <c r="L47" s="29"/>
      <c r="M47" s="30"/>
      <c r="N47" s="30"/>
      <c r="O47" s="30"/>
      <c r="P47" s="30"/>
      <c r="Q47" s="30"/>
      <c r="R47" s="30"/>
      <c r="S47" s="30"/>
      <c r="T47" s="30"/>
      <c r="U47" s="30"/>
      <c r="V47" s="31"/>
    </row>
    <row r="48" spans="1:22">
      <c r="A48" s="1" t="s">
        <v>69</v>
      </c>
      <c r="B48" s="29">
        <v>0</v>
      </c>
      <c r="C48" s="30">
        <v>0</v>
      </c>
      <c r="D48" s="30">
        <v>0</v>
      </c>
      <c r="E48" s="30">
        <v>0</v>
      </c>
      <c r="F48" s="30">
        <v>0</v>
      </c>
      <c r="G48" s="31">
        <f>SUM(SD_FINANCIAL)</f>
        <v>0</v>
      </c>
      <c r="H48" s="30"/>
      <c r="I48" s="30"/>
      <c r="J48" s="30"/>
      <c r="K48" s="30"/>
      <c r="L48" s="29"/>
      <c r="M48" s="30"/>
      <c r="N48" s="30"/>
      <c r="O48" s="30"/>
      <c r="P48" s="30"/>
      <c r="Q48" s="30"/>
      <c r="R48" s="30"/>
      <c r="S48" s="30"/>
      <c r="T48" s="30"/>
      <c r="U48" s="30"/>
      <c r="V48" s="31"/>
    </row>
    <row r="49" spans="1:22">
      <c r="A49" s="1" t="s">
        <v>70</v>
      </c>
      <c r="B49" s="29">
        <v>0</v>
      </c>
      <c r="C49" s="30">
        <v>0</v>
      </c>
      <c r="D49" s="30">
        <v>-207.50940578438076</v>
      </c>
      <c r="E49" s="30">
        <v>0</v>
      </c>
      <c r="F49" s="30">
        <v>0</v>
      </c>
      <c r="G49" s="31">
        <f>SUM(TN_FINANCIAL)</f>
        <v>-207.50940578438076</v>
      </c>
      <c r="H49" s="30"/>
      <c r="I49" s="30"/>
      <c r="J49" s="30"/>
      <c r="K49" s="30"/>
      <c r="L49" s="29"/>
      <c r="M49" s="30"/>
      <c r="N49" s="30"/>
      <c r="O49" s="30"/>
      <c r="P49" s="30"/>
      <c r="Q49" s="30"/>
      <c r="R49" s="30"/>
      <c r="S49" s="30"/>
      <c r="T49" s="30"/>
      <c r="U49" s="30"/>
      <c r="V49" s="31"/>
    </row>
    <row r="50" spans="1:22">
      <c r="A50" s="1" t="s">
        <v>71</v>
      </c>
      <c r="B50" s="29">
        <v>0</v>
      </c>
      <c r="C50" s="30">
        <v>0</v>
      </c>
      <c r="D50" s="30">
        <v>-8197.5331728536403</v>
      </c>
      <c r="E50" s="30">
        <v>0</v>
      </c>
      <c r="F50" s="30">
        <v>0</v>
      </c>
      <c r="G50" s="31">
        <f>SUM(TX_FINANCIAL)</f>
        <v>-8197.5331728536403</v>
      </c>
      <c r="H50" s="30"/>
      <c r="I50" s="30"/>
      <c r="J50" s="30"/>
      <c r="K50" s="30"/>
      <c r="L50" s="29">
        <v>0</v>
      </c>
      <c r="M50" s="30">
        <v>0</v>
      </c>
      <c r="N50" s="30"/>
      <c r="O50" s="30">
        <v>0</v>
      </c>
      <c r="P50" s="30">
        <v>0</v>
      </c>
      <c r="Q50" s="30"/>
      <c r="R50" s="30">
        <v>113018</v>
      </c>
      <c r="S50" s="30">
        <v>80000</v>
      </c>
      <c r="T50" s="30"/>
      <c r="U50" s="30">
        <v>0</v>
      </c>
      <c r="V50" s="31">
        <v>0</v>
      </c>
    </row>
    <row r="51" spans="1:22">
      <c r="A51" s="1" t="s">
        <v>72</v>
      </c>
      <c r="B51" s="29">
        <v>0</v>
      </c>
      <c r="C51" s="30">
        <v>0</v>
      </c>
      <c r="D51" s="30">
        <v>47719.22098832234</v>
      </c>
      <c r="E51" s="30">
        <v>0</v>
      </c>
      <c r="F51" s="30">
        <v>0</v>
      </c>
      <c r="G51" s="31">
        <f>SUM(UT_FINANCIAL)</f>
        <v>47719.22098832234</v>
      </c>
      <c r="H51" s="30"/>
      <c r="I51" s="30"/>
      <c r="J51" s="30"/>
      <c r="K51" s="30"/>
      <c r="L51" s="29">
        <v>0</v>
      </c>
      <c r="M51" s="30">
        <v>0</v>
      </c>
      <c r="N51" s="30"/>
      <c r="O51" s="30">
        <v>0</v>
      </c>
      <c r="P51" s="30">
        <v>0</v>
      </c>
      <c r="Q51" s="30"/>
      <c r="R51" s="30">
        <v>150000</v>
      </c>
      <c r="S51" s="30">
        <v>0</v>
      </c>
      <c r="T51" s="30"/>
      <c r="U51" s="30">
        <v>0</v>
      </c>
      <c r="V51" s="31">
        <v>0</v>
      </c>
    </row>
    <row r="52" spans="1:22">
      <c r="A52" s="1" t="s">
        <v>73</v>
      </c>
      <c r="B52" s="29">
        <v>0</v>
      </c>
      <c r="C52" s="30">
        <v>0</v>
      </c>
      <c r="D52" s="30">
        <v>0</v>
      </c>
      <c r="E52" s="30">
        <v>0</v>
      </c>
      <c r="F52" s="30">
        <v>0</v>
      </c>
      <c r="G52" s="31">
        <f>SUM(VT_FINANCIAL)</f>
        <v>0</v>
      </c>
      <c r="H52" s="30"/>
      <c r="I52" s="30"/>
      <c r="J52" s="30"/>
      <c r="K52" s="30"/>
      <c r="L52" s="29"/>
      <c r="M52" s="30"/>
      <c r="N52" s="30"/>
      <c r="O52" s="30"/>
      <c r="P52" s="30"/>
      <c r="Q52" s="30"/>
      <c r="R52" s="30"/>
      <c r="S52" s="30"/>
      <c r="T52" s="30"/>
      <c r="U52" s="30"/>
      <c r="V52" s="31"/>
    </row>
    <row r="53" spans="1:22">
      <c r="A53" s="1" t="s">
        <v>74</v>
      </c>
      <c r="B53" s="29">
        <v>0</v>
      </c>
      <c r="C53" s="30">
        <v>0</v>
      </c>
      <c r="D53" s="30">
        <v>0</v>
      </c>
      <c r="E53" s="30">
        <v>0</v>
      </c>
      <c r="F53" s="30">
        <v>0</v>
      </c>
      <c r="G53" s="31">
        <f>SUM(VA_FINANCIAL)</f>
        <v>0</v>
      </c>
      <c r="H53" s="30"/>
      <c r="I53" s="30"/>
      <c r="J53" s="30"/>
      <c r="K53" s="30"/>
      <c r="L53" s="29"/>
      <c r="M53" s="30"/>
      <c r="N53" s="30"/>
      <c r="O53" s="30"/>
      <c r="P53" s="30"/>
      <c r="Q53" s="30"/>
      <c r="R53" s="30"/>
      <c r="S53" s="30"/>
      <c r="T53" s="30"/>
      <c r="U53" s="30"/>
      <c r="V53" s="31"/>
    </row>
    <row r="54" spans="1:22">
      <c r="A54" s="1" t="s">
        <v>75</v>
      </c>
      <c r="B54" s="29">
        <v>0</v>
      </c>
      <c r="C54" s="30">
        <v>0</v>
      </c>
      <c r="D54" s="30">
        <v>0</v>
      </c>
      <c r="E54" s="30">
        <v>0</v>
      </c>
      <c r="F54" s="30">
        <v>0</v>
      </c>
      <c r="G54" s="31">
        <f>SUM(WA_FINANCIAL)</f>
        <v>0</v>
      </c>
      <c r="H54" s="30"/>
      <c r="I54" s="30"/>
      <c r="J54" s="30"/>
      <c r="K54" s="30"/>
      <c r="L54" s="29"/>
      <c r="M54" s="30"/>
      <c r="N54" s="30"/>
      <c r="O54" s="30"/>
      <c r="P54" s="30"/>
      <c r="Q54" s="30"/>
      <c r="R54" s="30"/>
      <c r="S54" s="30"/>
      <c r="T54" s="30"/>
      <c r="U54" s="30"/>
      <c r="V54" s="31"/>
    </row>
    <row r="55" spans="1:22">
      <c r="A55" s="1" t="s">
        <v>76</v>
      </c>
      <c r="B55" s="29">
        <v>0</v>
      </c>
      <c r="C55" s="30">
        <v>0</v>
      </c>
      <c r="D55" s="30">
        <v>0</v>
      </c>
      <c r="E55" s="30">
        <v>0</v>
      </c>
      <c r="F55" s="30">
        <v>0</v>
      </c>
      <c r="G55" s="31">
        <f>SUM(WV_FINANCIAL)</f>
        <v>0</v>
      </c>
      <c r="H55" s="30"/>
      <c r="I55" s="30"/>
      <c r="J55" s="30"/>
      <c r="K55" s="30"/>
      <c r="L55" s="29"/>
      <c r="M55" s="30"/>
      <c r="N55" s="30"/>
      <c r="O55" s="30"/>
      <c r="P55" s="30"/>
      <c r="Q55" s="30"/>
      <c r="R55" s="30"/>
      <c r="S55" s="30"/>
      <c r="T55" s="30"/>
      <c r="U55" s="30"/>
      <c r="V55" s="31"/>
    </row>
    <row r="56" spans="1:22">
      <c r="A56" s="1" t="s">
        <v>77</v>
      </c>
      <c r="B56" s="29">
        <v>0</v>
      </c>
      <c r="C56" s="30">
        <v>0</v>
      </c>
      <c r="D56" s="30">
        <v>0</v>
      </c>
      <c r="E56" s="30">
        <v>0</v>
      </c>
      <c r="F56" s="30">
        <v>0</v>
      </c>
      <c r="G56" s="31">
        <f>SUM(WI_FINANCIAL)</f>
        <v>0</v>
      </c>
      <c r="H56" s="30"/>
      <c r="I56" s="30"/>
      <c r="J56" s="30"/>
      <c r="K56" s="30"/>
      <c r="L56" s="29"/>
      <c r="M56" s="30"/>
      <c r="N56" s="30"/>
      <c r="O56" s="30"/>
      <c r="P56" s="30"/>
      <c r="Q56" s="30"/>
      <c r="R56" s="30"/>
      <c r="S56" s="30"/>
      <c r="T56" s="30"/>
      <c r="U56" s="30"/>
      <c r="V56" s="31"/>
    </row>
    <row r="57" spans="1:22">
      <c r="A57" s="1" t="s">
        <v>78</v>
      </c>
      <c r="B57" s="29">
        <v>0</v>
      </c>
      <c r="C57" s="30">
        <v>0</v>
      </c>
      <c r="D57" s="30">
        <v>-502.28748025021923</v>
      </c>
      <c r="E57" s="30">
        <v>0</v>
      </c>
      <c r="F57" s="30">
        <v>0</v>
      </c>
      <c r="G57" s="31">
        <f>SUM(WY_FINANCIAL)</f>
        <v>-502.28748025021923</v>
      </c>
      <c r="H57" s="30"/>
      <c r="I57" s="30"/>
      <c r="J57" s="30"/>
      <c r="K57" s="30"/>
      <c r="L57" s="29"/>
      <c r="M57" s="30"/>
      <c r="N57" s="30"/>
      <c r="O57" s="30"/>
      <c r="P57" s="30"/>
      <c r="Q57" s="30"/>
      <c r="R57" s="30"/>
      <c r="S57" s="30"/>
      <c r="T57" s="30"/>
      <c r="U57" s="30"/>
      <c r="V57" s="31"/>
    </row>
    <row r="58" spans="1:22">
      <c r="A58" s="1" t="s">
        <v>79</v>
      </c>
      <c r="B58" s="29">
        <v>0</v>
      </c>
      <c r="C58" s="30">
        <v>0</v>
      </c>
      <c r="D58" s="30">
        <v>0</v>
      </c>
      <c r="E58" s="30">
        <v>0</v>
      </c>
      <c r="F58" s="30">
        <v>0</v>
      </c>
      <c r="G58" s="31">
        <f>SUM(OT_FINANCIAL)</f>
        <v>0</v>
      </c>
      <c r="H58" s="30"/>
      <c r="I58" s="30"/>
      <c r="J58" s="30"/>
      <c r="K58" s="30"/>
      <c r="L58" s="29"/>
      <c r="M58" s="30"/>
      <c r="N58" s="30"/>
      <c r="O58" s="30"/>
      <c r="P58" s="30"/>
      <c r="Q58" s="30"/>
      <c r="R58" s="30"/>
      <c r="S58" s="30"/>
      <c r="T58" s="30"/>
      <c r="U58" s="30"/>
      <c r="V58" s="31"/>
    </row>
    <row r="59" spans="1:22">
      <c r="B59" s="29"/>
      <c r="C59" s="30"/>
      <c r="D59" s="30"/>
      <c r="E59" s="30"/>
      <c r="F59" s="30"/>
      <c r="G59" s="31"/>
      <c r="H59" s="30"/>
      <c r="I59" s="30"/>
      <c r="J59" s="30"/>
      <c r="K59" s="30"/>
      <c r="L59" s="29"/>
      <c r="M59" s="30"/>
      <c r="N59" s="30"/>
      <c r="O59" s="30"/>
      <c r="P59" s="30"/>
      <c r="Q59" s="30"/>
      <c r="R59" s="30"/>
      <c r="S59" s="30"/>
      <c r="T59" s="30"/>
      <c r="U59" s="30"/>
      <c r="V59" s="31"/>
    </row>
    <row r="60" spans="1:22">
      <c r="A60" s="1" t="s">
        <v>8</v>
      </c>
      <c r="B60" s="29">
        <f>SUM(LIFE)</f>
        <v>-693.9963165864574</v>
      </c>
      <c r="C60" s="30">
        <f>SUM(ALLOCATED)</f>
        <v>0</v>
      </c>
      <c r="D60" s="30">
        <f>SUM(HEALTH)</f>
        <v>-135358.01368341275</v>
      </c>
      <c r="E60" s="30">
        <f>SUM(UNALLOCATED)</f>
        <v>0</v>
      </c>
      <c r="F60" s="30">
        <f>SUM(LTC)</f>
        <v>0</v>
      </c>
      <c r="G60" s="31">
        <f>SUM(ALL_BLOCKS)</f>
        <v>-136052.00999999919</v>
      </c>
      <c r="H60" s="30"/>
      <c r="I60" s="30"/>
      <c r="J60" s="30"/>
      <c r="K60" s="30"/>
      <c r="L60" s="29">
        <f>SUM(LIFE_CALLED)</f>
        <v>0</v>
      </c>
      <c r="M60" s="30">
        <f>SUM(LIFE_REFUNDED)</f>
        <v>0</v>
      </c>
      <c r="N60" s="30"/>
      <c r="O60" s="30">
        <f>SUM(ALLOC_CALLED)</f>
        <v>0</v>
      </c>
      <c r="P60" s="30">
        <f>SUM(ALLOC_REFUNDED)</f>
        <v>0</v>
      </c>
      <c r="Q60" s="30"/>
      <c r="R60" s="30">
        <f>SUM(HEALTH_CALLED)</f>
        <v>1804218</v>
      </c>
      <c r="S60" s="30">
        <f>SUM(HEALTH_REFUNDED)</f>
        <v>1145622</v>
      </c>
      <c r="T60" s="30"/>
      <c r="U60" s="30">
        <f>SUM(UNALLOC_CALLED)</f>
        <v>0</v>
      </c>
      <c r="V60" s="31">
        <f>SUM(UNALLOC_REFUNDED)</f>
        <v>0</v>
      </c>
    </row>
    <row r="61" spans="1:22" ht="5.0999999999999996" customHeight="1">
      <c r="B61" s="8"/>
      <c r="G61" s="11"/>
      <c r="L61" s="8"/>
      <c r="V61" s="11"/>
    </row>
    <row r="62" spans="1:22">
      <c r="B62" s="8"/>
      <c r="G62" s="11"/>
      <c r="L62" s="122" t="s">
        <v>80</v>
      </c>
      <c r="M62" s="123"/>
      <c r="N62" s="123"/>
      <c r="O62" s="123"/>
      <c r="P62" s="123"/>
      <c r="Q62" s="123"/>
      <c r="R62" s="123"/>
      <c r="S62" s="123"/>
      <c r="T62" s="123"/>
      <c r="U62" s="123"/>
      <c r="V62" s="124"/>
    </row>
    <row r="63" spans="1:22">
      <c r="B63" s="8"/>
      <c r="G63" s="11"/>
      <c r="L63" s="125"/>
      <c r="M63" s="123"/>
      <c r="N63" s="123"/>
      <c r="O63" s="123"/>
      <c r="P63" s="123"/>
      <c r="Q63" s="123"/>
      <c r="R63" s="123"/>
      <c r="S63" s="123"/>
      <c r="T63" s="123"/>
      <c r="U63" s="123"/>
      <c r="V63" s="124"/>
    </row>
    <row r="64" spans="1:22">
      <c r="B64" s="10"/>
      <c r="C64" s="7"/>
      <c r="D64" s="7"/>
      <c r="E64" s="7"/>
      <c r="F64" s="7"/>
      <c r="G64" s="13"/>
      <c r="L64" s="126"/>
      <c r="M64" s="127"/>
      <c r="N64" s="127"/>
      <c r="O64" s="127"/>
      <c r="P64" s="127"/>
      <c r="Q64" s="127"/>
      <c r="R64" s="127"/>
      <c r="S64" s="127"/>
      <c r="T64" s="127"/>
      <c r="U64" s="127"/>
      <c r="V64" s="128"/>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pageSetUpPr fitToPage="1"/>
  </sheetPr>
  <dimension ref="A1:V64"/>
  <sheetViews>
    <sheetView zoomScale="75" workbookViewId="0">
      <selection sqref="A1:XFD1048576"/>
    </sheetView>
  </sheetViews>
  <sheetFormatPr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129" t="s">
        <v>169</v>
      </c>
      <c r="B1" s="123"/>
      <c r="C1" s="123"/>
      <c r="D1" s="123"/>
      <c r="E1" s="123"/>
      <c r="F1" s="123"/>
      <c r="G1" s="123"/>
    </row>
    <row r="3" spans="1:22">
      <c r="B3" s="130" t="s">
        <v>1</v>
      </c>
      <c r="C3" s="131"/>
      <c r="D3" s="131"/>
      <c r="E3" s="131"/>
      <c r="F3" s="131"/>
      <c r="G3" s="132"/>
      <c r="L3" s="133" t="s">
        <v>2</v>
      </c>
      <c r="M3" s="134"/>
      <c r="N3" s="134"/>
      <c r="O3" s="134"/>
      <c r="P3" s="134"/>
      <c r="Q3" s="134"/>
      <c r="R3" s="134"/>
      <c r="S3" s="134"/>
      <c r="T3" s="134"/>
      <c r="U3" s="134"/>
      <c r="V3" s="135"/>
    </row>
    <row r="4" spans="1:22">
      <c r="B4" s="8"/>
      <c r="G4" s="11"/>
      <c r="L4" s="136" t="s">
        <v>3</v>
      </c>
      <c r="M4" s="137"/>
      <c r="N4" s="4"/>
      <c r="O4" s="138" t="s">
        <v>4</v>
      </c>
      <c r="P4" s="137"/>
      <c r="Q4" s="4"/>
      <c r="R4" s="138" t="s">
        <v>5</v>
      </c>
      <c r="S4" s="137"/>
      <c r="T4" s="4"/>
      <c r="U4" s="138" t="s">
        <v>6</v>
      </c>
      <c r="V4" s="139"/>
    </row>
    <row r="5" spans="1:22" ht="60" customHeight="1">
      <c r="B5" s="9" t="s">
        <v>3</v>
      </c>
      <c r="C5" s="5" t="s">
        <v>4</v>
      </c>
      <c r="D5" s="5" t="s">
        <v>5</v>
      </c>
      <c r="E5" s="5" t="s">
        <v>6</v>
      </c>
      <c r="F5" s="5" t="s">
        <v>7</v>
      </c>
      <c r="G5" s="12" t="s">
        <v>8</v>
      </c>
      <c r="L5" s="15" t="s">
        <v>9</v>
      </c>
      <c r="M5" s="14" t="s">
        <v>10</v>
      </c>
      <c r="N5" s="14"/>
      <c r="O5" s="14" t="s">
        <v>9</v>
      </c>
      <c r="P5" s="14" t="s">
        <v>10</v>
      </c>
      <c r="Q5" s="14"/>
      <c r="R5" s="14" t="s">
        <v>9</v>
      </c>
      <c r="S5" s="14" t="s">
        <v>10</v>
      </c>
      <c r="T5" s="14"/>
      <c r="U5" s="14" t="s">
        <v>9</v>
      </c>
      <c r="V5" s="16" t="s">
        <v>10</v>
      </c>
    </row>
    <row r="6" spans="1:22">
      <c r="A6" s="1" t="s">
        <v>11</v>
      </c>
      <c r="B6" s="29">
        <v>0</v>
      </c>
      <c r="C6" s="30">
        <v>0</v>
      </c>
      <c r="D6" s="30">
        <v>0</v>
      </c>
      <c r="E6" s="30">
        <v>0</v>
      </c>
      <c r="F6" s="30">
        <v>0</v>
      </c>
      <c r="G6" s="31">
        <f>SUM(AL_FINANCIAL)</f>
        <v>0</v>
      </c>
      <c r="H6" s="30"/>
      <c r="I6" s="30"/>
      <c r="J6" s="30"/>
      <c r="K6" s="30"/>
      <c r="L6" s="29"/>
      <c r="M6" s="30"/>
      <c r="N6" s="30"/>
      <c r="O6" s="30"/>
      <c r="P6" s="30"/>
      <c r="Q6" s="30"/>
      <c r="R6" s="30"/>
      <c r="S6" s="30"/>
      <c r="T6" s="30"/>
      <c r="U6" s="30"/>
      <c r="V6" s="31"/>
    </row>
    <row r="7" spans="1:22">
      <c r="A7" s="1" t="s">
        <v>12</v>
      </c>
      <c r="B7" s="29">
        <v>0</v>
      </c>
      <c r="C7" s="30">
        <v>0</v>
      </c>
      <c r="D7" s="30">
        <v>21235.880475797367</v>
      </c>
      <c r="E7" s="30">
        <v>0</v>
      </c>
      <c r="F7" s="30">
        <v>0</v>
      </c>
      <c r="G7" s="31">
        <f>SUM(AK_FINANCIAL)</f>
        <v>21235.880475797367</v>
      </c>
      <c r="H7" s="30"/>
      <c r="I7" s="32"/>
      <c r="J7" s="33"/>
      <c r="K7" s="30"/>
      <c r="L7" s="29">
        <v>0</v>
      </c>
      <c r="M7" s="30">
        <v>0</v>
      </c>
      <c r="N7" s="30"/>
      <c r="O7" s="30">
        <v>0</v>
      </c>
      <c r="P7" s="30">
        <v>0</v>
      </c>
      <c r="Q7" s="30"/>
      <c r="R7" s="30">
        <v>25000</v>
      </c>
      <c r="S7" s="30">
        <v>0</v>
      </c>
      <c r="T7" s="30"/>
      <c r="U7" s="30">
        <v>0</v>
      </c>
      <c r="V7" s="31">
        <v>0</v>
      </c>
    </row>
    <row r="8" spans="1:22">
      <c r="A8" s="1" t="s">
        <v>13</v>
      </c>
      <c r="B8" s="29">
        <v>0</v>
      </c>
      <c r="C8" s="30">
        <v>0</v>
      </c>
      <c r="D8" s="30">
        <v>571.92447295450256</v>
      </c>
      <c r="E8" s="30">
        <v>0</v>
      </c>
      <c r="F8" s="30">
        <v>0</v>
      </c>
      <c r="G8" s="31">
        <f>SUM(AZ_FINANCIAL)</f>
        <v>571.92447295450256</v>
      </c>
      <c r="H8" s="30"/>
      <c r="I8" s="34" t="s">
        <v>14</v>
      </c>
      <c r="J8" s="35"/>
      <c r="K8" s="30"/>
      <c r="L8" s="29"/>
      <c r="M8" s="30"/>
      <c r="N8" s="30"/>
      <c r="O8" s="30"/>
      <c r="P8" s="30"/>
      <c r="Q8" s="30"/>
      <c r="R8" s="30"/>
      <c r="S8" s="30"/>
      <c r="T8" s="30"/>
      <c r="U8" s="30"/>
      <c r="V8" s="31"/>
    </row>
    <row r="9" spans="1:22">
      <c r="A9" s="1" t="s">
        <v>15</v>
      </c>
      <c r="B9" s="29">
        <v>0</v>
      </c>
      <c r="C9" s="30">
        <v>0</v>
      </c>
      <c r="D9" s="30">
        <v>30649.818326687113</v>
      </c>
      <c r="E9" s="30">
        <v>0</v>
      </c>
      <c r="F9" s="30">
        <v>0</v>
      </c>
      <c r="G9" s="31">
        <f>SUM(AR_FINANCIAL)</f>
        <v>30649.818326687113</v>
      </c>
      <c r="H9" s="30"/>
      <c r="I9" s="34"/>
      <c r="J9" s="35"/>
      <c r="K9" s="30"/>
      <c r="L9" s="29">
        <v>84049</v>
      </c>
      <c r="M9" s="30">
        <v>0</v>
      </c>
      <c r="N9" s="30"/>
      <c r="O9" s="30">
        <v>0</v>
      </c>
      <c r="P9" s="30">
        <v>0</v>
      </c>
      <c r="Q9" s="30"/>
      <c r="R9" s="30">
        <v>0</v>
      </c>
      <c r="S9" s="30">
        <v>0</v>
      </c>
      <c r="T9" s="30"/>
      <c r="U9" s="30">
        <v>0</v>
      </c>
      <c r="V9" s="31">
        <v>0</v>
      </c>
    </row>
    <row r="10" spans="1:22">
      <c r="A10" s="1" t="s">
        <v>16</v>
      </c>
      <c r="B10" s="29">
        <v>0</v>
      </c>
      <c r="C10" s="30">
        <v>0</v>
      </c>
      <c r="D10" s="30">
        <v>185797.02671589699</v>
      </c>
      <c r="E10" s="30">
        <v>0</v>
      </c>
      <c r="F10" s="30">
        <v>0</v>
      </c>
      <c r="G10" s="31">
        <f>SUM(CA_FINANCIAL)</f>
        <v>185797.02671589699</v>
      </c>
      <c r="H10" s="30"/>
      <c r="I10" s="34" t="s">
        <v>17</v>
      </c>
      <c r="J10" s="35">
        <v>11764659.76</v>
      </c>
      <c r="K10" s="30"/>
      <c r="L10" s="29">
        <v>0</v>
      </c>
      <c r="M10" s="30">
        <v>0</v>
      </c>
      <c r="N10" s="30"/>
      <c r="O10" s="30">
        <v>0</v>
      </c>
      <c r="P10" s="30">
        <v>0</v>
      </c>
      <c r="Q10" s="30"/>
      <c r="R10" s="30">
        <v>300000</v>
      </c>
      <c r="S10" s="30">
        <v>0</v>
      </c>
      <c r="T10" s="30"/>
      <c r="U10" s="30">
        <v>0</v>
      </c>
      <c r="V10" s="31">
        <v>0</v>
      </c>
    </row>
    <row r="11" spans="1:22">
      <c r="A11" s="1" t="s">
        <v>18</v>
      </c>
      <c r="B11" s="29">
        <v>0</v>
      </c>
      <c r="C11" s="30">
        <v>0</v>
      </c>
      <c r="D11" s="30">
        <v>333519.42183768027</v>
      </c>
      <c r="E11" s="30">
        <v>0</v>
      </c>
      <c r="F11" s="30">
        <v>0</v>
      </c>
      <c r="G11" s="31">
        <f>SUM(CO_FINANCIAL)</f>
        <v>333519.42183768027</v>
      </c>
      <c r="H11" s="30"/>
      <c r="I11" s="34"/>
      <c r="J11" s="35"/>
      <c r="K11" s="30"/>
      <c r="L11" s="29">
        <v>0</v>
      </c>
      <c r="M11" s="30">
        <v>0</v>
      </c>
      <c r="N11" s="30"/>
      <c r="O11" s="30">
        <v>0</v>
      </c>
      <c r="P11" s="30">
        <v>0</v>
      </c>
      <c r="Q11" s="30"/>
      <c r="R11" s="30">
        <v>481162</v>
      </c>
      <c r="S11" s="30">
        <v>816500</v>
      </c>
      <c r="T11" s="30"/>
      <c r="U11" s="30">
        <v>0</v>
      </c>
      <c r="V11" s="31">
        <v>0</v>
      </c>
    </row>
    <row r="12" spans="1:22">
      <c r="A12" s="1" t="s">
        <v>19</v>
      </c>
      <c r="B12" s="29">
        <v>0</v>
      </c>
      <c r="C12" s="30">
        <v>0</v>
      </c>
      <c r="D12" s="30">
        <v>0</v>
      </c>
      <c r="E12" s="30">
        <v>0</v>
      </c>
      <c r="F12" s="30">
        <v>0</v>
      </c>
      <c r="G12" s="31">
        <f>SUM(CT_FINANCIAL)</f>
        <v>0</v>
      </c>
      <c r="H12" s="30"/>
      <c r="I12" s="34" t="s">
        <v>20</v>
      </c>
      <c r="J12" s="35"/>
      <c r="K12" s="30"/>
      <c r="L12" s="29"/>
      <c r="M12" s="30"/>
      <c r="N12" s="30"/>
      <c r="O12" s="30"/>
      <c r="P12" s="30"/>
      <c r="Q12" s="30"/>
      <c r="R12" s="30"/>
      <c r="S12" s="30"/>
      <c r="T12" s="30"/>
      <c r="U12" s="30"/>
      <c r="V12" s="31"/>
    </row>
    <row r="13" spans="1:22">
      <c r="A13" s="1" t="s">
        <v>21</v>
      </c>
      <c r="B13" s="29">
        <v>0</v>
      </c>
      <c r="C13" s="30">
        <v>0</v>
      </c>
      <c r="D13" s="30">
        <v>0</v>
      </c>
      <c r="E13" s="30">
        <v>0</v>
      </c>
      <c r="F13" s="30">
        <v>0</v>
      </c>
      <c r="G13" s="31">
        <f>SUM(DE_FINANCIAL)</f>
        <v>0</v>
      </c>
      <c r="H13" s="30"/>
      <c r="I13" s="34" t="s">
        <v>22</v>
      </c>
      <c r="J13" s="35">
        <v>6431483.7800000003</v>
      </c>
      <c r="K13" s="30"/>
      <c r="L13" s="29"/>
      <c r="M13" s="30"/>
      <c r="N13" s="30"/>
      <c r="O13" s="30"/>
      <c r="P13" s="30"/>
      <c r="Q13" s="30"/>
      <c r="R13" s="30"/>
      <c r="S13" s="30"/>
      <c r="T13" s="30"/>
      <c r="U13" s="30"/>
      <c r="V13" s="31"/>
    </row>
    <row r="14" spans="1:22">
      <c r="A14" s="1" t="s">
        <v>23</v>
      </c>
      <c r="B14" s="29">
        <v>0</v>
      </c>
      <c r="C14" s="30">
        <v>0</v>
      </c>
      <c r="D14" s="30">
        <v>0</v>
      </c>
      <c r="E14" s="30">
        <v>0</v>
      </c>
      <c r="F14" s="30">
        <v>0</v>
      </c>
      <c r="G14" s="31">
        <f>SUM(DC_FINANCIAL)</f>
        <v>0</v>
      </c>
      <c r="H14" s="30"/>
      <c r="I14" s="34" t="s">
        <v>24</v>
      </c>
      <c r="J14" s="35">
        <v>935654.02</v>
      </c>
      <c r="K14" s="30"/>
      <c r="L14" s="29"/>
      <c r="M14" s="30"/>
      <c r="N14" s="30"/>
      <c r="O14" s="30"/>
      <c r="P14" s="30"/>
      <c r="Q14" s="30"/>
      <c r="R14" s="30"/>
      <c r="S14" s="30"/>
      <c r="T14" s="30"/>
      <c r="U14" s="30"/>
      <c r="V14" s="31"/>
    </row>
    <row r="15" spans="1:22">
      <c r="A15" s="1" t="s">
        <v>25</v>
      </c>
      <c r="B15" s="29">
        <v>0</v>
      </c>
      <c r="C15" s="30">
        <v>0</v>
      </c>
      <c r="D15" s="30">
        <v>0</v>
      </c>
      <c r="E15" s="30">
        <v>0</v>
      </c>
      <c r="F15" s="30">
        <v>0</v>
      </c>
      <c r="G15" s="31">
        <f>SUM(FL_FINANCIAL)</f>
        <v>0</v>
      </c>
      <c r="H15" s="30"/>
      <c r="I15" s="34" t="s">
        <v>26</v>
      </c>
      <c r="J15" s="35">
        <v>1100901.7899999996</v>
      </c>
      <c r="K15" s="30"/>
      <c r="L15" s="29"/>
      <c r="M15" s="30"/>
      <c r="N15" s="30"/>
      <c r="O15" s="30"/>
      <c r="P15" s="30"/>
      <c r="Q15" s="30"/>
      <c r="R15" s="30"/>
      <c r="S15" s="30"/>
      <c r="T15" s="30"/>
      <c r="U15" s="30"/>
      <c r="V15" s="31"/>
    </row>
    <row r="16" spans="1:22">
      <c r="A16" s="1" t="s">
        <v>27</v>
      </c>
      <c r="B16" s="29">
        <v>0</v>
      </c>
      <c r="C16" s="30">
        <v>0</v>
      </c>
      <c r="D16" s="30">
        <v>0</v>
      </c>
      <c r="E16" s="30">
        <v>0</v>
      </c>
      <c r="F16" s="30">
        <v>0</v>
      </c>
      <c r="G16" s="31">
        <f>SUM(GA_FINANCIAL)</f>
        <v>0</v>
      </c>
      <c r="H16" s="30"/>
      <c r="I16" s="34" t="s">
        <v>28</v>
      </c>
      <c r="J16" s="35">
        <v>0</v>
      </c>
      <c r="K16" s="30"/>
      <c r="L16" s="29"/>
      <c r="M16" s="30"/>
      <c r="N16" s="30"/>
      <c r="O16" s="30"/>
      <c r="P16" s="30"/>
      <c r="Q16" s="30"/>
      <c r="R16" s="30"/>
      <c r="S16" s="30"/>
      <c r="T16" s="30"/>
      <c r="U16" s="30"/>
      <c r="V16" s="31"/>
    </row>
    <row r="17" spans="1:22">
      <c r="A17" s="1" t="s">
        <v>29</v>
      </c>
      <c r="B17" s="29">
        <v>0</v>
      </c>
      <c r="C17" s="30">
        <v>0</v>
      </c>
      <c r="D17" s="30">
        <v>706.72059997408542</v>
      </c>
      <c r="E17" s="30">
        <v>0</v>
      </c>
      <c r="F17" s="30">
        <v>0</v>
      </c>
      <c r="G17" s="31">
        <f>SUM(HI_FINANCIAL)</f>
        <v>706.72059997408542</v>
      </c>
      <c r="H17" s="30"/>
      <c r="I17" s="34"/>
      <c r="J17" s="35"/>
      <c r="K17" s="30"/>
      <c r="L17" s="29"/>
      <c r="M17" s="30"/>
      <c r="N17" s="30"/>
      <c r="O17" s="30"/>
      <c r="P17" s="30"/>
      <c r="Q17" s="30"/>
      <c r="R17" s="30"/>
      <c r="S17" s="30"/>
      <c r="T17" s="30"/>
      <c r="U17" s="30"/>
      <c r="V17" s="31"/>
    </row>
    <row r="18" spans="1:22">
      <c r="A18" s="1" t="s">
        <v>30</v>
      </c>
      <c r="B18" s="29">
        <v>0</v>
      </c>
      <c r="C18" s="30">
        <v>0</v>
      </c>
      <c r="D18" s="30">
        <v>337071.42406979494</v>
      </c>
      <c r="E18" s="30">
        <v>0</v>
      </c>
      <c r="F18" s="30">
        <v>0</v>
      </c>
      <c r="G18" s="31">
        <f>SUM(ID_FINANCIAL)</f>
        <v>337071.42406979494</v>
      </c>
      <c r="H18" s="30"/>
      <c r="I18" s="34" t="s">
        <v>31</v>
      </c>
      <c r="J18" s="35"/>
      <c r="K18" s="30"/>
      <c r="L18" s="29">
        <v>22765</v>
      </c>
      <c r="M18" s="30">
        <v>0</v>
      </c>
      <c r="N18" s="30"/>
      <c r="O18" s="30">
        <v>0</v>
      </c>
      <c r="P18" s="30">
        <v>0</v>
      </c>
      <c r="Q18" s="30"/>
      <c r="R18" s="30">
        <v>432235</v>
      </c>
      <c r="S18" s="30">
        <v>0</v>
      </c>
      <c r="T18" s="30"/>
      <c r="U18" s="30">
        <v>0</v>
      </c>
      <c r="V18" s="31">
        <v>0</v>
      </c>
    </row>
    <row r="19" spans="1:22">
      <c r="A19" s="1" t="s">
        <v>32</v>
      </c>
      <c r="B19" s="29">
        <v>0</v>
      </c>
      <c r="C19" s="30">
        <v>0</v>
      </c>
      <c r="D19" s="30">
        <v>19290.615984832752</v>
      </c>
      <c r="E19" s="30">
        <v>0</v>
      </c>
      <c r="F19" s="30">
        <v>0</v>
      </c>
      <c r="G19" s="31">
        <f>SUM(IL_FINANCIAL)</f>
        <v>19290.615984832752</v>
      </c>
      <c r="H19" s="30"/>
      <c r="I19" s="34" t="s">
        <v>33</v>
      </c>
      <c r="J19" s="35">
        <v>0</v>
      </c>
      <c r="K19" s="30"/>
      <c r="L19" s="29">
        <v>0</v>
      </c>
      <c r="M19" s="30">
        <v>0</v>
      </c>
      <c r="N19" s="30"/>
      <c r="O19" s="30">
        <v>0</v>
      </c>
      <c r="P19" s="30">
        <v>0</v>
      </c>
      <c r="Q19" s="30"/>
      <c r="R19" s="30">
        <v>140000</v>
      </c>
      <c r="S19" s="30">
        <v>0</v>
      </c>
      <c r="T19" s="30"/>
      <c r="U19" s="30">
        <v>0</v>
      </c>
      <c r="V19" s="31">
        <v>0</v>
      </c>
    </row>
    <row r="20" spans="1:22">
      <c r="A20" s="1" t="s">
        <v>34</v>
      </c>
      <c r="B20" s="29">
        <v>0</v>
      </c>
      <c r="C20" s="30">
        <v>0</v>
      </c>
      <c r="D20" s="30">
        <v>2435.1780105400285</v>
      </c>
      <c r="E20" s="30">
        <v>0</v>
      </c>
      <c r="F20" s="30">
        <v>0</v>
      </c>
      <c r="G20" s="31">
        <f>SUM(IN_FINANCIAL)</f>
        <v>2435.1780105400285</v>
      </c>
      <c r="H20" s="30"/>
      <c r="I20" s="34" t="s">
        <v>35</v>
      </c>
      <c r="J20" s="35">
        <v>6312722.7800000003</v>
      </c>
      <c r="K20" s="30"/>
      <c r="L20" s="29"/>
      <c r="M20" s="30"/>
      <c r="N20" s="30"/>
      <c r="O20" s="30"/>
      <c r="P20" s="30"/>
      <c r="Q20" s="30"/>
      <c r="R20" s="30"/>
      <c r="S20" s="30"/>
      <c r="T20" s="30"/>
      <c r="U20" s="30"/>
      <c r="V20" s="31"/>
    </row>
    <row r="21" spans="1:22">
      <c r="A21" s="1" t="s">
        <v>36</v>
      </c>
      <c r="B21" s="29">
        <v>0</v>
      </c>
      <c r="C21" s="30">
        <v>0</v>
      </c>
      <c r="D21" s="30">
        <v>654216.63693063695</v>
      </c>
      <c r="E21" s="30">
        <v>0</v>
      </c>
      <c r="F21" s="30">
        <v>0</v>
      </c>
      <c r="G21" s="31">
        <f>SUM(IA_FINANCIAL)</f>
        <v>654216.63693063695</v>
      </c>
      <c r="H21" s="30"/>
      <c r="I21" s="34" t="s">
        <v>37</v>
      </c>
      <c r="J21" s="35"/>
      <c r="K21" s="30"/>
      <c r="L21" s="29"/>
      <c r="M21" s="30"/>
      <c r="N21" s="30"/>
      <c r="O21" s="30"/>
      <c r="P21" s="30"/>
      <c r="Q21" s="30"/>
      <c r="R21" s="30"/>
      <c r="S21" s="30"/>
      <c r="T21" s="30"/>
      <c r="U21" s="30"/>
      <c r="V21" s="31"/>
    </row>
    <row r="22" spans="1:22">
      <c r="A22" s="1" t="s">
        <v>38</v>
      </c>
      <c r="B22" s="29">
        <v>0</v>
      </c>
      <c r="C22" s="30">
        <v>0</v>
      </c>
      <c r="D22" s="30">
        <v>0</v>
      </c>
      <c r="E22" s="30">
        <v>0</v>
      </c>
      <c r="F22" s="30">
        <v>0</v>
      </c>
      <c r="G22" s="31">
        <f>SUM(KS_FINANCIAL)</f>
        <v>0</v>
      </c>
      <c r="H22" s="30"/>
      <c r="I22" s="34" t="s">
        <v>39</v>
      </c>
      <c r="J22" s="35">
        <v>0</v>
      </c>
      <c r="K22" s="30"/>
      <c r="L22" s="29"/>
      <c r="M22" s="30"/>
      <c r="N22" s="30"/>
      <c r="O22" s="30"/>
      <c r="P22" s="30"/>
      <c r="Q22" s="30"/>
      <c r="R22" s="30"/>
      <c r="S22" s="30"/>
      <c r="T22" s="30"/>
      <c r="U22" s="30"/>
      <c r="V22" s="31"/>
    </row>
    <row r="23" spans="1:22">
      <c r="A23" s="1" t="s">
        <v>40</v>
      </c>
      <c r="B23" s="29">
        <v>0</v>
      </c>
      <c r="C23" s="30">
        <v>0</v>
      </c>
      <c r="D23" s="30">
        <v>0</v>
      </c>
      <c r="E23" s="30">
        <v>0</v>
      </c>
      <c r="F23" s="30">
        <v>0</v>
      </c>
      <c r="G23" s="31">
        <f>SUM(KY_FINANCIAL)</f>
        <v>0</v>
      </c>
      <c r="H23" s="30"/>
      <c r="I23" s="34" t="s">
        <v>41</v>
      </c>
      <c r="J23" s="35"/>
      <c r="K23" s="30"/>
      <c r="L23" s="29"/>
      <c r="M23" s="30"/>
      <c r="N23" s="30"/>
      <c r="O23" s="30"/>
      <c r="P23" s="30"/>
      <c r="Q23" s="30"/>
      <c r="R23" s="30"/>
      <c r="S23" s="30"/>
      <c r="T23" s="30"/>
      <c r="U23" s="30"/>
      <c r="V23" s="31"/>
    </row>
    <row r="24" spans="1:22">
      <c r="A24" s="1" t="s">
        <v>42</v>
      </c>
      <c r="B24" s="29">
        <v>0</v>
      </c>
      <c r="C24" s="30">
        <v>0</v>
      </c>
      <c r="D24" s="30">
        <v>0</v>
      </c>
      <c r="E24" s="30">
        <v>0</v>
      </c>
      <c r="F24" s="30">
        <v>0</v>
      </c>
      <c r="G24" s="31">
        <f>SUM(LA_FINANCIAL)</f>
        <v>0</v>
      </c>
      <c r="H24" s="30"/>
      <c r="I24" s="34" t="s">
        <v>43</v>
      </c>
      <c r="J24" s="35">
        <v>3522084.73</v>
      </c>
      <c r="K24" s="30"/>
      <c r="L24" s="29"/>
      <c r="M24" s="30"/>
      <c r="N24" s="30"/>
      <c r="O24" s="30"/>
      <c r="P24" s="30"/>
      <c r="Q24" s="30"/>
      <c r="R24" s="30"/>
      <c r="S24" s="30"/>
      <c r="T24" s="30"/>
      <c r="U24" s="30"/>
      <c r="V24" s="31"/>
    </row>
    <row r="25" spans="1:22">
      <c r="A25" s="1" t="s">
        <v>44</v>
      </c>
      <c r="B25" s="29">
        <v>0</v>
      </c>
      <c r="C25" s="30">
        <v>0</v>
      </c>
      <c r="D25" s="30">
        <v>0</v>
      </c>
      <c r="E25" s="30">
        <v>0</v>
      </c>
      <c r="F25" s="30">
        <v>0</v>
      </c>
      <c r="G25" s="31">
        <f>SUM(ME_FINANCIAL)</f>
        <v>0</v>
      </c>
      <c r="H25" s="30"/>
      <c r="I25" s="34"/>
      <c r="J25" s="35"/>
      <c r="K25" s="30"/>
      <c r="L25" s="29"/>
      <c r="M25" s="30"/>
      <c r="N25" s="30"/>
      <c r="O25" s="30"/>
      <c r="P25" s="30"/>
      <c r="Q25" s="30"/>
      <c r="R25" s="30"/>
      <c r="S25" s="30"/>
      <c r="T25" s="30"/>
      <c r="U25" s="30"/>
      <c r="V25" s="31"/>
    </row>
    <row r="26" spans="1:22">
      <c r="A26" s="1" t="s">
        <v>45</v>
      </c>
      <c r="B26" s="29">
        <v>0</v>
      </c>
      <c r="C26" s="30">
        <v>0</v>
      </c>
      <c r="D26" s="30">
        <v>0</v>
      </c>
      <c r="E26" s="30">
        <v>0</v>
      </c>
      <c r="F26" s="30">
        <v>0</v>
      </c>
      <c r="G26" s="31">
        <f>SUM(MD_FINANCIAL)</f>
        <v>0</v>
      </c>
      <c r="H26" s="30"/>
      <c r="I26" s="34" t="s">
        <v>46</v>
      </c>
      <c r="J26" s="35">
        <f>SUM(ADD_FINANCIAL)-SUM(LESS_FINANCIAL)</f>
        <v>10397891.839999998</v>
      </c>
      <c r="K26" s="30"/>
      <c r="L26" s="29"/>
      <c r="M26" s="30"/>
      <c r="N26" s="30"/>
      <c r="O26" s="30"/>
      <c r="P26" s="30"/>
      <c r="Q26" s="30"/>
      <c r="R26" s="30"/>
      <c r="S26" s="30"/>
      <c r="T26" s="30"/>
      <c r="U26" s="30"/>
      <c r="V26" s="31"/>
    </row>
    <row r="27" spans="1:22">
      <c r="A27" s="1" t="s">
        <v>47</v>
      </c>
      <c r="B27" s="29">
        <v>0</v>
      </c>
      <c r="C27" s="30">
        <v>0</v>
      </c>
      <c r="D27" s="30">
        <v>0</v>
      </c>
      <c r="E27" s="30">
        <v>0</v>
      </c>
      <c r="F27" s="30">
        <v>0</v>
      </c>
      <c r="G27" s="31">
        <f>SUM(MA_FINANCIAL)</f>
        <v>0</v>
      </c>
      <c r="H27" s="30"/>
      <c r="I27" s="34" t="s">
        <v>48</v>
      </c>
      <c r="J27" s="35">
        <f>SUM(ALL_BLOCKS)</f>
        <v>10397891.84</v>
      </c>
      <c r="K27" s="30"/>
      <c r="L27" s="29"/>
      <c r="M27" s="30"/>
      <c r="N27" s="30"/>
      <c r="O27" s="30"/>
      <c r="P27" s="30"/>
      <c r="Q27" s="30"/>
      <c r="R27" s="30"/>
      <c r="S27" s="30"/>
      <c r="T27" s="30"/>
      <c r="U27" s="30"/>
      <c r="V27" s="31"/>
    </row>
    <row r="28" spans="1:22">
      <c r="A28" s="1" t="s">
        <v>49</v>
      </c>
      <c r="B28" s="29">
        <v>0</v>
      </c>
      <c r="C28" s="30">
        <v>0</v>
      </c>
      <c r="D28" s="30">
        <v>0</v>
      </c>
      <c r="E28" s="30">
        <v>0</v>
      </c>
      <c r="F28" s="30">
        <v>0</v>
      </c>
      <c r="G28" s="31">
        <f>SUM(MI_FINANCIAL)</f>
        <v>0</v>
      </c>
      <c r="H28" s="30"/>
      <c r="I28" s="36"/>
      <c r="J28" s="37"/>
      <c r="K28" s="30"/>
      <c r="L28" s="29"/>
      <c r="M28" s="30"/>
      <c r="N28" s="30"/>
      <c r="O28" s="30"/>
      <c r="P28" s="30"/>
      <c r="Q28" s="30"/>
      <c r="R28" s="30"/>
      <c r="S28" s="30"/>
      <c r="T28" s="30"/>
      <c r="U28" s="30"/>
      <c r="V28" s="31"/>
    </row>
    <row r="29" spans="1:22">
      <c r="A29" s="1" t="s">
        <v>50</v>
      </c>
      <c r="B29" s="29">
        <v>0</v>
      </c>
      <c r="C29" s="30">
        <v>0</v>
      </c>
      <c r="D29" s="30">
        <v>0</v>
      </c>
      <c r="E29" s="30">
        <v>0</v>
      </c>
      <c r="F29" s="30">
        <v>0</v>
      </c>
      <c r="G29" s="31">
        <f>SUM(MN_FINANCIAL)</f>
        <v>0</v>
      </c>
      <c r="H29" s="30"/>
      <c r="I29" s="30"/>
      <c r="J29" s="30"/>
      <c r="K29" s="30"/>
      <c r="L29" s="29"/>
      <c r="M29" s="30"/>
      <c r="N29" s="30"/>
      <c r="O29" s="30"/>
      <c r="P29" s="30"/>
      <c r="Q29" s="30"/>
      <c r="R29" s="30"/>
      <c r="S29" s="30"/>
      <c r="T29" s="30"/>
      <c r="U29" s="30"/>
      <c r="V29" s="31"/>
    </row>
    <row r="30" spans="1:22">
      <c r="A30" s="1" t="s">
        <v>51</v>
      </c>
      <c r="B30" s="29">
        <v>0</v>
      </c>
      <c r="C30" s="30">
        <v>0</v>
      </c>
      <c r="D30" s="30">
        <v>57996.017075917378</v>
      </c>
      <c r="E30" s="30">
        <v>0</v>
      </c>
      <c r="F30" s="30">
        <v>0</v>
      </c>
      <c r="G30" s="31">
        <f>SUM(MS_FINANCIAL)</f>
        <v>57996.017075917378</v>
      </c>
      <c r="H30" s="30"/>
      <c r="I30" s="30"/>
      <c r="J30" s="30"/>
      <c r="K30" s="30"/>
      <c r="L30" s="29"/>
      <c r="M30" s="30"/>
      <c r="N30" s="30"/>
      <c r="O30" s="30"/>
      <c r="P30" s="30"/>
      <c r="Q30" s="30"/>
      <c r="R30" s="30"/>
      <c r="S30" s="30"/>
      <c r="T30" s="30"/>
      <c r="U30" s="30"/>
      <c r="V30" s="31"/>
    </row>
    <row r="31" spans="1:22">
      <c r="A31" s="1" t="s">
        <v>52</v>
      </c>
      <c r="B31" s="29">
        <v>0</v>
      </c>
      <c r="C31" s="30">
        <v>0</v>
      </c>
      <c r="D31" s="30">
        <v>209856.08800398803</v>
      </c>
      <c r="E31" s="30">
        <v>0</v>
      </c>
      <c r="F31" s="30">
        <v>0</v>
      </c>
      <c r="G31" s="31">
        <f>SUM(MO_FINANCIAL)</f>
        <v>209856.08800398803</v>
      </c>
      <c r="H31" s="30"/>
      <c r="I31" s="30"/>
      <c r="J31" s="30"/>
      <c r="K31" s="30"/>
      <c r="L31" s="29"/>
      <c r="M31" s="30"/>
      <c r="N31" s="30"/>
      <c r="O31" s="30"/>
      <c r="P31" s="30"/>
      <c r="Q31" s="30"/>
      <c r="R31" s="30"/>
      <c r="S31" s="30"/>
      <c r="T31" s="30"/>
      <c r="U31" s="30"/>
      <c r="V31" s="31"/>
    </row>
    <row r="32" spans="1:22">
      <c r="A32" s="1" t="s">
        <v>53</v>
      </c>
      <c r="B32" s="29">
        <v>0</v>
      </c>
      <c r="C32" s="30">
        <v>0</v>
      </c>
      <c r="D32" s="30">
        <v>193978.75165535181</v>
      </c>
      <c r="E32" s="30">
        <v>0</v>
      </c>
      <c r="F32" s="30">
        <v>0</v>
      </c>
      <c r="G32" s="31">
        <f>SUM(MT_FINANCIAL)</f>
        <v>193978.75165535181</v>
      </c>
      <c r="H32" s="30"/>
      <c r="I32" s="30"/>
      <c r="J32" s="30"/>
      <c r="K32" s="30"/>
      <c r="L32" s="29">
        <v>0</v>
      </c>
      <c r="M32" s="30">
        <v>0</v>
      </c>
      <c r="N32" s="30"/>
      <c r="O32" s="30">
        <v>0</v>
      </c>
      <c r="P32" s="30">
        <v>0</v>
      </c>
      <c r="Q32" s="30"/>
      <c r="R32" s="30">
        <v>315000</v>
      </c>
      <c r="S32" s="30">
        <v>0</v>
      </c>
      <c r="T32" s="30"/>
      <c r="U32" s="30">
        <v>0</v>
      </c>
      <c r="V32" s="31">
        <v>0</v>
      </c>
    </row>
    <row r="33" spans="1:22">
      <c r="A33" s="1" t="s">
        <v>54</v>
      </c>
      <c r="B33" s="29">
        <v>0</v>
      </c>
      <c r="C33" s="30">
        <v>0</v>
      </c>
      <c r="D33" s="30">
        <v>233381.29380040528</v>
      </c>
      <c r="E33" s="30">
        <v>0</v>
      </c>
      <c r="F33" s="30">
        <v>0</v>
      </c>
      <c r="G33" s="31">
        <f>SUM(NE_FINANCIAL)</f>
        <v>233381.29380040528</v>
      </c>
      <c r="H33" s="30"/>
      <c r="I33" s="30"/>
      <c r="J33" s="30"/>
      <c r="K33" s="30"/>
      <c r="L33" s="29"/>
      <c r="M33" s="30"/>
      <c r="N33" s="30"/>
      <c r="O33" s="30"/>
      <c r="P33" s="30"/>
      <c r="Q33" s="30"/>
      <c r="R33" s="30"/>
      <c r="S33" s="30"/>
      <c r="T33" s="30"/>
      <c r="U33" s="30"/>
      <c r="V33" s="31"/>
    </row>
    <row r="34" spans="1:22">
      <c r="A34" s="1" t="s">
        <v>55</v>
      </c>
      <c r="B34" s="29">
        <v>0</v>
      </c>
      <c r="C34" s="30">
        <v>0</v>
      </c>
      <c r="D34" s="30">
        <v>80866.740390233303</v>
      </c>
      <c r="E34" s="30">
        <v>0</v>
      </c>
      <c r="F34" s="30">
        <v>0</v>
      </c>
      <c r="G34" s="31">
        <f>SUM(NV_FINANCIAL)</f>
        <v>80866.740390233303</v>
      </c>
      <c r="H34" s="30"/>
      <c r="I34" s="30"/>
      <c r="J34" s="30"/>
      <c r="K34" s="30"/>
      <c r="L34" s="29">
        <v>0</v>
      </c>
      <c r="M34" s="30">
        <v>0</v>
      </c>
      <c r="N34" s="30"/>
      <c r="O34" s="30">
        <v>0</v>
      </c>
      <c r="P34" s="30">
        <v>0</v>
      </c>
      <c r="Q34" s="30"/>
      <c r="R34" s="30">
        <v>100000</v>
      </c>
      <c r="S34" s="30">
        <v>0</v>
      </c>
      <c r="T34" s="30"/>
      <c r="U34" s="30">
        <v>0</v>
      </c>
      <c r="V34" s="31">
        <v>0</v>
      </c>
    </row>
    <row r="35" spans="1:22">
      <c r="A35" s="1" t="s">
        <v>56</v>
      </c>
      <c r="B35" s="29">
        <v>0</v>
      </c>
      <c r="C35" s="30">
        <v>0</v>
      </c>
      <c r="D35" s="30">
        <v>0</v>
      </c>
      <c r="E35" s="30">
        <v>0</v>
      </c>
      <c r="F35" s="30">
        <v>0</v>
      </c>
      <c r="G35" s="31">
        <f>SUM(NH_FINANCIAL)</f>
        <v>0</v>
      </c>
      <c r="H35" s="30"/>
      <c r="I35" s="30"/>
      <c r="J35" s="30"/>
      <c r="K35" s="30"/>
      <c r="L35" s="29"/>
      <c r="M35" s="30"/>
      <c r="N35" s="30"/>
      <c r="O35" s="30"/>
      <c r="P35" s="30"/>
      <c r="Q35" s="30"/>
      <c r="R35" s="30"/>
      <c r="S35" s="30"/>
      <c r="T35" s="30"/>
      <c r="U35" s="30"/>
      <c r="V35" s="31"/>
    </row>
    <row r="36" spans="1:22">
      <c r="A36" s="1" t="s">
        <v>57</v>
      </c>
      <c r="B36" s="29">
        <v>0</v>
      </c>
      <c r="C36" s="30">
        <v>0</v>
      </c>
      <c r="D36" s="30">
        <v>0</v>
      </c>
      <c r="E36" s="30">
        <v>0</v>
      </c>
      <c r="F36" s="30">
        <v>0</v>
      </c>
      <c r="G36" s="31">
        <f>SUM(NJ_FINANCIAL)</f>
        <v>0</v>
      </c>
      <c r="H36" s="30"/>
      <c r="I36" s="30"/>
      <c r="J36" s="30"/>
      <c r="K36" s="30"/>
      <c r="L36" s="29"/>
      <c r="M36" s="30"/>
      <c r="N36" s="30"/>
      <c r="O36" s="30"/>
      <c r="P36" s="30"/>
      <c r="Q36" s="30"/>
      <c r="R36" s="30"/>
      <c r="S36" s="30"/>
      <c r="T36" s="30"/>
      <c r="U36" s="30"/>
      <c r="V36" s="31"/>
    </row>
    <row r="37" spans="1:22">
      <c r="A37" s="1" t="s">
        <v>58</v>
      </c>
      <c r="B37" s="29">
        <v>0</v>
      </c>
      <c r="C37" s="30">
        <v>0</v>
      </c>
      <c r="D37" s="30">
        <v>1294.1615134726671</v>
      </c>
      <c r="E37" s="30">
        <v>0</v>
      </c>
      <c r="F37" s="30">
        <v>0</v>
      </c>
      <c r="G37" s="31">
        <f>SUM(NM_FINANCIAL)</f>
        <v>1294.1615134726671</v>
      </c>
      <c r="H37" s="30"/>
      <c r="I37" s="30"/>
      <c r="J37" s="30"/>
      <c r="K37" s="30"/>
      <c r="L37" s="29"/>
      <c r="M37" s="30"/>
      <c r="N37" s="30"/>
      <c r="O37" s="30"/>
      <c r="P37" s="30"/>
      <c r="Q37" s="30"/>
      <c r="R37" s="30"/>
      <c r="S37" s="30"/>
      <c r="T37" s="30"/>
      <c r="U37" s="30"/>
      <c r="V37" s="31"/>
    </row>
    <row r="38" spans="1:22">
      <c r="A38" s="1" t="s">
        <v>59</v>
      </c>
      <c r="B38" s="29">
        <v>0</v>
      </c>
      <c r="C38" s="30">
        <v>0</v>
      </c>
      <c r="D38" s="30">
        <v>0</v>
      </c>
      <c r="E38" s="30">
        <v>0</v>
      </c>
      <c r="F38" s="30">
        <v>0</v>
      </c>
      <c r="G38" s="31">
        <f>SUM(NY_FINANCIAL)</f>
        <v>0</v>
      </c>
      <c r="H38" s="30"/>
      <c r="I38" s="30"/>
      <c r="J38" s="30"/>
      <c r="K38" s="30"/>
      <c r="L38" s="29"/>
      <c r="M38" s="30"/>
      <c r="N38" s="30"/>
      <c r="O38" s="30"/>
      <c r="P38" s="30"/>
      <c r="Q38" s="30"/>
      <c r="R38" s="30"/>
      <c r="S38" s="30"/>
      <c r="T38" s="30"/>
      <c r="U38" s="30"/>
      <c r="V38" s="31"/>
    </row>
    <row r="39" spans="1:22">
      <c r="A39" s="1" t="s">
        <v>60</v>
      </c>
      <c r="B39" s="29">
        <v>0</v>
      </c>
      <c r="C39" s="30">
        <v>0</v>
      </c>
      <c r="D39" s="30">
        <v>0</v>
      </c>
      <c r="E39" s="30">
        <v>0</v>
      </c>
      <c r="F39" s="30">
        <v>0</v>
      </c>
      <c r="G39" s="31">
        <f>SUM(NC_FINANCIAL)</f>
        <v>0</v>
      </c>
      <c r="H39" s="30"/>
      <c r="I39" s="30"/>
      <c r="J39" s="30"/>
      <c r="K39" s="30"/>
      <c r="L39" s="29"/>
      <c r="M39" s="30"/>
      <c r="N39" s="30"/>
      <c r="O39" s="30"/>
      <c r="P39" s="30"/>
      <c r="Q39" s="30"/>
      <c r="R39" s="30"/>
      <c r="S39" s="30"/>
      <c r="T39" s="30"/>
      <c r="U39" s="30"/>
      <c r="V39" s="31"/>
    </row>
    <row r="40" spans="1:22">
      <c r="A40" s="1" t="s">
        <v>61</v>
      </c>
      <c r="B40" s="29">
        <v>0</v>
      </c>
      <c r="C40" s="30">
        <v>0</v>
      </c>
      <c r="D40" s="30">
        <v>13034.122079405886</v>
      </c>
      <c r="E40" s="30">
        <v>0</v>
      </c>
      <c r="F40" s="30">
        <v>0</v>
      </c>
      <c r="G40" s="31">
        <f>SUM(ND_FINANCIAL)</f>
        <v>13034.122079405886</v>
      </c>
      <c r="H40" s="30"/>
      <c r="I40" s="30"/>
      <c r="J40" s="30"/>
      <c r="K40" s="30"/>
      <c r="L40" s="29">
        <v>0</v>
      </c>
      <c r="M40" s="30">
        <v>0</v>
      </c>
      <c r="N40" s="30"/>
      <c r="O40" s="30">
        <v>5000</v>
      </c>
      <c r="P40" s="30">
        <v>0</v>
      </c>
      <c r="Q40" s="30"/>
      <c r="R40" s="30">
        <v>14400</v>
      </c>
      <c r="S40" s="30">
        <v>0</v>
      </c>
      <c r="T40" s="30"/>
      <c r="U40" s="30">
        <v>0</v>
      </c>
      <c r="V40" s="31">
        <v>0</v>
      </c>
    </row>
    <row r="41" spans="1:22">
      <c r="A41" s="1" t="s">
        <v>62</v>
      </c>
      <c r="B41" s="29">
        <v>0</v>
      </c>
      <c r="C41" s="30">
        <v>0</v>
      </c>
      <c r="D41" s="30">
        <v>5530.5652873698336</v>
      </c>
      <c r="E41" s="30">
        <v>0</v>
      </c>
      <c r="F41" s="30">
        <v>0</v>
      </c>
      <c r="G41" s="31">
        <f>SUM(OH_FINANCIAL)</f>
        <v>5530.5652873698336</v>
      </c>
      <c r="H41" s="30"/>
      <c r="I41" s="30"/>
      <c r="J41" s="30"/>
      <c r="K41" s="30"/>
      <c r="L41" s="29"/>
      <c r="M41" s="30"/>
      <c r="N41" s="30"/>
      <c r="O41" s="30"/>
      <c r="P41" s="30"/>
      <c r="Q41" s="30"/>
      <c r="R41" s="30"/>
      <c r="S41" s="30"/>
      <c r="T41" s="30"/>
      <c r="U41" s="30"/>
      <c r="V41" s="31"/>
    </row>
    <row r="42" spans="1:22">
      <c r="A42" s="1" t="s">
        <v>63</v>
      </c>
      <c r="B42" s="29">
        <v>0</v>
      </c>
      <c r="C42" s="30">
        <v>0</v>
      </c>
      <c r="D42" s="30">
        <v>21333.662700766145</v>
      </c>
      <c r="E42" s="30">
        <v>0</v>
      </c>
      <c r="F42" s="30">
        <v>0</v>
      </c>
      <c r="G42" s="31">
        <f>SUM(OK_FINANCIAL)</f>
        <v>21333.662700766145</v>
      </c>
      <c r="H42" s="30"/>
      <c r="I42" s="30"/>
      <c r="J42" s="30"/>
      <c r="K42" s="30"/>
      <c r="L42" s="29">
        <v>6000</v>
      </c>
      <c r="M42" s="30">
        <v>0</v>
      </c>
      <c r="N42" s="30"/>
      <c r="O42" s="30">
        <v>0</v>
      </c>
      <c r="P42" s="30">
        <v>0</v>
      </c>
      <c r="Q42" s="30"/>
      <c r="R42" s="30">
        <v>114000</v>
      </c>
      <c r="S42" s="30">
        <v>0</v>
      </c>
      <c r="T42" s="30"/>
      <c r="U42" s="30">
        <v>0</v>
      </c>
      <c r="V42" s="31">
        <v>0</v>
      </c>
    </row>
    <row r="43" spans="1:22">
      <c r="A43" s="1" t="s">
        <v>64</v>
      </c>
      <c r="B43" s="29">
        <v>0</v>
      </c>
      <c r="C43" s="30">
        <v>0</v>
      </c>
      <c r="D43" s="30">
        <v>396541.02101182332</v>
      </c>
      <c r="E43" s="30">
        <v>0</v>
      </c>
      <c r="F43" s="30">
        <v>0</v>
      </c>
      <c r="G43" s="31">
        <f>SUM(OR_FINANCIAL)</f>
        <v>396541.02101182332</v>
      </c>
      <c r="H43" s="30"/>
      <c r="I43" s="30"/>
      <c r="J43" s="30"/>
      <c r="K43" s="30"/>
      <c r="L43" s="29"/>
      <c r="M43" s="30"/>
      <c r="N43" s="30"/>
      <c r="O43" s="30"/>
      <c r="P43" s="30"/>
      <c r="Q43" s="30"/>
      <c r="R43" s="30"/>
      <c r="S43" s="30"/>
      <c r="T43" s="30"/>
      <c r="U43" s="30"/>
      <c r="V43" s="31"/>
    </row>
    <row r="44" spans="1:22">
      <c r="A44" s="1" t="s">
        <v>65</v>
      </c>
      <c r="B44" s="29">
        <v>0</v>
      </c>
      <c r="C44" s="30">
        <v>0</v>
      </c>
      <c r="D44" s="30">
        <v>0</v>
      </c>
      <c r="E44" s="30">
        <v>0</v>
      </c>
      <c r="F44" s="30">
        <v>0</v>
      </c>
      <c r="G44" s="31">
        <f>SUM(PA_FINANCIAL)</f>
        <v>0</v>
      </c>
      <c r="H44" s="30"/>
      <c r="I44" s="30"/>
      <c r="J44" s="30"/>
      <c r="K44" s="30"/>
      <c r="L44" s="29"/>
      <c r="M44" s="30"/>
      <c r="N44" s="30"/>
      <c r="O44" s="30"/>
      <c r="P44" s="30"/>
      <c r="Q44" s="30"/>
      <c r="R44" s="30"/>
      <c r="S44" s="30"/>
      <c r="T44" s="30"/>
      <c r="U44" s="30"/>
      <c r="V44" s="31"/>
    </row>
    <row r="45" spans="1:22">
      <c r="A45" s="1" t="s">
        <v>66</v>
      </c>
      <c r="B45" s="29">
        <v>0</v>
      </c>
      <c r="C45" s="30">
        <v>0</v>
      </c>
      <c r="D45" s="30">
        <v>0</v>
      </c>
      <c r="E45" s="30">
        <v>0</v>
      </c>
      <c r="F45" s="30">
        <v>0</v>
      </c>
      <c r="G45" s="31">
        <f>SUM(PR_FINANCIAL)</f>
        <v>0</v>
      </c>
      <c r="H45" s="30"/>
      <c r="I45" s="30"/>
      <c r="J45" s="30"/>
      <c r="K45" s="30"/>
      <c r="L45" s="29"/>
      <c r="M45" s="30"/>
      <c r="N45" s="30"/>
      <c r="O45" s="30"/>
      <c r="P45" s="30"/>
      <c r="Q45" s="30"/>
      <c r="R45" s="30"/>
      <c r="S45" s="30"/>
      <c r="T45" s="30"/>
      <c r="U45" s="30"/>
      <c r="V45" s="31"/>
    </row>
    <row r="46" spans="1:22">
      <c r="A46" s="1" t="s">
        <v>67</v>
      </c>
      <c r="B46" s="29">
        <v>0</v>
      </c>
      <c r="C46" s="30">
        <v>0</v>
      </c>
      <c r="D46" s="30">
        <v>0</v>
      </c>
      <c r="E46" s="30">
        <v>0</v>
      </c>
      <c r="F46" s="30">
        <v>0</v>
      </c>
      <c r="G46" s="31">
        <f>SUM(RI_FINANCIAL)</f>
        <v>0</v>
      </c>
      <c r="H46" s="30"/>
      <c r="I46" s="30"/>
      <c r="J46" s="30"/>
      <c r="K46" s="30"/>
      <c r="L46" s="29"/>
      <c r="M46" s="30"/>
      <c r="N46" s="30"/>
      <c r="O46" s="30"/>
      <c r="P46" s="30"/>
      <c r="Q46" s="30"/>
      <c r="R46" s="30"/>
      <c r="S46" s="30"/>
      <c r="T46" s="30"/>
      <c r="U46" s="30"/>
      <c r="V46" s="31"/>
    </row>
    <row r="47" spans="1:22">
      <c r="A47" s="1" t="s">
        <v>68</v>
      </c>
      <c r="B47" s="29">
        <v>0</v>
      </c>
      <c r="C47" s="30">
        <v>0</v>
      </c>
      <c r="D47" s="30">
        <v>0</v>
      </c>
      <c r="E47" s="30">
        <v>0</v>
      </c>
      <c r="F47" s="30">
        <v>0</v>
      </c>
      <c r="G47" s="31">
        <f>SUM(SC_FINANCIAL)</f>
        <v>0</v>
      </c>
      <c r="H47" s="30"/>
      <c r="I47" s="30"/>
      <c r="J47" s="30"/>
      <c r="K47" s="30"/>
      <c r="L47" s="29"/>
      <c r="M47" s="30"/>
      <c r="N47" s="30"/>
      <c r="O47" s="30"/>
      <c r="P47" s="30"/>
      <c r="Q47" s="30"/>
      <c r="R47" s="30"/>
      <c r="S47" s="30"/>
      <c r="T47" s="30"/>
      <c r="U47" s="30"/>
      <c r="V47" s="31"/>
    </row>
    <row r="48" spans="1:22">
      <c r="A48" s="1" t="s">
        <v>69</v>
      </c>
      <c r="B48" s="29">
        <v>0</v>
      </c>
      <c r="C48" s="30">
        <v>0</v>
      </c>
      <c r="D48" s="30">
        <v>7773.6119689516781</v>
      </c>
      <c r="E48" s="30">
        <v>0</v>
      </c>
      <c r="F48" s="30">
        <v>0</v>
      </c>
      <c r="G48" s="31">
        <f>SUM(SD_FINANCIAL)</f>
        <v>7773.6119689516781</v>
      </c>
      <c r="H48" s="30"/>
      <c r="I48" s="30"/>
      <c r="J48" s="30"/>
      <c r="K48" s="30"/>
      <c r="L48" s="29"/>
      <c r="M48" s="30"/>
      <c r="N48" s="30"/>
      <c r="O48" s="30"/>
      <c r="P48" s="30"/>
      <c r="Q48" s="30"/>
      <c r="R48" s="30"/>
      <c r="S48" s="30"/>
      <c r="T48" s="30"/>
      <c r="U48" s="30"/>
      <c r="V48" s="31"/>
    </row>
    <row r="49" spans="1:22">
      <c r="A49" s="1" t="s">
        <v>70</v>
      </c>
      <c r="B49" s="29">
        <v>0</v>
      </c>
      <c r="C49" s="30">
        <v>0</v>
      </c>
      <c r="D49" s="30">
        <v>0</v>
      </c>
      <c r="E49" s="30">
        <v>0</v>
      </c>
      <c r="F49" s="30">
        <v>0</v>
      </c>
      <c r="G49" s="31">
        <f>SUM(TN_FINANCIAL)</f>
        <v>0</v>
      </c>
      <c r="H49" s="30"/>
      <c r="I49" s="30"/>
      <c r="J49" s="30"/>
      <c r="K49" s="30"/>
      <c r="L49" s="29"/>
      <c r="M49" s="30"/>
      <c r="N49" s="30"/>
      <c r="O49" s="30"/>
      <c r="P49" s="30"/>
      <c r="Q49" s="30"/>
      <c r="R49" s="30"/>
      <c r="S49" s="30"/>
      <c r="T49" s="30"/>
      <c r="U49" s="30"/>
      <c r="V49" s="31"/>
    </row>
    <row r="50" spans="1:22">
      <c r="A50" s="1" t="s">
        <v>71</v>
      </c>
      <c r="B50" s="29">
        <v>0</v>
      </c>
      <c r="C50" s="30">
        <v>0</v>
      </c>
      <c r="D50" s="30">
        <v>299202.70400169643</v>
      </c>
      <c r="E50" s="30">
        <v>0</v>
      </c>
      <c r="F50" s="30">
        <v>0</v>
      </c>
      <c r="G50" s="31">
        <f>SUM(TX_FINANCIAL)</f>
        <v>299202.70400169643</v>
      </c>
      <c r="H50" s="30"/>
      <c r="I50" s="30"/>
      <c r="J50" s="30"/>
      <c r="K50" s="30"/>
      <c r="L50" s="29">
        <v>9502</v>
      </c>
      <c r="M50" s="30">
        <v>718.197</v>
      </c>
      <c r="N50" s="30"/>
      <c r="O50" s="30">
        <v>0</v>
      </c>
      <c r="P50" s="30">
        <v>0</v>
      </c>
      <c r="Q50" s="30"/>
      <c r="R50" s="30">
        <v>465584</v>
      </c>
      <c r="S50" s="30">
        <v>35191.652999999998</v>
      </c>
      <c r="T50" s="30"/>
      <c r="U50" s="30">
        <v>0</v>
      </c>
      <c r="V50" s="31">
        <v>0</v>
      </c>
    </row>
    <row r="51" spans="1:22">
      <c r="A51" s="1" t="s">
        <v>72</v>
      </c>
      <c r="B51" s="29">
        <v>0</v>
      </c>
      <c r="C51" s="30">
        <v>0</v>
      </c>
      <c r="D51" s="30">
        <v>0.87559052179130958</v>
      </c>
      <c r="E51" s="30">
        <v>0</v>
      </c>
      <c r="F51" s="30">
        <v>0</v>
      </c>
      <c r="G51" s="31">
        <f>SUM(UT_FINANCIAL)</f>
        <v>0.87559052179130958</v>
      </c>
      <c r="H51" s="30"/>
      <c r="I51" s="30"/>
      <c r="J51" s="30"/>
      <c r="K51" s="30"/>
      <c r="L51" s="29"/>
      <c r="M51" s="30"/>
      <c r="N51" s="30"/>
      <c r="O51" s="30"/>
      <c r="P51" s="30"/>
      <c r="Q51" s="30"/>
      <c r="R51" s="30"/>
      <c r="S51" s="30"/>
      <c r="T51" s="30"/>
      <c r="U51" s="30"/>
      <c r="V51" s="31"/>
    </row>
    <row r="52" spans="1:22">
      <c r="A52" s="1" t="s">
        <v>73</v>
      </c>
      <c r="B52" s="29">
        <v>0</v>
      </c>
      <c r="C52" s="30">
        <v>0</v>
      </c>
      <c r="D52" s="30">
        <v>0</v>
      </c>
      <c r="E52" s="30">
        <v>0</v>
      </c>
      <c r="F52" s="30">
        <v>0</v>
      </c>
      <c r="G52" s="31">
        <f>SUM(VT_FINANCIAL)</f>
        <v>0</v>
      </c>
      <c r="H52" s="30"/>
      <c r="I52" s="30"/>
      <c r="J52" s="30"/>
      <c r="K52" s="30"/>
      <c r="L52" s="29"/>
      <c r="M52" s="30"/>
      <c r="N52" s="30"/>
      <c r="O52" s="30"/>
      <c r="P52" s="30"/>
      <c r="Q52" s="30"/>
      <c r="R52" s="30"/>
      <c r="S52" s="30"/>
      <c r="T52" s="30"/>
      <c r="U52" s="30"/>
      <c r="V52" s="31"/>
    </row>
    <row r="53" spans="1:22">
      <c r="A53" s="1" t="s">
        <v>74</v>
      </c>
      <c r="B53" s="29">
        <v>0</v>
      </c>
      <c r="C53" s="30">
        <v>0</v>
      </c>
      <c r="D53" s="30">
        <v>0</v>
      </c>
      <c r="E53" s="30">
        <v>0</v>
      </c>
      <c r="F53" s="30">
        <v>0</v>
      </c>
      <c r="G53" s="31">
        <f>SUM(VA_FINANCIAL)</f>
        <v>0</v>
      </c>
      <c r="H53" s="30"/>
      <c r="I53" s="30"/>
      <c r="J53" s="30"/>
      <c r="K53" s="30"/>
      <c r="L53" s="29"/>
      <c r="M53" s="30"/>
      <c r="N53" s="30"/>
      <c r="O53" s="30"/>
      <c r="P53" s="30"/>
      <c r="Q53" s="30"/>
      <c r="R53" s="30"/>
      <c r="S53" s="30"/>
      <c r="T53" s="30"/>
      <c r="U53" s="30"/>
      <c r="V53" s="31"/>
    </row>
    <row r="54" spans="1:22">
      <c r="A54" s="1" t="s">
        <v>75</v>
      </c>
      <c r="B54" s="29">
        <v>0</v>
      </c>
      <c r="C54" s="30">
        <v>0</v>
      </c>
      <c r="D54" s="30">
        <v>7263457.1707551815</v>
      </c>
      <c r="E54" s="30">
        <v>0</v>
      </c>
      <c r="F54" s="30">
        <v>0</v>
      </c>
      <c r="G54" s="31">
        <f>SUM(WA_FINANCIAL)</f>
        <v>7263457.1707551815</v>
      </c>
      <c r="H54" s="30"/>
      <c r="I54" s="30"/>
      <c r="J54" s="30"/>
      <c r="K54" s="30"/>
      <c r="L54" s="29">
        <v>0</v>
      </c>
      <c r="M54" s="30">
        <v>0</v>
      </c>
      <c r="N54" s="30"/>
      <c r="O54" s="30">
        <v>0</v>
      </c>
      <c r="P54" s="30">
        <v>0</v>
      </c>
      <c r="Q54" s="30"/>
      <c r="R54" s="30">
        <v>5225000</v>
      </c>
      <c r="S54" s="30">
        <v>0</v>
      </c>
      <c r="T54" s="30"/>
      <c r="U54" s="30">
        <v>0</v>
      </c>
      <c r="V54" s="31">
        <v>0</v>
      </c>
    </row>
    <row r="55" spans="1:22">
      <c r="A55" s="1" t="s">
        <v>76</v>
      </c>
      <c r="B55" s="29">
        <v>0</v>
      </c>
      <c r="C55" s="30">
        <v>0</v>
      </c>
      <c r="D55" s="30">
        <v>0</v>
      </c>
      <c r="E55" s="30">
        <v>0</v>
      </c>
      <c r="F55" s="30">
        <v>0</v>
      </c>
      <c r="G55" s="31">
        <f>SUM(WV_FINANCIAL)</f>
        <v>0</v>
      </c>
      <c r="H55" s="30"/>
      <c r="I55" s="30"/>
      <c r="J55" s="30"/>
      <c r="K55" s="30"/>
      <c r="L55" s="29"/>
      <c r="M55" s="30"/>
      <c r="N55" s="30"/>
      <c r="O55" s="30"/>
      <c r="P55" s="30"/>
      <c r="Q55" s="30"/>
      <c r="R55" s="30"/>
      <c r="S55" s="30"/>
      <c r="T55" s="30"/>
      <c r="U55" s="30"/>
      <c r="V55" s="31"/>
    </row>
    <row r="56" spans="1:22">
      <c r="A56" s="1" t="s">
        <v>77</v>
      </c>
      <c r="B56" s="29">
        <v>0</v>
      </c>
      <c r="C56" s="30">
        <v>0</v>
      </c>
      <c r="D56" s="30">
        <v>0</v>
      </c>
      <c r="E56" s="30">
        <v>0</v>
      </c>
      <c r="F56" s="30">
        <v>0</v>
      </c>
      <c r="G56" s="31">
        <f>SUM(WI_FINANCIAL)</f>
        <v>0</v>
      </c>
      <c r="H56" s="30"/>
      <c r="I56" s="30"/>
      <c r="J56" s="30"/>
      <c r="K56" s="30"/>
      <c r="L56" s="29"/>
      <c r="M56" s="30"/>
      <c r="N56" s="30"/>
      <c r="O56" s="30"/>
      <c r="P56" s="30"/>
      <c r="Q56" s="30"/>
      <c r="R56" s="30"/>
      <c r="S56" s="30"/>
      <c r="T56" s="30"/>
      <c r="U56" s="30"/>
      <c r="V56" s="31"/>
    </row>
    <row r="57" spans="1:22">
      <c r="A57" s="1" t="s">
        <v>78</v>
      </c>
      <c r="B57" s="29">
        <v>0</v>
      </c>
      <c r="C57" s="30">
        <v>0</v>
      </c>
      <c r="D57" s="30">
        <v>28150.406740119681</v>
      </c>
      <c r="E57" s="30">
        <v>0</v>
      </c>
      <c r="F57" s="30">
        <v>0</v>
      </c>
      <c r="G57" s="31">
        <f>SUM(WY_FINANCIAL)</f>
        <v>28150.406740119681</v>
      </c>
      <c r="H57" s="30"/>
      <c r="I57" s="30"/>
      <c r="J57" s="30"/>
      <c r="K57" s="30"/>
      <c r="L57" s="29">
        <v>0</v>
      </c>
      <c r="M57" s="30">
        <v>0</v>
      </c>
      <c r="N57" s="30"/>
      <c r="O57" s="30">
        <v>0</v>
      </c>
      <c r="P57" s="30">
        <v>0</v>
      </c>
      <c r="Q57" s="30"/>
      <c r="R57" s="30">
        <v>50000</v>
      </c>
      <c r="S57" s="30">
        <v>0</v>
      </c>
      <c r="T57" s="30"/>
      <c r="U57" s="30">
        <v>0</v>
      </c>
      <c r="V57" s="31">
        <v>0</v>
      </c>
    </row>
    <row r="58" spans="1:22">
      <c r="A58" s="1" t="s">
        <v>79</v>
      </c>
      <c r="B58" s="29">
        <v>0</v>
      </c>
      <c r="C58" s="30">
        <v>0</v>
      </c>
      <c r="D58" s="30">
        <v>0</v>
      </c>
      <c r="E58" s="30">
        <v>0</v>
      </c>
      <c r="F58" s="30">
        <v>0</v>
      </c>
      <c r="G58" s="31">
        <f>SUM(OT_FINANCIAL)</f>
        <v>0</v>
      </c>
      <c r="H58" s="30"/>
      <c r="I58" s="30"/>
      <c r="J58" s="30"/>
      <c r="K58" s="30"/>
      <c r="L58" s="29"/>
      <c r="M58" s="30"/>
      <c r="N58" s="30"/>
      <c r="O58" s="30"/>
      <c r="P58" s="30"/>
      <c r="Q58" s="30"/>
      <c r="R58" s="30"/>
      <c r="S58" s="30"/>
      <c r="T58" s="30"/>
      <c r="U58" s="30"/>
      <c r="V58" s="31"/>
    </row>
    <row r="59" spans="1:22">
      <c r="B59" s="29"/>
      <c r="C59" s="30"/>
      <c r="D59" s="30"/>
      <c r="E59" s="30"/>
      <c r="F59" s="30"/>
      <c r="G59" s="31"/>
      <c r="H59" s="30"/>
      <c r="I59" s="30"/>
      <c r="J59" s="30"/>
      <c r="K59" s="30"/>
      <c r="L59" s="29"/>
      <c r="M59" s="30"/>
      <c r="N59" s="30"/>
      <c r="O59" s="30"/>
      <c r="P59" s="30"/>
      <c r="Q59" s="30"/>
      <c r="R59" s="30"/>
      <c r="S59" s="30"/>
      <c r="T59" s="30"/>
      <c r="U59" s="30"/>
      <c r="V59" s="31"/>
    </row>
    <row r="60" spans="1:22">
      <c r="A60" s="1" t="s">
        <v>8</v>
      </c>
      <c r="B60" s="29">
        <f>SUM(LIFE)</f>
        <v>0</v>
      </c>
      <c r="C60" s="30">
        <f>SUM(ALLOCATED)</f>
        <v>0</v>
      </c>
      <c r="D60" s="30">
        <f>SUM(HEALTH)</f>
        <v>10397891.84</v>
      </c>
      <c r="E60" s="30">
        <f>SUM(UNALLOCATED)</f>
        <v>0</v>
      </c>
      <c r="F60" s="30">
        <f>SUM(LTC)</f>
        <v>0</v>
      </c>
      <c r="G60" s="31">
        <f>SUM(ALL_BLOCKS)</f>
        <v>10397891.84</v>
      </c>
      <c r="H60" s="30"/>
      <c r="I60" s="30"/>
      <c r="J60" s="30"/>
      <c r="K60" s="30"/>
      <c r="L60" s="29">
        <f>SUM(LIFE_CALLED)</f>
        <v>122316</v>
      </c>
      <c r="M60" s="30">
        <f>SUM(LIFE_REFUNDED)</f>
        <v>718.197</v>
      </c>
      <c r="N60" s="30"/>
      <c r="O60" s="30">
        <f>SUM(ALLOC_CALLED)</f>
        <v>5000</v>
      </c>
      <c r="P60" s="30">
        <f>SUM(ALLOC_REFUNDED)</f>
        <v>0</v>
      </c>
      <c r="Q60" s="30"/>
      <c r="R60" s="30">
        <f>SUM(HEALTH_CALLED)</f>
        <v>7662381</v>
      </c>
      <c r="S60" s="30">
        <f>SUM(HEALTH_REFUNDED)</f>
        <v>851691.65300000005</v>
      </c>
      <c r="T60" s="30"/>
      <c r="U60" s="30">
        <f>SUM(UNALLOC_CALLED)</f>
        <v>0</v>
      </c>
      <c r="V60" s="31">
        <f>SUM(UNALLOC_REFUNDED)</f>
        <v>0</v>
      </c>
    </row>
    <row r="61" spans="1:22" ht="5.0999999999999996" customHeight="1">
      <c r="B61" s="8"/>
      <c r="G61" s="11"/>
      <c r="L61" s="8"/>
      <c r="V61" s="11"/>
    </row>
    <row r="62" spans="1:22">
      <c r="B62" s="8"/>
      <c r="G62" s="11"/>
      <c r="L62" s="122" t="s">
        <v>80</v>
      </c>
      <c r="M62" s="123"/>
      <c r="N62" s="123"/>
      <c r="O62" s="123"/>
      <c r="P62" s="123"/>
      <c r="Q62" s="123"/>
      <c r="R62" s="123"/>
      <c r="S62" s="123"/>
      <c r="T62" s="123"/>
      <c r="U62" s="123"/>
      <c r="V62" s="124"/>
    </row>
    <row r="63" spans="1:22">
      <c r="B63" s="8"/>
      <c r="G63" s="11"/>
      <c r="L63" s="125"/>
      <c r="M63" s="123"/>
      <c r="N63" s="123"/>
      <c r="O63" s="123"/>
      <c r="P63" s="123"/>
      <c r="Q63" s="123"/>
      <c r="R63" s="123"/>
      <c r="S63" s="123"/>
      <c r="T63" s="123"/>
      <c r="U63" s="123"/>
      <c r="V63" s="124"/>
    </row>
    <row r="64" spans="1:22">
      <c r="B64" s="10"/>
      <c r="C64" s="7"/>
      <c r="D64" s="7"/>
      <c r="E64" s="7"/>
      <c r="F64" s="7"/>
      <c r="G64" s="13"/>
      <c r="L64" s="126"/>
      <c r="M64" s="127"/>
      <c r="N64" s="127"/>
      <c r="O64" s="127"/>
      <c r="P64" s="127"/>
      <c r="Q64" s="127"/>
      <c r="R64" s="127"/>
      <c r="S64" s="127"/>
      <c r="T64" s="127"/>
      <c r="U64" s="127"/>
      <c r="V64" s="128"/>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pageSetUpPr fitToPage="1"/>
  </sheetPr>
  <dimension ref="A1:V64"/>
  <sheetViews>
    <sheetView zoomScale="75" workbookViewId="0">
      <selection sqref="A1:XFD1048576"/>
    </sheetView>
  </sheetViews>
  <sheetFormatPr defaultRowHeight="15"/>
  <cols>
    <col min="1" max="1" width="20" style="1" customWidth="1"/>
    <col min="2" max="7" width="15" style="1" customWidth="1"/>
    <col min="8" max="8" width="1" style="1" customWidth="1"/>
    <col min="9" max="9" width="30" style="1" customWidth="1"/>
    <col min="10"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1" style="1" customWidth="1"/>
    <col min="21" max="22" width="15" style="1" customWidth="1"/>
    <col min="23" max="23" width="9.140625" style="1" customWidth="1"/>
    <col min="24" max="16384" width="9.140625" style="1"/>
  </cols>
  <sheetData>
    <row r="1" spans="1:22">
      <c r="A1" s="129" t="s">
        <v>170</v>
      </c>
      <c r="B1" s="123"/>
      <c r="C1" s="123"/>
      <c r="D1" s="123"/>
      <c r="E1" s="123"/>
      <c r="F1" s="123"/>
      <c r="G1" s="123"/>
    </row>
    <row r="3" spans="1:22">
      <c r="B3" s="130" t="s">
        <v>1</v>
      </c>
      <c r="C3" s="131"/>
      <c r="D3" s="131"/>
      <c r="E3" s="131"/>
      <c r="F3" s="131"/>
      <c r="G3" s="132"/>
      <c r="L3" s="133" t="s">
        <v>2</v>
      </c>
      <c r="M3" s="134"/>
      <c r="N3" s="134"/>
      <c r="O3" s="134"/>
      <c r="P3" s="134"/>
      <c r="Q3" s="134"/>
      <c r="R3" s="134"/>
      <c r="S3" s="134"/>
      <c r="T3" s="134"/>
      <c r="U3" s="134"/>
      <c r="V3" s="135"/>
    </row>
    <row r="4" spans="1:22">
      <c r="B4" s="8"/>
      <c r="G4" s="11"/>
      <c r="L4" s="136" t="s">
        <v>3</v>
      </c>
      <c r="M4" s="137"/>
      <c r="N4" s="4"/>
      <c r="O4" s="138" t="s">
        <v>4</v>
      </c>
      <c r="P4" s="137"/>
      <c r="Q4" s="4"/>
      <c r="R4" s="138" t="s">
        <v>5</v>
      </c>
      <c r="S4" s="137"/>
      <c r="T4" s="4"/>
      <c r="U4" s="138" t="s">
        <v>6</v>
      </c>
      <c r="V4" s="139"/>
    </row>
    <row r="5" spans="1:22" ht="60" customHeight="1">
      <c r="B5" s="9" t="s">
        <v>3</v>
      </c>
      <c r="C5" s="5" t="s">
        <v>4</v>
      </c>
      <c r="D5" s="5" t="s">
        <v>5</v>
      </c>
      <c r="E5" s="5" t="s">
        <v>6</v>
      </c>
      <c r="F5" s="5" t="s">
        <v>7</v>
      </c>
      <c r="G5" s="12" t="s">
        <v>8</v>
      </c>
      <c r="L5" s="15" t="s">
        <v>9</v>
      </c>
      <c r="M5" s="14" t="s">
        <v>10</v>
      </c>
      <c r="N5" s="14"/>
      <c r="O5" s="14" t="s">
        <v>9</v>
      </c>
      <c r="P5" s="14" t="s">
        <v>10</v>
      </c>
      <c r="Q5" s="14"/>
      <c r="R5" s="14" t="s">
        <v>9</v>
      </c>
      <c r="S5" s="14" t="s">
        <v>10</v>
      </c>
      <c r="T5" s="14"/>
      <c r="U5" s="14" t="s">
        <v>9</v>
      </c>
      <c r="V5" s="16" t="s">
        <v>10</v>
      </c>
    </row>
    <row r="6" spans="1:22">
      <c r="A6" s="1" t="s">
        <v>11</v>
      </c>
      <c r="B6" s="29">
        <v>0</v>
      </c>
      <c r="C6" s="30">
        <v>0</v>
      </c>
      <c r="D6" s="30">
        <v>0</v>
      </c>
      <c r="E6" s="30">
        <v>0</v>
      </c>
      <c r="F6" s="30">
        <v>0</v>
      </c>
      <c r="G6" s="31">
        <f>SUM(AL_FINANCIAL)</f>
        <v>0</v>
      </c>
      <c r="H6" s="30"/>
      <c r="I6" s="30"/>
      <c r="J6" s="30"/>
      <c r="K6" s="30"/>
      <c r="L6" s="29"/>
      <c r="M6" s="30"/>
      <c r="N6" s="30"/>
      <c r="O6" s="30"/>
      <c r="P6" s="30"/>
      <c r="Q6" s="30"/>
      <c r="R6" s="30"/>
      <c r="S6" s="30"/>
      <c r="T6" s="30"/>
      <c r="U6" s="30"/>
      <c r="V6" s="31"/>
    </row>
    <row r="7" spans="1:22">
      <c r="A7" s="1" t="s">
        <v>12</v>
      </c>
      <c r="B7" s="29">
        <v>0</v>
      </c>
      <c r="C7" s="30">
        <v>0</v>
      </c>
      <c r="D7" s="30">
        <v>0</v>
      </c>
      <c r="E7" s="30">
        <v>0</v>
      </c>
      <c r="F7" s="30">
        <v>0</v>
      </c>
      <c r="G7" s="31">
        <f>SUM(AK_FINANCIAL)</f>
        <v>0</v>
      </c>
      <c r="H7" s="30"/>
      <c r="I7" s="32"/>
      <c r="J7" s="33"/>
      <c r="K7" s="30"/>
      <c r="L7" s="29"/>
      <c r="M7" s="30"/>
      <c r="N7" s="30"/>
      <c r="O7" s="30"/>
      <c r="P7" s="30"/>
      <c r="Q7" s="30"/>
      <c r="R7" s="30"/>
      <c r="S7" s="30"/>
      <c r="T7" s="30"/>
      <c r="U7" s="30"/>
      <c r="V7" s="31"/>
    </row>
    <row r="8" spans="1:22">
      <c r="A8" s="1" t="s">
        <v>13</v>
      </c>
      <c r="B8" s="29">
        <v>0</v>
      </c>
      <c r="C8" s="30">
        <v>0</v>
      </c>
      <c r="D8" s="30">
        <v>0</v>
      </c>
      <c r="E8" s="30">
        <v>0</v>
      </c>
      <c r="F8" s="30">
        <v>0</v>
      </c>
      <c r="G8" s="31">
        <f>SUM(AZ_FINANCIAL)</f>
        <v>0</v>
      </c>
      <c r="H8" s="30"/>
      <c r="I8" s="34" t="s">
        <v>14</v>
      </c>
      <c r="J8" s="35"/>
      <c r="K8" s="30"/>
      <c r="L8" s="29"/>
      <c r="M8" s="30"/>
      <c r="N8" s="30"/>
      <c r="O8" s="30"/>
      <c r="P8" s="30"/>
      <c r="Q8" s="30"/>
      <c r="R8" s="30"/>
      <c r="S8" s="30"/>
      <c r="T8" s="30"/>
      <c r="U8" s="30"/>
      <c r="V8" s="31"/>
    </row>
    <row r="9" spans="1:22">
      <c r="A9" s="1" t="s">
        <v>15</v>
      </c>
      <c r="B9" s="29">
        <v>0</v>
      </c>
      <c r="C9" s="30">
        <v>0</v>
      </c>
      <c r="D9" s="30">
        <v>0</v>
      </c>
      <c r="E9" s="30">
        <v>0</v>
      </c>
      <c r="F9" s="30">
        <v>0</v>
      </c>
      <c r="G9" s="31">
        <f>SUM(AR_FINANCIAL)</f>
        <v>0</v>
      </c>
      <c r="H9" s="30"/>
      <c r="I9" s="34"/>
      <c r="J9" s="35"/>
      <c r="K9" s="30"/>
      <c r="L9" s="29"/>
      <c r="M9" s="30"/>
      <c r="N9" s="30"/>
      <c r="O9" s="30"/>
      <c r="P9" s="30"/>
      <c r="Q9" s="30"/>
      <c r="R9" s="30"/>
      <c r="S9" s="30"/>
      <c r="T9" s="30"/>
      <c r="U9" s="30"/>
      <c r="V9" s="31"/>
    </row>
    <row r="10" spans="1:22">
      <c r="A10" s="1" t="s">
        <v>16</v>
      </c>
      <c r="B10" s="29">
        <v>0</v>
      </c>
      <c r="C10" s="30">
        <v>0</v>
      </c>
      <c r="D10" s="30">
        <v>0</v>
      </c>
      <c r="E10" s="30">
        <v>0</v>
      </c>
      <c r="F10" s="30">
        <v>0</v>
      </c>
      <c r="G10" s="31">
        <f>SUM(CA_FINANCIAL)</f>
        <v>0</v>
      </c>
      <c r="H10" s="30"/>
      <c r="I10" s="34" t="s">
        <v>17</v>
      </c>
      <c r="J10" s="35">
        <v>0</v>
      </c>
      <c r="K10" s="30"/>
      <c r="L10" s="29">
        <v>0</v>
      </c>
      <c r="M10" s="30">
        <v>0</v>
      </c>
      <c r="N10" s="30"/>
      <c r="O10" s="30">
        <v>0</v>
      </c>
      <c r="P10" s="30">
        <v>0</v>
      </c>
      <c r="Q10" s="30"/>
      <c r="R10" s="30">
        <v>150000</v>
      </c>
      <c r="S10" s="30">
        <v>0</v>
      </c>
      <c r="T10" s="30"/>
      <c r="U10" s="30">
        <v>0</v>
      </c>
      <c r="V10" s="31">
        <v>0</v>
      </c>
    </row>
    <row r="11" spans="1:22">
      <c r="A11" s="1" t="s">
        <v>18</v>
      </c>
      <c r="B11" s="29">
        <v>0</v>
      </c>
      <c r="C11" s="30">
        <v>0</v>
      </c>
      <c r="D11" s="30">
        <v>0</v>
      </c>
      <c r="E11" s="30">
        <v>0</v>
      </c>
      <c r="F11" s="30">
        <v>0</v>
      </c>
      <c r="G11" s="31">
        <f>SUM(CO_FINANCIAL)</f>
        <v>0</v>
      </c>
      <c r="H11" s="30"/>
      <c r="I11" s="34"/>
      <c r="J11" s="35"/>
      <c r="K11" s="30"/>
      <c r="L11" s="29"/>
      <c r="M11" s="30"/>
      <c r="N11" s="30"/>
      <c r="O11" s="30"/>
      <c r="P11" s="30"/>
      <c r="Q11" s="30"/>
      <c r="R11" s="30"/>
      <c r="S11" s="30"/>
      <c r="T11" s="30"/>
      <c r="U11" s="30"/>
      <c r="V11" s="31"/>
    </row>
    <row r="12" spans="1:22">
      <c r="A12" s="1" t="s">
        <v>19</v>
      </c>
      <c r="B12" s="29">
        <v>0</v>
      </c>
      <c r="C12" s="30">
        <v>0</v>
      </c>
      <c r="D12" s="30">
        <v>0</v>
      </c>
      <c r="E12" s="30">
        <v>0</v>
      </c>
      <c r="F12" s="30">
        <v>0</v>
      </c>
      <c r="G12" s="31">
        <f>SUM(CT_FINANCIAL)</f>
        <v>0</v>
      </c>
      <c r="H12" s="30"/>
      <c r="I12" s="34" t="s">
        <v>20</v>
      </c>
      <c r="J12" s="35"/>
      <c r="K12" s="30"/>
      <c r="L12" s="29"/>
      <c r="M12" s="30"/>
      <c r="N12" s="30"/>
      <c r="O12" s="30"/>
      <c r="P12" s="30"/>
      <c r="Q12" s="30"/>
      <c r="R12" s="30"/>
      <c r="S12" s="30"/>
      <c r="T12" s="30"/>
      <c r="U12" s="30"/>
      <c r="V12" s="31"/>
    </row>
    <row r="13" spans="1:22">
      <c r="A13" s="1" t="s">
        <v>21</v>
      </c>
      <c r="B13" s="29">
        <v>0</v>
      </c>
      <c r="C13" s="30">
        <v>0</v>
      </c>
      <c r="D13" s="30">
        <v>0</v>
      </c>
      <c r="E13" s="30">
        <v>0</v>
      </c>
      <c r="F13" s="30">
        <v>0</v>
      </c>
      <c r="G13" s="31">
        <f>SUM(DE_FINANCIAL)</f>
        <v>0</v>
      </c>
      <c r="H13" s="30"/>
      <c r="I13" s="34" t="s">
        <v>22</v>
      </c>
      <c r="J13" s="35">
        <v>0</v>
      </c>
      <c r="K13" s="30"/>
      <c r="L13" s="29"/>
      <c r="M13" s="30"/>
      <c r="N13" s="30"/>
      <c r="O13" s="30"/>
      <c r="P13" s="30"/>
      <c r="Q13" s="30"/>
      <c r="R13" s="30"/>
      <c r="S13" s="30"/>
      <c r="T13" s="30"/>
      <c r="U13" s="30"/>
      <c r="V13" s="31"/>
    </row>
    <row r="14" spans="1:22">
      <c r="A14" s="1" t="s">
        <v>23</v>
      </c>
      <c r="B14" s="29">
        <v>0</v>
      </c>
      <c r="C14" s="30">
        <v>0</v>
      </c>
      <c r="D14" s="30">
        <v>0</v>
      </c>
      <c r="E14" s="30">
        <v>0</v>
      </c>
      <c r="F14" s="30">
        <v>0</v>
      </c>
      <c r="G14" s="31">
        <f>SUM(DC_FINANCIAL)</f>
        <v>0</v>
      </c>
      <c r="H14" s="30"/>
      <c r="I14" s="34" t="s">
        <v>24</v>
      </c>
      <c r="J14" s="35">
        <v>0</v>
      </c>
      <c r="K14" s="30"/>
      <c r="L14" s="29"/>
      <c r="M14" s="30"/>
      <c r="N14" s="30"/>
      <c r="O14" s="30"/>
      <c r="P14" s="30"/>
      <c r="Q14" s="30"/>
      <c r="R14" s="30"/>
      <c r="S14" s="30"/>
      <c r="T14" s="30"/>
      <c r="U14" s="30"/>
      <c r="V14" s="31"/>
    </row>
    <row r="15" spans="1:22">
      <c r="A15" s="1" t="s">
        <v>25</v>
      </c>
      <c r="B15" s="29">
        <v>0</v>
      </c>
      <c r="C15" s="30">
        <v>0</v>
      </c>
      <c r="D15" s="30">
        <v>0</v>
      </c>
      <c r="E15" s="30">
        <v>0</v>
      </c>
      <c r="F15" s="30">
        <v>0</v>
      </c>
      <c r="G15" s="31">
        <f>SUM(FL_FINANCIAL)</f>
        <v>0</v>
      </c>
      <c r="H15" s="30"/>
      <c r="I15" s="34" t="s">
        <v>26</v>
      </c>
      <c r="J15" s="35">
        <v>252214</v>
      </c>
      <c r="K15" s="30"/>
      <c r="L15" s="29"/>
      <c r="M15" s="30"/>
      <c r="N15" s="30"/>
      <c r="O15" s="30"/>
      <c r="P15" s="30"/>
      <c r="Q15" s="30"/>
      <c r="R15" s="30"/>
      <c r="S15" s="30"/>
      <c r="T15" s="30"/>
      <c r="U15" s="30"/>
      <c r="V15" s="31"/>
    </row>
    <row r="16" spans="1:22">
      <c r="A16" s="1" t="s">
        <v>27</v>
      </c>
      <c r="B16" s="29">
        <v>0</v>
      </c>
      <c r="C16" s="30">
        <v>0</v>
      </c>
      <c r="D16" s="30">
        <v>0</v>
      </c>
      <c r="E16" s="30">
        <v>0</v>
      </c>
      <c r="F16" s="30">
        <v>0</v>
      </c>
      <c r="G16" s="31">
        <f>SUM(GA_FINANCIAL)</f>
        <v>0</v>
      </c>
      <c r="H16" s="30"/>
      <c r="I16" s="34" t="s">
        <v>28</v>
      </c>
      <c r="J16" s="35">
        <v>0</v>
      </c>
      <c r="K16" s="30"/>
      <c r="L16" s="29"/>
      <c r="M16" s="30"/>
      <c r="N16" s="30"/>
      <c r="O16" s="30"/>
      <c r="P16" s="30"/>
      <c r="Q16" s="30"/>
      <c r="R16" s="30"/>
      <c r="S16" s="30"/>
      <c r="T16" s="30"/>
      <c r="U16" s="30"/>
      <c r="V16" s="31"/>
    </row>
    <row r="17" spans="1:22">
      <c r="A17" s="1" t="s">
        <v>29</v>
      </c>
      <c r="B17" s="29">
        <v>0</v>
      </c>
      <c r="C17" s="30">
        <v>0</v>
      </c>
      <c r="D17" s="30">
        <v>0</v>
      </c>
      <c r="E17" s="30">
        <v>0</v>
      </c>
      <c r="F17" s="30">
        <v>0</v>
      </c>
      <c r="G17" s="31">
        <f>SUM(HI_FINANCIAL)</f>
        <v>0</v>
      </c>
      <c r="H17" s="30"/>
      <c r="I17" s="34"/>
      <c r="J17" s="35"/>
      <c r="K17" s="30"/>
      <c r="L17" s="29"/>
      <c r="M17" s="30"/>
      <c r="N17" s="30"/>
      <c r="O17" s="30"/>
      <c r="P17" s="30"/>
      <c r="Q17" s="30"/>
      <c r="R17" s="30"/>
      <c r="S17" s="30"/>
      <c r="T17" s="30"/>
      <c r="U17" s="30"/>
      <c r="V17" s="31"/>
    </row>
    <row r="18" spans="1:22">
      <c r="A18" s="1" t="s">
        <v>30</v>
      </c>
      <c r="B18" s="29">
        <v>0</v>
      </c>
      <c r="C18" s="30">
        <v>0</v>
      </c>
      <c r="D18" s="30">
        <v>0</v>
      </c>
      <c r="E18" s="30">
        <v>0</v>
      </c>
      <c r="F18" s="30">
        <v>0</v>
      </c>
      <c r="G18" s="31">
        <f>SUM(ID_FINANCIAL)</f>
        <v>0</v>
      </c>
      <c r="H18" s="30"/>
      <c r="I18" s="34" t="s">
        <v>31</v>
      </c>
      <c r="J18" s="35"/>
      <c r="K18" s="30"/>
      <c r="L18" s="29"/>
      <c r="M18" s="30"/>
      <c r="N18" s="30"/>
      <c r="O18" s="30"/>
      <c r="P18" s="30"/>
      <c r="Q18" s="30"/>
      <c r="R18" s="30"/>
      <c r="S18" s="30"/>
      <c r="T18" s="30"/>
      <c r="U18" s="30"/>
      <c r="V18" s="31"/>
    </row>
    <row r="19" spans="1:22">
      <c r="A19" s="1" t="s">
        <v>32</v>
      </c>
      <c r="B19" s="29">
        <v>0</v>
      </c>
      <c r="C19" s="30">
        <v>0</v>
      </c>
      <c r="D19" s="30">
        <v>0</v>
      </c>
      <c r="E19" s="30">
        <v>0</v>
      </c>
      <c r="F19" s="30">
        <v>0</v>
      </c>
      <c r="G19" s="31">
        <f>SUM(IL_FINANCIAL)</f>
        <v>0</v>
      </c>
      <c r="H19" s="30"/>
      <c r="I19" s="34" t="s">
        <v>33</v>
      </c>
      <c r="J19" s="35">
        <v>0</v>
      </c>
      <c r="K19" s="30"/>
      <c r="L19" s="29"/>
      <c r="M19" s="30"/>
      <c r="N19" s="30"/>
      <c r="O19" s="30"/>
      <c r="P19" s="30"/>
      <c r="Q19" s="30"/>
      <c r="R19" s="30"/>
      <c r="S19" s="30"/>
      <c r="T19" s="30"/>
      <c r="U19" s="30"/>
      <c r="V19" s="31"/>
    </row>
    <row r="20" spans="1:22">
      <c r="A20" s="1" t="s">
        <v>34</v>
      </c>
      <c r="B20" s="29">
        <v>0</v>
      </c>
      <c r="C20" s="30">
        <v>0</v>
      </c>
      <c r="D20" s="30">
        <v>0</v>
      </c>
      <c r="E20" s="30">
        <v>0</v>
      </c>
      <c r="F20" s="30">
        <v>0</v>
      </c>
      <c r="G20" s="31">
        <f>SUM(IN_FINANCIAL)</f>
        <v>0</v>
      </c>
      <c r="H20" s="30"/>
      <c r="I20" s="34" t="s">
        <v>35</v>
      </c>
      <c r="J20" s="35">
        <v>0</v>
      </c>
      <c r="K20" s="30"/>
      <c r="L20" s="29"/>
      <c r="M20" s="30"/>
      <c r="N20" s="30"/>
      <c r="O20" s="30"/>
      <c r="P20" s="30"/>
      <c r="Q20" s="30"/>
      <c r="R20" s="30"/>
      <c r="S20" s="30"/>
      <c r="T20" s="30"/>
      <c r="U20" s="30"/>
      <c r="V20" s="31"/>
    </row>
    <row r="21" spans="1:22">
      <c r="A21" s="1" t="s">
        <v>36</v>
      </c>
      <c r="B21" s="29">
        <v>0</v>
      </c>
      <c r="C21" s="30">
        <v>0</v>
      </c>
      <c r="D21" s="30">
        <v>0</v>
      </c>
      <c r="E21" s="30">
        <v>0</v>
      </c>
      <c r="F21" s="30">
        <v>0</v>
      </c>
      <c r="G21" s="31">
        <f>SUM(IA_FINANCIAL)</f>
        <v>0</v>
      </c>
      <c r="H21" s="30"/>
      <c r="I21" s="34" t="s">
        <v>37</v>
      </c>
      <c r="J21" s="35"/>
      <c r="K21" s="30"/>
      <c r="L21" s="29"/>
      <c r="M21" s="30"/>
      <c r="N21" s="30"/>
      <c r="O21" s="30"/>
      <c r="P21" s="30"/>
      <c r="Q21" s="30"/>
      <c r="R21" s="30"/>
      <c r="S21" s="30"/>
      <c r="T21" s="30"/>
      <c r="U21" s="30"/>
      <c r="V21" s="31"/>
    </row>
    <row r="22" spans="1:22">
      <c r="A22" s="1" t="s">
        <v>38</v>
      </c>
      <c r="B22" s="29">
        <v>0</v>
      </c>
      <c r="C22" s="30">
        <v>0</v>
      </c>
      <c r="D22" s="30">
        <v>0</v>
      </c>
      <c r="E22" s="30">
        <v>0</v>
      </c>
      <c r="F22" s="30">
        <v>0</v>
      </c>
      <c r="G22" s="31">
        <f>SUM(KS_FINANCIAL)</f>
        <v>0</v>
      </c>
      <c r="H22" s="30"/>
      <c r="I22" s="34" t="s">
        <v>39</v>
      </c>
      <c r="J22" s="35">
        <v>0</v>
      </c>
      <c r="K22" s="30"/>
      <c r="L22" s="29"/>
      <c r="M22" s="30"/>
      <c r="N22" s="30"/>
      <c r="O22" s="30"/>
      <c r="P22" s="30"/>
      <c r="Q22" s="30"/>
      <c r="R22" s="30"/>
      <c r="S22" s="30"/>
      <c r="T22" s="30"/>
      <c r="U22" s="30"/>
      <c r="V22" s="31"/>
    </row>
    <row r="23" spans="1:22">
      <c r="A23" s="1" t="s">
        <v>40</v>
      </c>
      <c r="B23" s="29">
        <v>0</v>
      </c>
      <c r="C23" s="30">
        <v>0</v>
      </c>
      <c r="D23" s="30">
        <v>0</v>
      </c>
      <c r="E23" s="30">
        <v>0</v>
      </c>
      <c r="F23" s="30">
        <v>0</v>
      </c>
      <c r="G23" s="31">
        <f>SUM(KY_FINANCIAL)</f>
        <v>0</v>
      </c>
      <c r="H23" s="30"/>
      <c r="I23" s="34" t="s">
        <v>41</v>
      </c>
      <c r="J23" s="35"/>
      <c r="K23" s="30"/>
      <c r="L23" s="29"/>
      <c r="M23" s="30"/>
      <c r="N23" s="30"/>
      <c r="O23" s="30"/>
      <c r="P23" s="30"/>
      <c r="Q23" s="30"/>
      <c r="R23" s="30"/>
      <c r="S23" s="30"/>
      <c r="T23" s="30"/>
      <c r="U23" s="30"/>
      <c r="V23" s="31"/>
    </row>
    <row r="24" spans="1:22">
      <c r="A24" s="1" t="s">
        <v>42</v>
      </c>
      <c r="B24" s="29">
        <v>0</v>
      </c>
      <c r="C24" s="30">
        <v>0</v>
      </c>
      <c r="D24" s="30">
        <v>0</v>
      </c>
      <c r="E24" s="30">
        <v>0</v>
      </c>
      <c r="F24" s="30">
        <v>0</v>
      </c>
      <c r="G24" s="31">
        <f>SUM(LA_FINANCIAL)</f>
        <v>0</v>
      </c>
      <c r="H24" s="30"/>
      <c r="I24" s="34" t="s">
        <v>43</v>
      </c>
      <c r="J24" s="35">
        <v>252214</v>
      </c>
      <c r="K24" s="30"/>
      <c r="L24" s="29"/>
      <c r="M24" s="30"/>
      <c r="N24" s="30"/>
      <c r="O24" s="30"/>
      <c r="P24" s="30"/>
      <c r="Q24" s="30"/>
      <c r="R24" s="30"/>
      <c r="S24" s="30"/>
      <c r="T24" s="30"/>
      <c r="U24" s="30"/>
      <c r="V24" s="31"/>
    </row>
    <row r="25" spans="1:22">
      <c r="A25" s="1" t="s">
        <v>44</v>
      </c>
      <c r="B25" s="29">
        <v>0</v>
      </c>
      <c r="C25" s="30">
        <v>0</v>
      </c>
      <c r="D25" s="30">
        <v>0</v>
      </c>
      <c r="E25" s="30">
        <v>0</v>
      </c>
      <c r="F25" s="30">
        <v>0</v>
      </c>
      <c r="G25" s="31">
        <f>SUM(ME_FINANCIAL)</f>
        <v>0</v>
      </c>
      <c r="H25" s="30"/>
      <c r="I25" s="34"/>
      <c r="J25" s="35"/>
      <c r="K25" s="30"/>
      <c r="L25" s="29"/>
      <c r="M25" s="30"/>
      <c r="N25" s="30"/>
      <c r="O25" s="30"/>
      <c r="P25" s="30"/>
      <c r="Q25" s="30"/>
      <c r="R25" s="30"/>
      <c r="S25" s="30"/>
      <c r="T25" s="30"/>
      <c r="U25" s="30"/>
      <c r="V25" s="31"/>
    </row>
    <row r="26" spans="1:22">
      <c r="A26" s="1" t="s">
        <v>45</v>
      </c>
      <c r="B26" s="29">
        <v>0</v>
      </c>
      <c r="C26" s="30">
        <v>0</v>
      </c>
      <c r="D26" s="30">
        <v>0</v>
      </c>
      <c r="E26" s="30">
        <v>0</v>
      </c>
      <c r="F26" s="30">
        <v>0</v>
      </c>
      <c r="G26" s="31">
        <f>SUM(MD_FINANCIAL)</f>
        <v>0</v>
      </c>
      <c r="H26" s="30"/>
      <c r="I26" s="34" t="s">
        <v>46</v>
      </c>
      <c r="J26" s="35">
        <f>SUM(ADD_FINANCIAL)-SUM(LESS_FINANCIAL)</f>
        <v>0</v>
      </c>
      <c r="K26" s="30"/>
      <c r="L26" s="29"/>
      <c r="M26" s="30"/>
      <c r="N26" s="30"/>
      <c r="O26" s="30"/>
      <c r="P26" s="30"/>
      <c r="Q26" s="30"/>
      <c r="R26" s="30"/>
      <c r="S26" s="30"/>
      <c r="T26" s="30"/>
      <c r="U26" s="30"/>
      <c r="V26" s="31"/>
    </row>
    <row r="27" spans="1:22">
      <c r="A27" s="1" t="s">
        <v>47</v>
      </c>
      <c r="B27" s="29">
        <v>0</v>
      </c>
      <c r="C27" s="30">
        <v>0</v>
      </c>
      <c r="D27" s="30">
        <v>0</v>
      </c>
      <c r="E27" s="30">
        <v>0</v>
      </c>
      <c r="F27" s="30">
        <v>0</v>
      </c>
      <c r="G27" s="31">
        <f>SUM(MA_FINANCIAL)</f>
        <v>0</v>
      </c>
      <c r="H27" s="30"/>
      <c r="I27" s="34" t="s">
        <v>48</v>
      </c>
      <c r="J27" s="35">
        <f>SUM(ALL_BLOCKS)</f>
        <v>0</v>
      </c>
      <c r="K27" s="30"/>
      <c r="L27" s="29"/>
      <c r="M27" s="30"/>
      <c r="N27" s="30"/>
      <c r="O27" s="30"/>
      <c r="P27" s="30"/>
      <c r="Q27" s="30"/>
      <c r="R27" s="30"/>
      <c r="S27" s="30"/>
      <c r="T27" s="30"/>
      <c r="U27" s="30"/>
      <c r="V27" s="31"/>
    </row>
    <row r="28" spans="1:22">
      <c r="A28" s="1" t="s">
        <v>49</v>
      </c>
      <c r="B28" s="29">
        <v>0</v>
      </c>
      <c r="C28" s="30">
        <v>0</v>
      </c>
      <c r="D28" s="30">
        <v>0</v>
      </c>
      <c r="E28" s="30">
        <v>0</v>
      </c>
      <c r="F28" s="30">
        <v>0</v>
      </c>
      <c r="G28" s="31">
        <f>SUM(MI_FINANCIAL)</f>
        <v>0</v>
      </c>
      <c r="H28" s="30"/>
      <c r="I28" s="36"/>
      <c r="J28" s="37"/>
      <c r="K28" s="30"/>
      <c r="L28" s="29"/>
      <c r="M28" s="30"/>
      <c r="N28" s="30"/>
      <c r="O28" s="30"/>
      <c r="P28" s="30"/>
      <c r="Q28" s="30"/>
      <c r="R28" s="30"/>
      <c r="S28" s="30"/>
      <c r="T28" s="30"/>
      <c r="U28" s="30"/>
      <c r="V28" s="31"/>
    </row>
    <row r="29" spans="1:22">
      <c r="A29" s="1" t="s">
        <v>50</v>
      </c>
      <c r="B29" s="29">
        <v>0</v>
      </c>
      <c r="C29" s="30">
        <v>0</v>
      </c>
      <c r="D29" s="30">
        <v>0</v>
      </c>
      <c r="E29" s="30">
        <v>0</v>
      </c>
      <c r="F29" s="30">
        <v>0</v>
      </c>
      <c r="G29" s="31">
        <f>SUM(MN_FINANCIAL)</f>
        <v>0</v>
      </c>
      <c r="H29" s="30"/>
      <c r="I29" s="30"/>
      <c r="J29" s="30"/>
      <c r="K29" s="30"/>
      <c r="L29" s="29"/>
      <c r="M29" s="30"/>
      <c r="N29" s="30"/>
      <c r="O29" s="30"/>
      <c r="P29" s="30"/>
      <c r="Q29" s="30"/>
      <c r="R29" s="30"/>
      <c r="S29" s="30"/>
      <c r="T29" s="30"/>
      <c r="U29" s="30"/>
      <c r="V29" s="31"/>
    </row>
    <row r="30" spans="1:22">
      <c r="A30" s="1" t="s">
        <v>51</v>
      </c>
      <c r="B30" s="29">
        <v>0</v>
      </c>
      <c r="C30" s="30">
        <v>0</v>
      </c>
      <c r="D30" s="30">
        <v>0</v>
      </c>
      <c r="E30" s="30">
        <v>0</v>
      </c>
      <c r="F30" s="30">
        <v>0</v>
      </c>
      <c r="G30" s="31">
        <f>SUM(MS_FINANCIAL)</f>
        <v>0</v>
      </c>
      <c r="H30" s="30"/>
      <c r="I30" s="30"/>
      <c r="J30" s="30"/>
      <c r="K30" s="30"/>
      <c r="L30" s="29"/>
      <c r="M30" s="30"/>
      <c r="N30" s="30"/>
      <c r="O30" s="30"/>
      <c r="P30" s="30"/>
      <c r="Q30" s="30"/>
      <c r="R30" s="30"/>
      <c r="S30" s="30"/>
      <c r="T30" s="30"/>
      <c r="U30" s="30"/>
      <c r="V30" s="31"/>
    </row>
    <row r="31" spans="1:22">
      <c r="A31" s="1" t="s">
        <v>52</v>
      </c>
      <c r="B31" s="29">
        <v>0</v>
      </c>
      <c r="C31" s="30">
        <v>0</v>
      </c>
      <c r="D31" s="30">
        <v>0</v>
      </c>
      <c r="E31" s="30">
        <v>0</v>
      </c>
      <c r="F31" s="30">
        <v>0</v>
      </c>
      <c r="G31" s="31">
        <f>SUM(MO_FINANCIAL)</f>
        <v>0</v>
      </c>
      <c r="H31" s="30"/>
      <c r="I31" s="30"/>
      <c r="J31" s="30"/>
      <c r="K31" s="30"/>
      <c r="L31" s="29"/>
      <c r="M31" s="30"/>
      <c r="N31" s="30"/>
      <c r="O31" s="30"/>
      <c r="P31" s="30"/>
      <c r="Q31" s="30"/>
      <c r="R31" s="30"/>
      <c r="S31" s="30"/>
      <c r="T31" s="30"/>
      <c r="U31" s="30"/>
      <c r="V31" s="31"/>
    </row>
    <row r="32" spans="1:22">
      <c r="A32" s="1" t="s">
        <v>53</v>
      </c>
      <c r="B32" s="29">
        <v>0</v>
      </c>
      <c r="C32" s="30">
        <v>0</v>
      </c>
      <c r="D32" s="30">
        <v>0</v>
      </c>
      <c r="E32" s="30">
        <v>0</v>
      </c>
      <c r="F32" s="30">
        <v>0</v>
      </c>
      <c r="G32" s="31">
        <f>SUM(MT_FINANCIAL)</f>
        <v>0</v>
      </c>
      <c r="H32" s="30"/>
      <c r="I32" s="30"/>
      <c r="J32" s="30"/>
      <c r="K32" s="30"/>
      <c r="L32" s="29"/>
      <c r="M32" s="30"/>
      <c r="N32" s="30"/>
      <c r="O32" s="30"/>
      <c r="P32" s="30"/>
      <c r="Q32" s="30"/>
      <c r="R32" s="30"/>
      <c r="S32" s="30"/>
      <c r="T32" s="30"/>
      <c r="U32" s="30"/>
      <c r="V32" s="31"/>
    </row>
    <row r="33" spans="1:22">
      <c r="A33" s="1" t="s">
        <v>54</v>
      </c>
      <c r="B33" s="29">
        <v>0</v>
      </c>
      <c r="C33" s="30">
        <v>0</v>
      </c>
      <c r="D33" s="30">
        <v>0</v>
      </c>
      <c r="E33" s="30">
        <v>0</v>
      </c>
      <c r="F33" s="30">
        <v>0</v>
      </c>
      <c r="G33" s="31">
        <f>SUM(NE_FINANCIAL)</f>
        <v>0</v>
      </c>
      <c r="H33" s="30"/>
      <c r="I33" s="30"/>
      <c r="J33" s="30"/>
      <c r="K33" s="30"/>
      <c r="L33" s="29"/>
      <c r="M33" s="30"/>
      <c r="N33" s="30"/>
      <c r="O33" s="30"/>
      <c r="P33" s="30"/>
      <c r="Q33" s="30"/>
      <c r="R33" s="30"/>
      <c r="S33" s="30"/>
      <c r="T33" s="30"/>
      <c r="U33" s="30"/>
      <c r="V33" s="31"/>
    </row>
    <row r="34" spans="1:22">
      <c r="A34" s="1" t="s">
        <v>55</v>
      </c>
      <c r="B34" s="29">
        <v>0</v>
      </c>
      <c r="C34" s="30">
        <v>0</v>
      </c>
      <c r="D34" s="30">
        <v>0</v>
      </c>
      <c r="E34" s="30">
        <v>0</v>
      </c>
      <c r="F34" s="30">
        <v>0</v>
      </c>
      <c r="G34" s="31">
        <f>SUM(NV_FINANCIAL)</f>
        <v>0</v>
      </c>
      <c r="H34" s="30"/>
      <c r="I34" s="30"/>
      <c r="J34" s="30"/>
      <c r="K34" s="30"/>
      <c r="L34" s="29"/>
      <c r="M34" s="30"/>
      <c r="N34" s="30"/>
      <c r="O34" s="30"/>
      <c r="P34" s="30"/>
      <c r="Q34" s="30"/>
      <c r="R34" s="30"/>
      <c r="S34" s="30"/>
      <c r="T34" s="30"/>
      <c r="U34" s="30"/>
      <c r="V34" s="31"/>
    </row>
    <row r="35" spans="1:22">
      <c r="A35" s="1" t="s">
        <v>56</v>
      </c>
      <c r="B35" s="29">
        <v>0</v>
      </c>
      <c r="C35" s="30">
        <v>0</v>
      </c>
      <c r="D35" s="30">
        <v>0</v>
      </c>
      <c r="E35" s="30">
        <v>0</v>
      </c>
      <c r="F35" s="30">
        <v>0</v>
      </c>
      <c r="G35" s="31">
        <f>SUM(NH_FINANCIAL)</f>
        <v>0</v>
      </c>
      <c r="H35" s="30"/>
      <c r="I35" s="30"/>
      <c r="J35" s="30"/>
      <c r="K35" s="30"/>
      <c r="L35" s="29"/>
      <c r="M35" s="30"/>
      <c r="N35" s="30"/>
      <c r="O35" s="30"/>
      <c r="P35" s="30"/>
      <c r="Q35" s="30"/>
      <c r="R35" s="30"/>
      <c r="S35" s="30"/>
      <c r="T35" s="30"/>
      <c r="U35" s="30"/>
      <c r="V35" s="31"/>
    </row>
    <row r="36" spans="1:22">
      <c r="A36" s="1" t="s">
        <v>57</v>
      </c>
      <c r="B36" s="29">
        <v>0</v>
      </c>
      <c r="C36" s="30">
        <v>0</v>
      </c>
      <c r="D36" s="30">
        <v>0</v>
      </c>
      <c r="E36" s="30">
        <v>0</v>
      </c>
      <c r="F36" s="30">
        <v>0</v>
      </c>
      <c r="G36" s="31">
        <f>SUM(NJ_FINANCIAL)</f>
        <v>0</v>
      </c>
      <c r="H36" s="30"/>
      <c r="I36" s="30"/>
      <c r="J36" s="30"/>
      <c r="K36" s="30"/>
      <c r="L36" s="29"/>
      <c r="M36" s="30"/>
      <c r="N36" s="30"/>
      <c r="O36" s="30"/>
      <c r="P36" s="30"/>
      <c r="Q36" s="30"/>
      <c r="R36" s="30"/>
      <c r="S36" s="30"/>
      <c r="T36" s="30"/>
      <c r="U36" s="30"/>
      <c r="V36" s="31"/>
    </row>
    <row r="37" spans="1:22">
      <c r="A37" s="1" t="s">
        <v>58</v>
      </c>
      <c r="B37" s="29">
        <v>0</v>
      </c>
      <c r="C37" s="30">
        <v>0</v>
      </c>
      <c r="D37" s="30">
        <v>0</v>
      </c>
      <c r="E37" s="30">
        <v>0</v>
      </c>
      <c r="F37" s="30">
        <v>0</v>
      </c>
      <c r="G37" s="31">
        <f>SUM(NM_FINANCIAL)</f>
        <v>0</v>
      </c>
      <c r="H37" s="30"/>
      <c r="I37" s="30"/>
      <c r="J37" s="30"/>
      <c r="K37" s="30"/>
      <c r="L37" s="29"/>
      <c r="M37" s="30"/>
      <c r="N37" s="30"/>
      <c r="O37" s="30"/>
      <c r="P37" s="30"/>
      <c r="Q37" s="30"/>
      <c r="R37" s="30"/>
      <c r="S37" s="30"/>
      <c r="T37" s="30"/>
      <c r="U37" s="30"/>
      <c r="V37" s="31"/>
    </row>
    <row r="38" spans="1:22">
      <c r="A38" s="1" t="s">
        <v>59</v>
      </c>
      <c r="B38" s="29">
        <v>0</v>
      </c>
      <c r="C38" s="30">
        <v>0</v>
      </c>
      <c r="D38" s="30">
        <v>0</v>
      </c>
      <c r="E38" s="30">
        <v>0</v>
      </c>
      <c r="F38" s="30">
        <v>0</v>
      </c>
      <c r="G38" s="31">
        <f>SUM(NY_FINANCIAL)</f>
        <v>0</v>
      </c>
      <c r="H38" s="30"/>
      <c r="I38" s="30"/>
      <c r="J38" s="30"/>
      <c r="K38" s="30"/>
      <c r="L38" s="29"/>
      <c r="M38" s="30"/>
      <c r="N38" s="30"/>
      <c r="O38" s="30"/>
      <c r="P38" s="30"/>
      <c r="Q38" s="30"/>
      <c r="R38" s="30"/>
      <c r="S38" s="30"/>
      <c r="T38" s="30"/>
      <c r="U38" s="30"/>
      <c r="V38" s="31"/>
    </row>
    <row r="39" spans="1:22">
      <c r="A39" s="1" t="s">
        <v>60</v>
      </c>
      <c r="B39" s="29">
        <v>0</v>
      </c>
      <c r="C39" s="30">
        <v>0</v>
      </c>
      <c r="D39" s="30">
        <v>0</v>
      </c>
      <c r="E39" s="30">
        <v>0</v>
      </c>
      <c r="F39" s="30">
        <v>0</v>
      </c>
      <c r="G39" s="31">
        <f>SUM(NC_FINANCIAL)</f>
        <v>0</v>
      </c>
      <c r="H39" s="30"/>
      <c r="I39" s="30"/>
      <c r="J39" s="30"/>
      <c r="K39" s="30"/>
      <c r="L39" s="29"/>
      <c r="M39" s="30"/>
      <c r="N39" s="30"/>
      <c r="O39" s="30"/>
      <c r="P39" s="30"/>
      <c r="Q39" s="30"/>
      <c r="R39" s="30"/>
      <c r="S39" s="30"/>
      <c r="T39" s="30"/>
      <c r="U39" s="30"/>
      <c r="V39" s="31"/>
    </row>
    <row r="40" spans="1:22">
      <c r="A40" s="1" t="s">
        <v>61</v>
      </c>
      <c r="B40" s="29">
        <v>0</v>
      </c>
      <c r="C40" s="30">
        <v>0</v>
      </c>
      <c r="D40" s="30">
        <v>0</v>
      </c>
      <c r="E40" s="30">
        <v>0</v>
      </c>
      <c r="F40" s="30">
        <v>0</v>
      </c>
      <c r="G40" s="31">
        <f>SUM(ND_FINANCIAL)</f>
        <v>0</v>
      </c>
      <c r="H40" s="30"/>
      <c r="I40" s="30"/>
      <c r="J40" s="30"/>
      <c r="K40" s="30"/>
      <c r="L40" s="29"/>
      <c r="M40" s="30"/>
      <c r="N40" s="30"/>
      <c r="O40" s="30"/>
      <c r="P40" s="30"/>
      <c r="Q40" s="30"/>
      <c r="R40" s="30"/>
      <c r="S40" s="30"/>
      <c r="T40" s="30"/>
      <c r="U40" s="30"/>
      <c r="V40" s="31"/>
    </row>
    <row r="41" spans="1:22">
      <c r="A41" s="1" t="s">
        <v>62</v>
      </c>
      <c r="B41" s="29">
        <v>0</v>
      </c>
      <c r="C41" s="30">
        <v>0</v>
      </c>
      <c r="D41" s="30">
        <v>0</v>
      </c>
      <c r="E41" s="30">
        <v>0</v>
      </c>
      <c r="F41" s="30">
        <v>0</v>
      </c>
      <c r="G41" s="31">
        <f>SUM(OH_FINANCIAL)</f>
        <v>0</v>
      </c>
      <c r="H41" s="30"/>
      <c r="I41" s="30"/>
      <c r="J41" s="30"/>
      <c r="K41" s="30"/>
      <c r="L41" s="29"/>
      <c r="M41" s="30"/>
      <c r="N41" s="30"/>
      <c r="O41" s="30"/>
      <c r="P41" s="30"/>
      <c r="Q41" s="30"/>
      <c r="R41" s="30"/>
      <c r="S41" s="30"/>
      <c r="T41" s="30"/>
      <c r="U41" s="30"/>
      <c r="V41" s="31"/>
    </row>
    <row r="42" spans="1:22">
      <c r="A42" s="1" t="s">
        <v>63</v>
      </c>
      <c r="B42" s="29">
        <v>0</v>
      </c>
      <c r="C42" s="30">
        <v>0</v>
      </c>
      <c r="D42" s="30">
        <v>0</v>
      </c>
      <c r="E42" s="30">
        <v>0</v>
      </c>
      <c r="F42" s="30">
        <v>0</v>
      </c>
      <c r="G42" s="31">
        <f>SUM(OK_FINANCIAL)</f>
        <v>0</v>
      </c>
      <c r="H42" s="30"/>
      <c r="I42" s="30"/>
      <c r="J42" s="30"/>
      <c r="K42" s="30"/>
      <c r="L42" s="29"/>
      <c r="M42" s="30"/>
      <c r="N42" s="30"/>
      <c r="O42" s="30"/>
      <c r="P42" s="30"/>
      <c r="Q42" s="30"/>
      <c r="R42" s="30"/>
      <c r="S42" s="30"/>
      <c r="T42" s="30"/>
      <c r="U42" s="30"/>
      <c r="V42" s="31"/>
    </row>
    <row r="43" spans="1:22">
      <c r="A43" s="1" t="s">
        <v>64</v>
      </c>
      <c r="B43" s="29">
        <v>0</v>
      </c>
      <c r="C43" s="30">
        <v>0</v>
      </c>
      <c r="D43" s="30">
        <v>0</v>
      </c>
      <c r="E43" s="30">
        <v>0</v>
      </c>
      <c r="F43" s="30">
        <v>0</v>
      </c>
      <c r="G43" s="31">
        <f>SUM(OR_FINANCIAL)</f>
        <v>0</v>
      </c>
      <c r="H43" s="30"/>
      <c r="I43" s="30"/>
      <c r="J43" s="30"/>
      <c r="K43" s="30"/>
      <c r="L43" s="29"/>
      <c r="M43" s="30"/>
      <c r="N43" s="30"/>
      <c r="O43" s="30"/>
      <c r="P43" s="30"/>
      <c r="Q43" s="30"/>
      <c r="R43" s="30"/>
      <c r="S43" s="30"/>
      <c r="T43" s="30"/>
      <c r="U43" s="30"/>
      <c r="V43" s="31"/>
    </row>
    <row r="44" spans="1:22">
      <c r="A44" s="1" t="s">
        <v>65</v>
      </c>
      <c r="B44" s="29">
        <v>0</v>
      </c>
      <c r="C44" s="30">
        <v>0</v>
      </c>
      <c r="D44" s="30">
        <v>0</v>
      </c>
      <c r="E44" s="30">
        <v>0</v>
      </c>
      <c r="F44" s="30">
        <v>0</v>
      </c>
      <c r="G44" s="31">
        <f>SUM(PA_FINANCIAL)</f>
        <v>0</v>
      </c>
      <c r="H44" s="30"/>
      <c r="I44" s="30"/>
      <c r="J44" s="30"/>
      <c r="K44" s="30"/>
      <c r="L44" s="29"/>
      <c r="M44" s="30"/>
      <c r="N44" s="30"/>
      <c r="O44" s="30"/>
      <c r="P44" s="30"/>
      <c r="Q44" s="30"/>
      <c r="R44" s="30"/>
      <c r="S44" s="30"/>
      <c r="T44" s="30"/>
      <c r="U44" s="30"/>
      <c r="V44" s="31"/>
    </row>
    <row r="45" spans="1:22">
      <c r="A45" s="1" t="s">
        <v>66</v>
      </c>
      <c r="B45" s="29">
        <v>0</v>
      </c>
      <c r="C45" s="30">
        <v>0</v>
      </c>
      <c r="D45" s="30">
        <v>0</v>
      </c>
      <c r="E45" s="30">
        <v>0</v>
      </c>
      <c r="F45" s="30">
        <v>0</v>
      </c>
      <c r="G45" s="31">
        <f>SUM(PR_FINANCIAL)</f>
        <v>0</v>
      </c>
      <c r="H45" s="30"/>
      <c r="I45" s="30"/>
      <c r="J45" s="30"/>
      <c r="K45" s="30"/>
      <c r="L45" s="29"/>
      <c r="M45" s="30"/>
      <c r="N45" s="30"/>
      <c r="O45" s="30"/>
      <c r="P45" s="30"/>
      <c r="Q45" s="30"/>
      <c r="R45" s="30"/>
      <c r="S45" s="30"/>
      <c r="T45" s="30"/>
      <c r="U45" s="30"/>
      <c r="V45" s="31"/>
    </row>
    <row r="46" spans="1:22">
      <c r="A46" s="1" t="s">
        <v>67</v>
      </c>
      <c r="B46" s="29">
        <v>0</v>
      </c>
      <c r="C46" s="30">
        <v>0</v>
      </c>
      <c r="D46" s="30">
        <v>0</v>
      </c>
      <c r="E46" s="30">
        <v>0</v>
      </c>
      <c r="F46" s="30">
        <v>0</v>
      </c>
      <c r="G46" s="31">
        <f>SUM(RI_FINANCIAL)</f>
        <v>0</v>
      </c>
      <c r="H46" s="30"/>
      <c r="I46" s="30"/>
      <c r="J46" s="30"/>
      <c r="K46" s="30"/>
      <c r="L46" s="29"/>
      <c r="M46" s="30"/>
      <c r="N46" s="30"/>
      <c r="O46" s="30"/>
      <c r="P46" s="30"/>
      <c r="Q46" s="30"/>
      <c r="R46" s="30"/>
      <c r="S46" s="30"/>
      <c r="T46" s="30"/>
      <c r="U46" s="30"/>
      <c r="V46" s="31"/>
    </row>
    <row r="47" spans="1:22">
      <c r="A47" s="1" t="s">
        <v>68</v>
      </c>
      <c r="B47" s="29">
        <v>0</v>
      </c>
      <c r="C47" s="30">
        <v>0</v>
      </c>
      <c r="D47" s="30">
        <v>0</v>
      </c>
      <c r="E47" s="30">
        <v>0</v>
      </c>
      <c r="F47" s="30">
        <v>0</v>
      </c>
      <c r="G47" s="31">
        <f>SUM(SC_FINANCIAL)</f>
        <v>0</v>
      </c>
      <c r="H47" s="30"/>
      <c r="I47" s="30"/>
      <c r="J47" s="30"/>
      <c r="K47" s="30"/>
      <c r="L47" s="29"/>
      <c r="M47" s="30"/>
      <c r="N47" s="30"/>
      <c r="O47" s="30"/>
      <c r="P47" s="30"/>
      <c r="Q47" s="30"/>
      <c r="R47" s="30"/>
      <c r="S47" s="30"/>
      <c r="T47" s="30"/>
      <c r="U47" s="30"/>
      <c r="V47" s="31"/>
    </row>
    <row r="48" spans="1:22">
      <c r="A48" s="1" t="s">
        <v>69</v>
      </c>
      <c r="B48" s="29">
        <v>0</v>
      </c>
      <c r="C48" s="30">
        <v>0</v>
      </c>
      <c r="D48" s="30">
        <v>0</v>
      </c>
      <c r="E48" s="30">
        <v>0</v>
      </c>
      <c r="F48" s="30">
        <v>0</v>
      </c>
      <c r="G48" s="31">
        <f>SUM(SD_FINANCIAL)</f>
        <v>0</v>
      </c>
      <c r="H48" s="30"/>
      <c r="I48" s="30"/>
      <c r="J48" s="30"/>
      <c r="K48" s="30"/>
      <c r="L48" s="29"/>
      <c r="M48" s="30"/>
      <c r="N48" s="30"/>
      <c r="O48" s="30"/>
      <c r="P48" s="30"/>
      <c r="Q48" s="30"/>
      <c r="R48" s="30"/>
      <c r="S48" s="30"/>
      <c r="T48" s="30"/>
      <c r="U48" s="30"/>
      <c r="V48" s="31"/>
    </row>
    <row r="49" spans="1:22">
      <c r="A49" s="1" t="s">
        <v>70</v>
      </c>
      <c r="B49" s="29">
        <v>0</v>
      </c>
      <c r="C49" s="30">
        <v>0</v>
      </c>
      <c r="D49" s="30">
        <v>0</v>
      </c>
      <c r="E49" s="30">
        <v>0</v>
      </c>
      <c r="F49" s="30">
        <v>0</v>
      </c>
      <c r="G49" s="31">
        <f>SUM(TN_FINANCIAL)</f>
        <v>0</v>
      </c>
      <c r="H49" s="30"/>
      <c r="I49" s="30"/>
      <c r="J49" s="30"/>
      <c r="K49" s="30"/>
      <c r="L49" s="29"/>
      <c r="M49" s="30"/>
      <c r="N49" s="30"/>
      <c r="O49" s="30"/>
      <c r="P49" s="30"/>
      <c r="Q49" s="30"/>
      <c r="R49" s="30"/>
      <c r="S49" s="30"/>
      <c r="T49" s="30"/>
      <c r="U49" s="30"/>
      <c r="V49" s="31"/>
    </row>
    <row r="50" spans="1:22">
      <c r="A50" s="1" t="s">
        <v>71</v>
      </c>
      <c r="B50" s="29">
        <v>0</v>
      </c>
      <c r="C50" s="30">
        <v>0</v>
      </c>
      <c r="D50" s="30">
        <v>0</v>
      </c>
      <c r="E50" s="30">
        <v>0</v>
      </c>
      <c r="F50" s="30">
        <v>0</v>
      </c>
      <c r="G50" s="31">
        <f>SUM(TX_FINANCIAL)</f>
        <v>0</v>
      </c>
      <c r="H50" s="30"/>
      <c r="I50" s="30"/>
      <c r="J50" s="30"/>
      <c r="K50" s="30"/>
      <c r="L50" s="29">
        <v>0</v>
      </c>
      <c r="M50" s="30">
        <v>170000</v>
      </c>
      <c r="N50" s="30"/>
      <c r="O50" s="30">
        <v>0</v>
      </c>
      <c r="P50" s="30">
        <v>0</v>
      </c>
      <c r="Q50" s="30"/>
      <c r="R50" s="30">
        <v>250000</v>
      </c>
      <c r="S50" s="30">
        <v>0</v>
      </c>
      <c r="T50" s="30"/>
      <c r="U50" s="30">
        <v>0</v>
      </c>
      <c r="V50" s="31">
        <v>0</v>
      </c>
    </row>
    <row r="51" spans="1:22">
      <c r="A51" s="1" t="s">
        <v>72</v>
      </c>
      <c r="B51" s="29">
        <v>0</v>
      </c>
      <c r="C51" s="30">
        <v>0</v>
      </c>
      <c r="D51" s="30">
        <v>0</v>
      </c>
      <c r="E51" s="30">
        <v>0</v>
      </c>
      <c r="F51" s="30">
        <v>0</v>
      </c>
      <c r="G51" s="31">
        <f>SUM(UT_FINANCIAL)</f>
        <v>0</v>
      </c>
      <c r="H51" s="30"/>
      <c r="I51" s="30"/>
      <c r="J51" s="30"/>
      <c r="K51" s="30"/>
      <c r="L51" s="29"/>
      <c r="M51" s="30"/>
      <c r="N51" s="30"/>
      <c r="O51" s="30"/>
      <c r="P51" s="30"/>
      <c r="Q51" s="30"/>
      <c r="R51" s="30"/>
      <c r="S51" s="30"/>
      <c r="T51" s="30"/>
      <c r="U51" s="30"/>
      <c r="V51" s="31"/>
    </row>
    <row r="52" spans="1:22">
      <c r="A52" s="1" t="s">
        <v>73</v>
      </c>
      <c r="B52" s="29">
        <v>0</v>
      </c>
      <c r="C52" s="30">
        <v>0</v>
      </c>
      <c r="D52" s="30">
        <v>0</v>
      </c>
      <c r="E52" s="30">
        <v>0</v>
      </c>
      <c r="F52" s="30">
        <v>0</v>
      </c>
      <c r="G52" s="31">
        <f>SUM(VT_FINANCIAL)</f>
        <v>0</v>
      </c>
      <c r="H52" s="30"/>
      <c r="I52" s="30"/>
      <c r="J52" s="30"/>
      <c r="K52" s="30"/>
      <c r="L52" s="29"/>
      <c r="M52" s="30"/>
      <c r="N52" s="30"/>
      <c r="O52" s="30"/>
      <c r="P52" s="30"/>
      <c r="Q52" s="30"/>
      <c r="R52" s="30"/>
      <c r="S52" s="30"/>
      <c r="T52" s="30"/>
      <c r="U52" s="30"/>
      <c r="V52" s="31"/>
    </row>
    <row r="53" spans="1:22">
      <c r="A53" s="1" t="s">
        <v>74</v>
      </c>
      <c r="B53" s="29">
        <v>0</v>
      </c>
      <c r="C53" s="30">
        <v>0</v>
      </c>
      <c r="D53" s="30">
        <v>0</v>
      </c>
      <c r="E53" s="30">
        <v>0</v>
      </c>
      <c r="F53" s="30">
        <v>0</v>
      </c>
      <c r="G53" s="31">
        <f>SUM(VA_FINANCIAL)</f>
        <v>0</v>
      </c>
      <c r="H53" s="30"/>
      <c r="I53" s="30"/>
      <c r="J53" s="30"/>
      <c r="K53" s="30"/>
      <c r="L53" s="29"/>
      <c r="M53" s="30"/>
      <c r="N53" s="30"/>
      <c r="O53" s="30"/>
      <c r="P53" s="30"/>
      <c r="Q53" s="30"/>
      <c r="R53" s="30"/>
      <c r="S53" s="30"/>
      <c r="T53" s="30"/>
      <c r="U53" s="30"/>
      <c r="V53" s="31"/>
    </row>
    <row r="54" spans="1:22">
      <c r="A54" s="1" t="s">
        <v>75</v>
      </c>
      <c r="B54" s="29">
        <v>0</v>
      </c>
      <c r="C54" s="30">
        <v>0</v>
      </c>
      <c r="D54" s="30">
        <v>0</v>
      </c>
      <c r="E54" s="30">
        <v>0</v>
      </c>
      <c r="F54" s="30">
        <v>0</v>
      </c>
      <c r="G54" s="31">
        <f>SUM(WA_FINANCIAL)</f>
        <v>0</v>
      </c>
      <c r="H54" s="30"/>
      <c r="I54" s="30"/>
      <c r="J54" s="30"/>
      <c r="K54" s="30"/>
      <c r="L54" s="29"/>
      <c r="M54" s="30"/>
      <c r="N54" s="30"/>
      <c r="O54" s="30"/>
      <c r="P54" s="30"/>
      <c r="Q54" s="30"/>
      <c r="R54" s="30"/>
      <c r="S54" s="30"/>
      <c r="T54" s="30"/>
      <c r="U54" s="30"/>
      <c r="V54" s="31"/>
    </row>
    <row r="55" spans="1:22">
      <c r="A55" s="1" t="s">
        <v>76</v>
      </c>
      <c r="B55" s="29">
        <v>0</v>
      </c>
      <c r="C55" s="30">
        <v>0</v>
      </c>
      <c r="D55" s="30">
        <v>0</v>
      </c>
      <c r="E55" s="30">
        <v>0</v>
      </c>
      <c r="F55" s="30">
        <v>0</v>
      </c>
      <c r="G55" s="31">
        <f>SUM(WV_FINANCIAL)</f>
        <v>0</v>
      </c>
      <c r="H55" s="30"/>
      <c r="I55" s="30"/>
      <c r="J55" s="30"/>
      <c r="K55" s="30"/>
      <c r="L55" s="29"/>
      <c r="M55" s="30"/>
      <c r="N55" s="30"/>
      <c r="O55" s="30"/>
      <c r="P55" s="30"/>
      <c r="Q55" s="30"/>
      <c r="R55" s="30"/>
      <c r="S55" s="30"/>
      <c r="T55" s="30"/>
      <c r="U55" s="30"/>
      <c r="V55" s="31"/>
    </row>
    <row r="56" spans="1:22">
      <c r="A56" s="1" t="s">
        <v>77</v>
      </c>
      <c r="B56" s="29">
        <v>0</v>
      </c>
      <c r="C56" s="30">
        <v>0</v>
      </c>
      <c r="D56" s="30">
        <v>0</v>
      </c>
      <c r="E56" s="30">
        <v>0</v>
      </c>
      <c r="F56" s="30">
        <v>0</v>
      </c>
      <c r="G56" s="31">
        <f>SUM(WI_FINANCIAL)</f>
        <v>0</v>
      </c>
      <c r="H56" s="30"/>
      <c r="I56" s="30"/>
      <c r="J56" s="30"/>
      <c r="K56" s="30"/>
      <c r="L56" s="29"/>
      <c r="M56" s="30"/>
      <c r="N56" s="30"/>
      <c r="O56" s="30"/>
      <c r="P56" s="30"/>
      <c r="Q56" s="30"/>
      <c r="R56" s="30"/>
      <c r="S56" s="30"/>
      <c r="T56" s="30"/>
      <c r="U56" s="30"/>
      <c r="V56" s="31"/>
    </row>
    <row r="57" spans="1:22">
      <c r="A57" s="1" t="s">
        <v>78</v>
      </c>
      <c r="B57" s="29">
        <v>0</v>
      </c>
      <c r="C57" s="30">
        <v>0</v>
      </c>
      <c r="D57" s="30">
        <v>0</v>
      </c>
      <c r="E57" s="30">
        <v>0</v>
      </c>
      <c r="F57" s="30">
        <v>0</v>
      </c>
      <c r="G57" s="31">
        <f>SUM(WY_FINANCIAL)</f>
        <v>0</v>
      </c>
      <c r="H57" s="30"/>
      <c r="I57" s="30"/>
      <c r="J57" s="30"/>
      <c r="K57" s="30"/>
      <c r="L57" s="29"/>
      <c r="M57" s="30"/>
      <c r="N57" s="30"/>
      <c r="O57" s="30"/>
      <c r="P57" s="30"/>
      <c r="Q57" s="30"/>
      <c r="R57" s="30"/>
      <c r="S57" s="30"/>
      <c r="T57" s="30"/>
      <c r="U57" s="30"/>
      <c r="V57" s="31"/>
    </row>
    <row r="58" spans="1:22">
      <c r="A58" s="1" t="s">
        <v>79</v>
      </c>
      <c r="B58" s="29">
        <v>0</v>
      </c>
      <c r="C58" s="30">
        <v>0</v>
      </c>
      <c r="D58" s="30">
        <v>0</v>
      </c>
      <c r="E58" s="30">
        <v>0</v>
      </c>
      <c r="F58" s="30">
        <v>0</v>
      </c>
      <c r="G58" s="31">
        <f>SUM(OT_FINANCIAL)</f>
        <v>0</v>
      </c>
      <c r="H58" s="30"/>
      <c r="I58" s="30"/>
      <c r="J58" s="30"/>
      <c r="K58" s="30"/>
      <c r="L58" s="29"/>
      <c r="M58" s="30"/>
      <c r="N58" s="30"/>
      <c r="O58" s="30"/>
      <c r="P58" s="30"/>
      <c r="Q58" s="30"/>
      <c r="R58" s="30"/>
      <c r="S58" s="30"/>
      <c r="T58" s="30"/>
      <c r="U58" s="30"/>
      <c r="V58" s="31"/>
    </row>
    <row r="59" spans="1:22">
      <c r="B59" s="29"/>
      <c r="C59" s="30"/>
      <c r="D59" s="30"/>
      <c r="E59" s="30"/>
      <c r="F59" s="30"/>
      <c r="G59" s="31"/>
      <c r="H59" s="30"/>
      <c r="I59" s="30"/>
      <c r="J59" s="30"/>
      <c r="K59" s="30"/>
      <c r="L59" s="29"/>
      <c r="M59" s="30"/>
      <c r="N59" s="30"/>
      <c r="O59" s="30"/>
      <c r="P59" s="30"/>
      <c r="Q59" s="30"/>
      <c r="R59" s="30"/>
      <c r="S59" s="30"/>
      <c r="T59" s="30"/>
      <c r="U59" s="30"/>
      <c r="V59" s="31"/>
    </row>
    <row r="60" spans="1:22">
      <c r="A60" s="1" t="s">
        <v>8</v>
      </c>
      <c r="B60" s="29">
        <f>SUM(LIFE)</f>
        <v>0</v>
      </c>
      <c r="C60" s="30">
        <f>SUM(ALLOCATED)</f>
        <v>0</v>
      </c>
      <c r="D60" s="30">
        <f>SUM(HEALTH)</f>
        <v>0</v>
      </c>
      <c r="E60" s="30">
        <f>SUM(UNALLOCATED)</f>
        <v>0</v>
      </c>
      <c r="F60" s="30">
        <f>SUM(LTC)</f>
        <v>0</v>
      </c>
      <c r="G60" s="31">
        <f>SUM(ALL_BLOCKS)</f>
        <v>0</v>
      </c>
      <c r="H60" s="30"/>
      <c r="I60" s="30"/>
      <c r="J60" s="30"/>
      <c r="K60" s="30"/>
      <c r="L60" s="29">
        <f>SUM(LIFE_CALLED)</f>
        <v>0</v>
      </c>
      <c r="M60" s="30">
        <f>SUM(LIFE_REFUNDED)</f>
        <v>170000</v>
      </c>
      <c r="N60" s="30"/>
      <c r="O60" s="30">
        <f>SUM(ALLOC_CALLED)</f>
        <v>0</v>
      </c>
      <c r="P60" s="30">
        <f>SUM(ALLOC_REFUNDED)</f>
        <v>0</v>
      </c>
      <c r="Q60" s="30"/>
      <c r="R60" s="30">
        <f>SUM(HEALTH_CALLED)</f>
        <v>400000</v>
      </c>
      <c r="S60" s="30">
        <f>SUM(HEALTH_REFUNDED)</f>
        <v>0</v>
      </c>
      <c r="T60" s="30"/>
      <c r="U60" s="30">
        <f>SUM(UNALLOC_CALLED)</f>
        <v>0</v>
      </c>
      <c r="V60" s="31">
        <f>SUM(UNALLOC_REFUNDED)</f>
        <v>0</v>
      </c>
    </row>
    <row r="61" spans="1:22" ht="5.0999999999999996" customHeight="1">
      <c r="B61" s="8"/>
      <c r="G61" s="11"/>
      <c r="L61" s="8"/>
      <c r="V61" s="11"/>
    </row>
    <row r="62" spans="1:22">
      <c r="B62" s="8"/>
      <c r="G62" s="11"/>
      <c r="L62" s="122" t="s">
        <v>80</v>
      </c>
      <c r="M62" s="123"/>
      <c r="N62" s="123"/>
      <c r="O62" s="123"/>
      <c r="P62" s="123"/>
      <c r="Q62" s="123"/>
      <c r="R62" s="123"/>
      <c r="S62" s="123"/>
      <c r="T62" s="123"/>
      <c r="U62" s="123"/>
      <c r="V62" s="124"/>
    </row>
    <row r="63" spans="1:22">
      <c r="B63" s="8"/>
      <c r="G63" s="11"/>
      <c r="L63" s="125"/>
      <c r="M63" s="123"/>
      <c r="N63" s="123"/>
      <c r="O63" s="123"/>
      <c r="P63" s="123"/>
      <c r="Q63" s="123"/>
      <c r="R63" s="123"/>
      <c r="S63" s="123"/>
      <c r="T63" s="123"/>
      <c r="U63" s="123"/>
      <c r="V63" s="124"/>
    </row>
    <row r="64" spans="1:22">
      <c r="B64" s="10"/>
      <c r="C64" s="7"/>
      <c r="D64" s="7"/>
      <c r="E64" s="7"/>
      <c r="F64" s="7"/>
      <c r="G64" s="13"/>
      <c r="L64" s="126"/>
      <c r="M64" s="127"/>
      <c r="N64" s="127"/>
      <c r="O64" s="127"/>
      <c r="P64" s="127"/>
      <c r="Q64" s="127"/>
      <c r="R64" s="127"/>
      <c r="S64" s="127"/>
      <c r="T64" s="127"/>
      <c r="U64" s="127"/>
      <c r="V64" s="128"/>
    </row>
  </sheetData>
  <mergeCells count="8">
    <mergeCell ref="L62:V64"/>
    <mergeCell ref="A1:G1"/>
    <mergeCell ref="B3:G3"/>
    <mergeCell ref="L3:V3"/>
    <mergeCell ref="L4:M4"/>
    <mergeCell ref="O4:P4"/>
    <mergeCell ref="R4:S4"/>
    <mergeCell ref="U4:V4"/>
  </mergeCells>
  <pageMargins left="0.25" right="0.25" top="0.5" bottom="0.5" header="0.3" footer="0.3"/>
  <pageSetup paperSize="5" scale="55"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AC121"/>
  <sheetViews>
    <sheetView zoomScale="75" workbookViewId="0">
      <pane xSplit="4" ySplit="6" topLeftCell="E23" activePane="bottomRight" state="frozen"/>
      <selection sqref="A1:XFD1048576"/>
      <selection pane="topRight" sqref="A1:XFD1048576"/>
      <selection pane="bottomLeft" sqref="A1:XFD1048576"/>
      <selection pane="bottomRight" activeCell="E30" sqref="E30"/>
    </sheetView>
  </sheetViews>
  <sheetFormatPr defaultRowHeight="15"/>
  <cols>
    <col min="1" max="1" width="1.7109375" style="1" customWidth="1"/>
    <col min="2" max="2" width="45" style="1" customWidth="1"/>
    <col min="3" max="3" width="8" style="1" customWidth="1"/>
    <col min="4" max="4" width="10" style="1" customWidth="1"/>
    <col min="5" max="13" width="15" style="1" customWidth="1"/>
    <col min="14" max="14" width="1.7109375" style="1" customWidth="1"/>
    <col min="15" max="16" width="15" style="1" customWidth="1"/>
    <col min="17" max="18" width="1" style="1" customWidth="1"/>
    <col min="19" max="20" width="15" style="1" customWidth="1"/>
    <col min="21" max="21" width="1" style="1" customWidth="1"/>
    <col min="22" max="23" width="15" style="1" customWidth="1"/>
    <col min="24" max="24" width="1" style="1" customWidth="1"/>
    <col min="25" max="26" width="15" style="1" customWidth="1"/>
    <col min="27" max="27" width="1" style="1" customWidth="1"/>
    <col min="28" max="29" width="15" style="1" customWidth="1"/>
    <col min="30" max="30" width="9.140625" style="1" customWidth="1"/>
    <col min="31" max="16384" width="9.140625" style="1"/>
  </cols>
  <sheetData>
    <row r="1" spans="1:29" ht="15.75" thickBot="1"/>
    <row r="2" spans="1:29">
      <c r="A2" s="2"/>
      <c r="B2" s="130" t="s">
        <v>1</v>
      </c>
      <c r="C2" s="131"/>
      <c r="D2" s="131"/>
      <c r="E2" s="131"/>
      <c r="F2" s="131"/>
      <c r="G2" s="131"/>
      <c r="H2" s="131"/>
      <c r="I2" s="131"/>
      <c r="J2" s="131"/>
      <c r="K2" s="131"/>
      <c r="L2" s="131"/>
      <c r="M2" s="131"/>
      <c r="N2" s="131"/>
      <c r="O2" s="131"/>
      <c r="P2" s="132"/>
      <c r="Q2" s="2"/>
      <c r="R2" s="2"/>
      <c r="S2" s="130" t="s">
        <v>2</v>
      </c>
      <c r="T2" s="131"/>
      <c r="U2" s="131"/>
      <c r="V2" s="131"/>
      <c r="W2" s="131"/>
      <c r="X2" s="131"/>
      <c r="Y2" s="131"/>
      <c r="Z2" s="131"/>
      <c r="AA2" s="131"/>
      <c r="AB2" s="131"/>
      <c r="AC2" s="132"/>
    </row>
    <row r="3" spans="1:29">
      <c r="A3" s="2"/>
      <c r="B3" s="18"/>
      <c r="C3" s="2"/>
      <c r="D3" s="2"/>
      <c r="E3" s="2"/>
      <c r="F3" s="2"/>
      <c r="G3" s="2"/>
      <c r="H3" s="2"/>
      <c r="I3" s="2"/>
      <c r="J3" s="2"/>
      <c r="K3" s="2"/>
      <c r="L3" s="2"/>
      <c r="M3" s="2"/>
      <c r="N3" s="2"/>
      <c r="O3" s="2"/>
      <c r="P3" s="20"/>
      <c r="Q3" s="2"/>
      <c r="R3" s="2"/>
      <c r="S3" s="140" t="s">
        <v>3</v>
      </c>
      <c r="T3" s="141"/>
      <c r="U3" s="2"/>
      <c r="V3" s="141" t="s">
        <v>4</v>
      </c>
      <c r="W3" s="141"/>
      <c r="X3" s="2"/>
      <c r="Y3" s="141" t="s">
        <v>5</v>
      </c>
      <c r="Z3" s="141"/>
      <c r="AA3" s="2"/>
      <c r="AB3" s="141" t="s">
        <v>6</v>
      </c>
      <c r="AC3" s="142"/>
    </row>
    <row r="4" spans="1:29" ht="45" customHeight="1" thickBot="1">
      <c r="A4" s="2"/>
      <c r="B4" s="19"/>
      <c r="C4" s="17" t="s">
        <v>171</v>
      </c>
      <c r="D4" s="17" t="s">
        <v>172</v>
      </c>
      <c r="E4" s="17" t="s">
        <v>173</v>
      </c>
      <c r="F4" s="17" t="s">
        <v>174</v>
      </c>
      <c r="G4" s="17" t="s">
        <v>175</v>
      </c>
      <c r="H4" s="17" t="s">
        <v>3</v>
      </c>
      <c r="I4" s="17" t="s">
        <v>4</v>
      </c>
      <c r="J4" s="17" t="s">
        <v>5</v>
      </c>
      <c r="K4" s="17" t="s">
        <v>6</v>
      </c>
      <c r="L4" s="17" t="s">
        <v>7</v>
      </c>
      <c r="M4" s="17" t="s">
        <v>176</v>
      </c>
      <c r="N4" s="17"/>
      <c r="O4" s="17" t="s">
        <v>177</v>
      </c>
      <c r="P4" s="21" t="s">
        <v>178</v>
      </c>
      <c r="Q4" s="2"/>
      <c r="R4" s="2"/>
      <c r="S4" s="19" t="s">
        <v>9</v>
      </c>
      <c r="T4" s="17" t="s">
        <v>10</v>
      </c>
      <c r="U4" s="17"/>
      <c r="V4" s="17" t="s">
        <v>9</v>
      </c>
      <c r="W4" s="17" t="s">
        <v>10</v>
      </c>
      <c r="X4" s="17"/>
      <c r="Y4" s="17" t="s">
        <v>9</v>
      </c>
      <c r="Z4" s="17" t="s">
        <v>10</v>
      </c>
      <c r="AA4" s="17"/>
      <c r="AB4" s="17" t="s">
        <v>9</v>
      </c>
      <c r="AC4" s="21" t="s">
        <v>10</v>
      </c>
    </row>
    <row r="5" spans="1:29">
      <c r="B5" s="23" t="s">
        <v>179</v>
      </c>
      <c r="C5" s="6"/>
      <c r="D5" s="6"/>
      <c r="E5" s="6"/>
      <c r="F5" s="6"/>
      <c r="G5" s="6"/>
      <c r="H5" s="22"/>
      <c r="I5" s="22"/>
      <c r="J5" s="22"/>
      <c r="K5" s="22"/>
      <c r="L5" s="22"/>
      <c r="M5" s="22"/>
      <c r="N5" s="24"/>
      <c r="O5" s="25"/>
      <c r="P5" s="24"/>
      <c r="S5" s="25"/>
      <c r="T5" s="22"/>
      <c r="U5" s="22"/>
      <c r="V5" s="22"/>
      <c r="W5" s="22"/>
      <c r="X5" s="22"/>
      <c r="Y5" s="22"/>
      <c r="Z5" s="22"/>
      <c r="AA5" s="22"/>
      <c r="AB5" s="22"/>
      <c r="AC5" s="24"/>
    </row>
    <row r="6" spans="1:29" ht="6.95" customHeight="1">
      <c r="B6" s="8"/>
      <c r="C6" s="2"/>
      <c r="D6" s="2"/>
      <c r="E6" s="2"/>
      <c r="F6" s="2"/>
      <c r="G6" s="2"/>
      <c r="N6" s="11"/>
      <c r="O6" s="8"/>
      <c r="P6" s="11"/>
      <c r="S6" s="8"/>
      <c r="AC6" s="11"/>
    </row>
    <row r="7" spans="1:29">
      <c r="B7" s="8" t="s">
        <v>180</v>
      </c>
      <c r="C7" s="2" t="s">
        <v>181</v>
      </c>
      <c r="D7" s="2" t="s">
        <v>182</v>
      </c>
      <c r="E7" s="2" t="s">
        <v>183</v>
      </c>
      <c r="F7" s="2"/>
      <c r="G7" s="2"/>
      <c r="H7" s="30">
        <f>SUM('Monarch Life'!LIFE)</f>
        <v>210029.4333002269</v>
      </c>
      <c r="I7" s="30">
        <f>SUM('Monarch Life'!ALLOCATED)</f>
        <v>93116.427799362893</v>
      </c>
      <c r="J7" s="30">
        <f>SUM('Monarch Life'!HEALTH)</f>
        <v>206891.27890041014</v>
      </c>
      <c r="K7" s="30">
        <f>SUM('Monarch Life'!UNALLOCATED)</f>
        <v>0</v>
      </c>
      <c r="L7" s="30">
        <f>SUM('Monarch Life'!LTC)</f>
        <v>0</v>
      </c>
      <c r="M7" s="30">
        <f>SUM(H7:L7)</f>
        <v>510037.1399999999</v>
      </c>
      <c r="N7" s="31"/>
      <c r="O7" s="29">
        <v>510037.13999999984</v>
      </c>
      <c r="P7" s="31">
        <f>+M7-O7</f>
        <v>0</v>
      </c>
      <c r="Q7" s="30"/>
      <c r="R7" s="30"/>
      <c r="S7" s="29">
        <f>SUM('Monarch Life'!LIFE_CALLED)</f>
        <v>5138</v>
      </c>
      <c r="T7" s="30">
        <f>SUM('Monarch Life'!LIFE_REFUNDED)</f>
        <v>490</v>
      </c>
      <c r="U7" s="30"/>
      <c r="V7" s="30">
        <f>SUM('Monarch Life'!ALLOC_CALLED)</f>
        <v>228</v>
      </c>
      <c r="W7" s="30">
        <f>SUM('Monarch Life'!ALLOC_REFUNDED)</f>
        <v>0</v>
      </c>
      <c r="X7" s="30"/>
      <c r="Y7" s="30">
        <f>SUM('Monarch Life'!HEALTH_CALLED)</f>
        <v>304</v>
      </c>
      <c r="Z7" s="30">
        <f>SUM('Monarch Life'!HEALTH_REFUNDED)</f>
        <v>0</v>
      </c>
      <c r="AA7" s="30"/>
      <c r="AB7" s="30">
        <f>SUM('Monarch Life'!UNALLOC_CALLED)</f>
        <v>0</v>
      </c>
      <c r="AC7" s="31">
        <f>SUM('Monarch Life'!UNALLOC_REFUNDED)</f>
        <v>0</v>
      </c>
    </row>
    <row r="8" spans="1:29" ht="6.95" customHeight="1" thickBot="1">
      <c r="B8" s="10"/>
      <c r="C8" s="17"/>
      <c r="D8" s="17"/>
      <c r="E8" s="17"/>
      <c r="F8" s="17"/>
      <c r="G8" s="17"/>
      <c r="H8" s="38"/>
      <c r="I8" s="38"/>
      <c r="J8" s="38"/>
      <c r="K8" s="38"/>
      <c r="L8" s="38"/>
      <c r="M8" s="38"/>
      <c r="N8" s="39"/>
      <c r="O8" s="40"/>
      <c r="P8" s="39"/>
      <c r="Q8" s="30"/>
      <c r="R8" s="30"/>
      <c r="S8" s="40"/>
      <c r="T8" s="38"/>
      <c r="U8" s="38"/>
      <c r="V8" s="38"/>
      <c r="W8" s="38"/>
      <c r="X8" s="38"/>
      <c r="Y8" s="38"/>
      <c r="Z8" s="38"/>
      <c r="AA8" s="38"/>
      <c r="AB8" s="38"/>
      <c r="AC8" s="39"/>
    </row>
    <row r="9" spans="1:29" ht="15.75" thickBot="1">
      <c r="B9" s="27" t="s">
        <v>184</v>
      </c>
      <c r="C9" s="28"/>
      <c r="D9" s="28"/>
      <c r="E9" s="28"/>
      <c r="F9" s="28"/>
      <c r="G9" s="28"/>
      <c r="H9" s="41">
        <f>SUM(PL_LIFE)</f>
        <v>210029.4333002269</v>
      </c>
      <c r="I9" s="41">
        <f>SUM(PL_ALLOCATED)</f>
        <v>93116.427799362893</v>
      </c>
      <c r="J9" s="41">
        <f>SUM(PL_HEALTH)</f>
        <v>206891.27890041014</v>
      </c>
      <c r="K9" s="41">
        <f>SUM(PL_UNALLOCATED)</f>
        <v>0</v>
      </c>
      <c r="L9" s="41">
        <f>SUM(PL_LTC)</f>
        <v>0</v>
      </c>
      <c r="M9" s="41">
        <f>SUM(PL_TOTAL)</f>
        <v>510037.1399999999</v>
      </c>
      <c r="N9" s="42"/>
      <c r="O9" s="43">
        <f>SUM(PL_TOTAL_PREV)</f>
        <v>510037.13999999984</v>
      </c>
      <c r="P9" s="42">
        <f>SUM(PL_CHANGE)</f>
        <v>0</v>
      </c>
      <c r="Q9" s="30"/>
      <c r="R9" s="30"/>
      <c r="S9" s="43">
        <f>SUM(PL_LIFE_CALLED)</f>
        <v>5138</v>
      </c>
      <c r="T9" s="41">
        <f>SUM(PL_LIFE_REFUNDED)</f>
        <v>490</v>
      </c>
      <c r="U9" s="41"/>
      <c r="V9" s="41">
        <f>SUM(PL_ALLOC_CALLED)</f>
        <v>228</v>
      </c>
      <c r="W9" s="41">
        <f>SUM(PL_ALLOC_REFUNDED)</f>
        <v>0</v>
      </c>
      <c r="X9" s="41"/>
      <c r="Y9" s="41">
        <f>SUM(PL_HEALTH_CALLED)</f>
        <v>304</v>
      </c>
      <c r="Z9" s="41">
        <f>SUM(PL_HEALTH_REFUNDED)</f>
        <v>0</v>
      </c>
      <c r="AA9" s="41"/>
      <c r="AB9" s="41">
        <f>SUM(PL_UNALLOC_CALLED)</f>
        <v>0</v>
      </c>
      <c r="AC9" s="42">
        <f>SUM(PL_UNALLOC_REFUNDED)</f>
        <v>0</v>
      </c>
    </row>
    <row r="10" spans="1:29" ht="15.75" thickBot="1">
      <c r="C10" s="2"/>
      <c r="D10" s="2"/>
      <c r="E10" s="2"/>
      <c r="F10" s="2"/>
      <c r="G10" s="2"/>
      <c r="H10" s="30"/>
      <c r="I10" s="30"/>
      <c r="J10" s="30"/>
      <c r="K10" s="30"/>
      <c r="L10" s="30"/>
      <c r="M10" s="30"/>
      <c r="N10" s="30"/>
      <c r="O10" s="30"/>
      <c r="P10" s="30"/>
      <c r="Q10" s="30"/>
      <c r="R10" s="30"/>
      <c r="S10" s="30"/>
      <c r="T10" s="30"/>
      <c r="U10" s="30"/>
      <c r="V10" s="30"/>
      <c r="W10" s="30"/>
      <c r="X10" s="30"/>
      <c r="Y10" s="30"/>
      <c r="Z10" s="30"/>
      <c r="AA10" s="30"/>
      <c r="AB10" s="30"/>
      <c r="AC10" s="30"/>
    </row>
    <row r="11" spans="1:29">
      <c r="B11" s="23" t="s">
        <v>185</v>
      </c>
      <c r="C11" s="6"/>
      <c r="D11" s="6"/>
      <c r="E11" s="6"/>
      <c r="F11" s="6"/>
      <c r="G11" s="6"/>
      <c r="H11" s="44"/>
      <c r="I11" s="44"/>
      <c r="J11" s="44"/>
      <c r="K11" s="44"/>
      <c r="L11" s="44"/>
      <c r="M11" s="44"/>
      <c r="N11" s="45"/>
      <c r="O11" s="46"/>
      <c r="P11" s="45"/>
      <c r="Q11" s="30"/>
      <c r="R11" s="30"/>
      <c r="S11" s="46"/>
      <c r="T11" s="44"/>
      <c r="U11" s="44"/>
      <c r="V11" s="44"/>
      <c r="W11" s="44"/>
      <c r="X11" s="44"/>
      <c r="Y11" s="44"/>
      <c r="Z11" s="44"/>
      <c r="AA11" s="44"/>
      <c r="AB11" s="44"/>
      <c r="AC11" s="45"/>
    </row>
    <row r="12" spans="1:29" ht="6.95" customHeight="1">
      <c r="B12" s="8"/>
      <c r="C12" s="2"/>
      <c r="D12" s="2"/>
      <c r="E12" s="2"/>
      <c r="F12" s="2"/>
      <c r="G12" s="2"/>
      <c r="H12" s="30"/>
      <c r="I12" s="30"/>
      <c r="J12" s="30"/>
      <c r="K12" s="30"/>
      <c r="L12" s="30"/>
      <c r="M12" s="30"/>
      <c r="N12" s="31"/>
      <c r="O12" s="29"/>
      <c r="P12" s="31"/>
      <c r="Q12" s="30"/>
      <c r="R12" s="30"/>
      <c r="S12" s="29"/>
      <c r="T12" s="30"/>
      <c r="U12" s="30"/>
      <c r="V12" s="30"/>
      <c r="W12" s="30"/>
      <c r="X12" s="30"/>
      <c r="Y12" s="30"/>
      <c r="Z12" s="30"/>
      <c r="AA12" s="30"/>
      <c r="AB12" s="30"/>
      <c r="AC12" s="31"/>
    </row>
    <row r="13" spans="1:29">
      <c r="B13" s="8" t="s">
        <v>186</v>
      </c>
      <c r="C13" s="2" t="s">
        <v>187</v>
      </c>
      <c r="D13" s="2" t="s">
        <v>188</v>
      </c>
      <c r="E13" s="2" t="s">
        <v>189</v>
      </c>
      <c r="F13" s="2" t="s">
        <v>190</v>
      </c>
      <c r="G13" s="2"/>
      <c r="H13" s="30">
        <f>SUM('American Network'!LIFE)</f>
        <v>0</v>
      </c>
      <c r="I13" s="30">
        <f>SUM('American Network'!ALLOCATED)</f>
        <v>0</v>
      </c>
      <c r="J13" s="30">
        <f>SUM('American Network'!HEALTH)</f>
        <v>306082298.14412159</v>
      </c>
      <c r="K13" s="30">
        <f>SUM('American Network'!UNALLOCATED)</f>
        <v>0</v>
      </c>
      <c r="L13" s="30">
        <f>SUM('American Network'!LTC)</f>
        <v>0</v>
      </c>
      <c r="M13" s="30">
        <f t="shared" ref="M13:M19" si="0">SUM(H13:L13)</f>
        <v>306082298.14412159</v>
      </c>
      <c r="N13" s="31"/>
      <c r="O13" s="29">
        <v>304638845.14652848</v>
      </c>
      <c r="P13" s="31">
        <f t="shared" ref="P13:P19" si="1">+M13-O13</f>
        <v>1443452.9975931048</v>
      </c>
      <c r="Q13" s="30"/>
      <c r="R13" s="30"/>
      <c r="S13" s="29">
        <f>SUM('American Network'!LIFE_CALLED)</f>
        <v>0</v>
      </c>
      <c r="T13" s="30">
        <f>SUM('American Network'!LIFE_REFUNDED)</f>
        <v>0</v>
      </c>
      <c r="U13" s="30"/>
      <c r="V13" s="30">
        <f>SUM('American Network'!ALLOC_CALLED)</f>
        <v>0</v>
      </c>
      <c r="W13" s="30">
        <f>SUM('American Network'!ALLOC_REFUNDED)</f>
        <v>0</v>
      </c>
      <c r="X13" s="30"/>
      <c r="Y13" s="30">
        <f>SUM('American Network'!HEALTH_CALLED)</f>
        <v>189339223</v>
      </c>
      <c r="Z13" s="30">
        <f>SUM('American Network'!HEALTH_REFUNDED)</f>
        <v>7752</v>
      </c>
      <c r="AA13" s="30"/>
      <c r="AB13" s="30">
        <f>SUM('American Network'!UNALLOC_CALLED)</f>
        <v>0</v>
      </c>
      <c r="AC13" s="31">
        <f>SUM('American Network'!UNALLOC_REFUNDED)</f>
        <v>0</v>
      </c>
    </row>
    <row r="14" spans="1:29">
      <c r="B14" s="8" t="s">
        <v>191</v>
      </c>
      <c r="C14" s="2" t="s">
        <v>192</v>
      </c>
      <c r="D14" s="2" t="s">
        <v>193</v>
      </c>
      <c r="E14" s="2" t="s">
        <v>194</v>
      </c>
      <c r="F14" s="2" t="s">
        <v>195</v>
      </c>
      <c r="G14" s="2"/>
      <c r="H14" s="30">
        <f>SUM('Executive Life'!LIFE)</f>
        <v>1154877496.456502</v>
      </c>
      <c r="I14" s="30">
        <f>SUM('Executive Life'!ALLOCATED)</f>
        <v>1669475587.7439497</v>
      </c>
      <c r="J14" s="30">
        <f>SUM('Executive Life'!HEALTH)</f>
        <v>0</v>
      </c>
      <c r="K14" s="30">
        <f>SUM('Executive Life'!UNALLOCATED)</f>
        <v>31872071.713030674</v>
      </c>
      <c r="L14" s="30">
        <f>SUM('Executive Life'!LTC)</f>
        <v>0</v>
      </c>
      <c r="M14" s="30">
        <f t="shared" si="0"/>
        <v>2856225155.9134827</v>
      </c>
      <c r="N14" s="31"/>
      <c r="O14" s="29">
        <v>2856394644.1449766</v>
      </c>
      <c r="P14" s="31">
        <f t="shared" si="1"/>
        <v>-169488.23149394989</v>
      </c>
      <c r="Q14" s="30"/>
      <c r="R14" s="30"/>
      <c r="S14" s="29">
        <f>SUM('Executive Life'!LIFE_CALLED)</f>
        <v>1113947619</v>
      </c>
      <c r="T14" s="30">
        <f>SUM('Executive Life'!LIFE_REFUNDED)</f>
        <v>2000065</v>
      </c>
      <c r="U14" s="30"/>
      <c r="V14" s="30">
        <f>SUM('Executive Life'!ALLOC_CALLED)</f>
        <v>1537640900</v>
      </c>
      <c r="W14" s="30">
        <f>SUM('Executive Life'!ALLOC_REFUNDED)</f>
        <v>55463161.450000003</v>
      </c>
      <c r="X14" s="30"/>
      <c r="Y14" s="30">
        <f>SUM('Executive Life'!HEALTH_CALLED)</f>
        <v>590625</v>
      </c>
      <c r="Z14" s="30">
        <f>SUM('Executive Life'!HEALTH_REFUNDED)</f>
        <v>0</v>
      </c>
      <c r="AA14" s="30"/>
      <c r="AB14" s="30">
        <f>SUM('Executive Life'!UNALLOC_CALLED)</f>
        <v>42365781</v>
      </c>
      <c r="AC14" s="31">
        <f>SUM('Executive Life'!UNALLOC_REFUNDED)</f>
        <v>23169526.82</v>
      </c>
    </row>
    <row r="15" spans="1:29">
      <c r="B15" s="8" t="s">
        <v>196</v>
      </c>
      <c r="C15" s="2" t="s">
        <v>197</v>
      </c>
      <c r="D15" s="2" t="s">
        <v>188</v>
      </c>
      <c r="E15" s="2"/>
      <c r="F15" s="2" t="s">
        <v>198</v>
      </c>
      <c r="G15" s="2" t="s">
        <v>199</v>
      </c>
      <c r="H15" s="30">
        <f>SUM('Life Health America'!LIFE)</f>
        <v>580607.19773931266</v>
      </c>
      <c r="I15" s="30">
        <f>SUM('Life Health America'!ALLOCATED)</f>
        <v>0</v>
      </c>
      <c r="J15" s="30">
        <f>SUM('Life Health America'!HEALTH)</f>
        <v>36919574.772377163</v>
      </c>
      <c r="K15" s="30">
        <f>SUM('Life Health America'!UNALLOCATED)</f>
        <v>0</v>
      </c>
      <c r="L15" s="30">
        <f>SUM('Life Health America'!LTC)</f>
        <v>0</v>
      </c>
      <c r="M15" s="30">
        <f t="shared" si="0"/>
        <v>37500181.970116474</v>
      </c>
      <c r="N15" s="31"/>
      <c r="O15" s="29">
        <v>37357151.630116478</v>
      </c>
      <c r="P15" s="31">
        <f t="shared" si="1"/>
        <v>143030.33999999613</v>
      </c>
      <c r="Q15" s="30"/>
      <c r="R15" s="30"/>
      <c r="S15" s="29">
        <f>SUM('Life Health America'!LIFE_CALLED)</f>
        <v>307961</v>
      </c>
      <c r="T15" s="30">
        <f>SUM('Life Health America'!LIFE_REFUNDED)</f>
        <v>0</v>
      </c>
      <c r="U15" s="30"/>
      <c r="V15" s="30">
        <f>SUM('Life Health America'!ALLOC_CALLED)</f>
        <v>529</v>
      </c>
      <c r="W15" s="30">
        <f>SUM('Life Health America'!ALLOC_REFUNDED)</f>
        <v>0</v>
      </c>
      <c r="X15" s="30"/>
      <c r="Y15" s="30">
        <f>SUM('Life Health America'!HEALTH_CALLED)</f>
        <v>26043714</v>
      </c>
      <c r="Z15" s="30">
        <f>SUM('Life Health America'!HEALTH_REFUNDED)</f>
        <v>1100000</v>
      </c>
      <c r="AA15" s="30"/>
      <c r="AB15" s="30">
        <f>SUM('Life Health America'!UNALLOC_CALLED)</f>
        <v>0</v>
      </c>
      <c r="AC15" s="31">
        <f>SUM('Life Health America'!UNALLOC_REFUNDED)</f>
        <v>0</v>
      </c>
    </row>
    <row r="16" spans="1:29">
      <c r="B16" s="8" t="s">
        <v>200</v>
      </c>
      <c r="C16" s="2" t="s">
        <v>201</v>
      </c>
      <c r="D16" s="2" t="s">
        <v>202</v>
      </c>
      <c r="E16" s="2" t="s">
        <v>203</v>
      </c>
      <c r="F16" s="2" t="s">
        <v>204</v>
      </c>
      <c r="G16" s="2"/>
      <c r="H16" s="30">
        <f>SUM('Lincoln Memorial'!LIFE)</f>
        <v>215815830.29157647</v>
      </c>
      <c r="I16" s="30">
        <f>SUM('Lincoln Memorial'!ALLOCATED)</f>
        <v>298830.28304360312</v>
      </c>
      <c r="J16" s="30">
        <f>SUM('Lincoln Memorial'!HEALTH)</f>
        <v>0</v>
      </c>
      <c r="K16" s="30">
        <f>SUM('Lincoln Memorial'!UNALLOCATED)</f>
        <v>0</v>
      </c>
      <c r="L16" s="30">
        <f>SUM('Lincoln Memorial'!LTC)</f>
        <v>0</v>
      </c>
      <c r="M16" s="30">
        <f t="shared" si="0"/>
        <v>216114660.57462007</v>
      </c>
      <c r="N16" s="31"/>
      <c r="O16" s="29">
        <v>290787388.05699134</v>
      </c>
      <c r="P16" s="31">
        <f t="shared" si="1"/>
        <v>-74672727.482371271</v>
      </c>
      <c r="Q16" s="30"/>
      <c r="R16" s="30"/>
      <c r="S16" s="29">
        <f>SUM('Lincoln Memorial'!LIFE_CALLED)</f>
        <v>269790522</v>
      </c>
      <c r="T16" s="30">
        <f>SUM('Lincoln Memorial'!LIFE_REFUNDED)</f>
        <v>0</v>
      </c>
      <c r="U16" s="30"/>
      <c r="V16" s="30">
        <f>SUM('Lincoln Memorial'!ALLOC_CALLED)</f>
        <v>600000</v>
      </c>
      <c r="W16" s="30">
        <f>SUM('Lincoln Memorial'!ALLOC_REFUNDED)</f>
        <v>0</v>
      </c>
      <c r="X16" s="30"/>
      <c r="Y16" s="30">
        <f>SUM('Lincoln Memorial'!HEALTH_CALLED)</f>
        <v>0</v>
      </c>
      <c r="Z16" s="30">
        <f>SUM('Lincoln Memorial'!HEALTH_REFUNDED)</f>
        <v>0</v>
      </c>
      <c r="AA16" s="30"/>
      <c r="AB16" s="30">
        <f>SUM('Lincoln Memorial'!UNALLOC_CALLED)</f>
        <v>0</v>
      </c>
      <c r="AC16" s="31">
        <f>SUM('Lincoln Memorial'!UNALLOC_REFUNDED)</f>
        <v>0</v>
      </c>
    </row>
    <row r="17" spans="2:29">
      <c r="B17" s="8" t="s">
        <v>205</v>
      </c>
      <c r="C17" s="2" t="s">
        <v>206</v>
      </c>
      <c r="D17" s="2" t="s">
        <v>207</v>
      </c>
      <c r="E17" s="2" t="s">
        <v>208</v>
      </c>
      <c r="F17" s="2" t="s">
        <v>209</v>
      </c>
      <c r="G17" s="2"/>
      <c r="H17" s="30">
        <f>SUM('National States'!LIFE)</f>
        <v>3829120.9257197981</v>
      </c>
      <c r="I17" s="30">
        <f>SUM('National States'!ALLOCATED)</f>
        <v>0</v>
      </c>
      <c r="J17" s="30">
        <f>SUM('National States'!HEALTH)</f>
        <v>128272114.19233982</v>
      </c>
      <c r="K17" s="30">
        <f>SUM('National States'!UNALLOCATED)</f>
        <v>0</v>
      </c>
      <c r="L17" s="30">
        <f>SUM('National States'!LTC)</f>
        <v>0</v>
      </c>
      <c r="M17" s="30">
        <f t="shared" si="0"/>
        <v>132101235.11805962</v>
      </c>
      <c r="N17" s="31"/>
      <c r="O17" s="29">
        <v>140646448.81444559</v>
      </c>
      <c r="P17" s="31">
        <f t="shared" si="1"/>
        <v>-8545213.6963859648</v>
      </c>
      <c r="Q17" s="30"/>
      <c r="R17" s="30"/>
      <c r="S17" s="29">
        <f>SUM('National States'!LIFE_CALLED)</f>
        <v>1237578</v>
      </c>
      <c r="T17" s="30">
        <f>SUM('National States'!LIFE_REFUNDED)</f>
        <v>0</v>
      </c>
      <c r="U17" s="30"/>
      <c r="V17" s="30">
        <f>SUM('National States'!ALLOC_CALLED)</f>
        <v>265000</v>
      </c>
      <c r="W17" s="30">
        <f>SUM('National States'!ALLOC_REFUNDED)</f>
        <v>0</v>
      </c>
      <c r="X17" s="30"/>
      <c r="Y17" s="30">
        <f>SUM('National States'!HEALTH_CALLED)</f>
        <v>96326447</v>
      </c>
      <c r="Z17" s="30">
        <f>SUM('National States'!HEALTH_REFUNDED)</f>
        <v>0</v>
      </c>
      <c r="AA17" s="30"/>
      <c r="AB17" s="30">
        <f>SUM('National States'!UNALLOC_CALLED)</f>
        <v>0</v>
      </c>
      <c r="AC17" s="31">
        <f>SUM('National States'!UNALLOC_REFUNDED)</f>
        <v>0</v>
      </c>
    </row>
    <row r="18" spans="2:29">
      <c r="B18" s="8" t="s">
        <v>210</v>
      </c>
      <c r="C18" s="2" t="s">
        <v>211</v>
      </c>
      <c r="D18" s="2" t="s">
        <v>188</v>
      </c>
      <c r="E18" s="2" t="s">
        <v>189</v>
      </c>
      <c r="F18" s="2" t="s">
        <v>190</v>
      </c>
      <c r="G18" s="2"/>
      <c r="H18" s="30">
        <f>SUM('Pen  Treaty'!LIFE)</f>
        <v>0</v>
      </c>
      <c r="I18" s="30">
        <f>SUM('Pen  Treaty'!ALLOCATED)</f>
        <v>0</v>
      </c>
      <c r="J18" s="30">
        <f>SUM('Pen  Treaty'!HEALTH)</f>
        <v>2451190119.3384461</v>
      </c>
      <c r="K18" s="30">
        <f>SUM('Pen  Treaty'!UNALLOCATED)</f>
        <v>0</v>
      </c>
      <c r="L18" s="30">
        <f>SUM('Pen  Treaty'!LTC)</f>
        <v>0</v>
      </c>
      <c r="M18" s="30">
        <f t="shared" si="0"/>
        <v>2451190119.3384461</v>
      </c>
      <c r="N18" s="31"/>
      <c r="O18" s="29">
        <v>2447356005.9923539</v>
      </c>
      <c r="P18" s="31">
        <f t="shared" si="1"/>
        <v>3834113.3460922241</v>
      </c>
      <c r="Q18" s="30"/>
      <c r="R18" s="30"/>
      <c r="S18" s="29">
        <f>SUM('Pen  Treaty'!LIFE_CALLED)</f>
        <v>0</v>
      </c>
      <c r="T18" s="30">
        <f>SUM('Pen  Treaty'!LIFE_REFUNDED)</f>
        <v>0</v>
      </c>
      <c r="U18" s="30"/>
      <c r="V18" s="30">
        <f>SUM('Pen  Treaty'!ALLOC_CALLED)</f>
        <v>0</v>
      </c>
      <c r="W18" s="30">
        <f>SUM('Pen  Treaty'!ALLOC_REFUNDED)</f>
        <v>0</v>
      </c>
      <c r="X18" s="30"/>
      <c r="Y18" s="30">
        <f>SUM('Pen  Treaty'!HEALTH_CALLED)</f>
        <v>2006125296</v>
      </c>
      <c r="Z18" s="30">
        <f>SUM('Pen  Treaty'!HEALTH_REFUNDED)</f>
        <v>21747942</v>
      </c>
      <c r="AA18" s="30"/>
      <c r="AB18" s="30">
        <f>SUM('Pen  Treaty'!UNALLOC_CALLED)</f>
        <v>0</v>
      </c>
      <c r="AC18" s="31">
        <f>SUM('Pen  Treaty'!UNALLOC_REFUNDED)</f>
        <v>0</v>
      </c>
    </row>
    <row r="19" spans="2:29">
      <c r="B19" s="8" t="s">
        <v>212</v>
      </c>
      <c r="C19" s="2" t="s">
        <v>213</v>
      </c>
      <c r="D19" s="2" t="s">
        <v>188</v>
      </c>
      <c r="E19" s="2" t="s">
        <v>214</v>
      </c>
      <c r="F19" s="2" t="s">
        <v>215</v>
      </c>
      <c r="G19" s="2"/>
      <c r="H19" s="30">
        <f>SUM('Senior American'!LIFE)</f>
        <v>0</v>
      </c>
      <c r="I19" s="30">
        <f>SUM('Senior American'!ALLOCATED)</f>
        <v>0</v>
      </c>
      <c r="J19" s="30">
        <f>SUM('Senior American'!HEALTH)</f>
        <v>13020008.437321076</v>
      </c>
      <c r="K19" s="30">
        <f>SUM('Senior American'!UNALLOCATED)</f>
        <v>0</v>
      </c>
      <c r="L19" s="30">
        <f>SUM('Senior American'!LTC)</f>
        <v>18056536.368295141</v>
      </c>
      <c r="M19" s="30">
        <f t="shared" si="0"/>
        <v>31076544.805616215</v>
      </c>
      <c r="N19" s="31"/>
      <c r="O19" s="29">
        <v>30827325.56773654</v>
      </c>
      <c r="P19" s="31">
        <f t="shared" si="1"/>
        <v>249219.23787967488</v>
      </c>
      <c r="Q19" s="30"/>
      <c r="R19" s="30"/>
      <c r="S19" s="29">
        <f>SUM('Senior American'!LIFE_CALLED)</f>
        <v>841000</v>
      </c>
      <c r="T19" s="30">
        <f>SUM('Senior American'!LIFE_REFUNDED)</f>
        <v>0</v>
      </c>
      <c r="U19" s="30"/>
      <c r="V19" s="30">
        <f>SUM('Senior American'!ALLOC_CALLED)</f>
        <v>0</v>
      </c>
      <c r="W19" s="30">
        <f>SUM('Senior American'!ALLOC_REFUNDED)</f>
        <v>0</v>
      </c>
      <c r="X19" s="30"/>
      <c r="Y19" s="30">
        <f>SUM('Senior American'!HEALTH_CALLED)</f>
        <v>2059000</v>
      </c>
      <c r="Z19" s="30">
        <f>SUM('Senior American'!HEALTH_REFUNDED)</f>
        <v>0</v>
      </c>
      <c r="AA19" s="30"/>
      <c r="AB19" s="30">
        <f>SUM('Senior American'!UNALLOC_CALLED)</f>
        <v>0</v>
      </c>
      <c r="AC19" s="31">
        <f>SUM('Senior American'!UNALLOC_REFUNDED)</f>
        <v>0</v>
      </c>
    </row>
    <row r="20" spans="2:29" ht="6.95" customHeight="1" thickBot="1">
      <c r="B20" s="10"/>
      <c r="C20" s="17"/>
      <c r="D20" s="17"/>
      <c r="E20" s="17"/>
      <c r="F20" s="17"/>
      <c r="G20" s="17"/>
      <c r="H20" s="38"/>
      <c r="I20" s="38"/>
      <c r="J20" s="38"/>
      <c r="K20" s="38"/>
      <c r="L20" s="38"/>
      <c r="M20" s="38"/>
      <c r="N20" s="39"/>
      <c r="O20" s="40"/>
      <c r="P20" s="39"/>
      <c r="Q20" s="30"/>
      <c r="R20" s="30"/>
      <c r="S20" s="40"/>
      <c r="T20" s="38"/>
      <c r="U20" s="38"/>
      <c r="V20" s="38"/>
      <c r="W20" s="38"/>
      <c r="X20" s="38"/>
      <c r="Y20" s="38"/>
      <c r="Z20" s="38"/>
      <c r="AA20" s="38"/>
      <c r="AB20" s="38"/>
      <c r="AC20" s="39"/>
    </row>
    <row r="21" spans="2:29" ht="15.75" thickBot="1">
      <c r="B21" s="27" t="s">
        <v>216</v>
      </c>
      <c r="C21" s="28"/>
      <c r="D21" s="28"/>
      <c r="E21" s="28"/>
      <c r="F21" s="28"/>
      <c r="G21" s="28"/>
      <c r="H21" s="41">
        <f>SUM(OP_LIFE)</f>
        <v>1375103054.8715374</v>
      </c>
      <c r="I21" s="41">
        <f>SUM(OP_ALLOCATED)</f>
        <v>1669774418.0269933</v>
      </c>
      <c r="J21" s="41">
        <f>SUM(OP_HEALTH)</f>
        <v>2935484114.8846059</v>
      </c>
      <c r="K21" s="41">
        <f>SUM(OP_UNALLOCATED)</f>
        <v>31872071.713030674</v>
      </c>
      <c r="L21" s="41">
        <f>SUM(OP_LTC)</f>
        <v>18056536.368295141</v>
      </c>
      <c r="M21" s="41">
        <f>SUM(OP_TOTAL)</f>
        <v>6030290195.8644638</v>
      </c>
      <c r="N21" s="42"/>
      <c r="O21" s="43">
        <f>SUM(OP_TOTAL_PREV)</f>
        <v>6108007809.3531485</v>
      </c>
      <c r="P21" s="42">
        <f>SUM(OP_CHANGE)</f>
        <v>-77717613.488686174</v>
      </c>
      <c r="Q21" s="30"/>
      <c r="R21" s="30"/>
      <c r="S21" s="43">
        <f>SUM(OP_LIFE_CALLED)</f>
        <v>1386124680</v>
      </c>
      <c r="T21" s="41">
        <f>SUM(OP_LIFE_REFUNDED)</f>
        <v>2000065</v>
      </c>
      <c r="U21" s="41"/>
      <c r="V21" s="41">
        <f>SUM(OP_ALLOC_CALLED)</f>
        <v>1538506429</v>
      </c>
      <c r="W21" s="41">
        <f>SUM(OP_ALLOC_REFUNDED)</f>
        <v>55463161.450000003</v>
      </c>
      <c r="X21" s="41"/>
      <c r="Y21" s="41">
        <f>SUM(OP_HEALTH_CALLED)</f>
        <v>2320484305</v>
      </c>
      <c r="Z21" s="41">
        <f>SUM(OP_HEALTH_REFUNDED)</f>
        <v>22855694</v>
      </c>
      <c r="AA21" s="41"/>
      <c r="AB21" s="41">
        <f>SUM(OP_UNALLOC_CALLED)</f>
        <v>42365781</v>
      </c>
      <c r="AC21" s="42">
        <f>SUM(OP_UNALLOC_REFUNDED)</f>
        <v>23169526.82</v>
      </c>
    </row>
    <row r="22" spans="2:29" ht="15.75" thickBot="1">
      <c r="C22" s="2"/>
      <c r="D22" s="2"/>
      <c r="E22" s="2"/>
      <c r="F22" s="2"/>
      <c r="G22" s="2"/>
      <c r="H22" s="30"/>
      <c r="I22" s="30"/>
      <c r="J22" s="30"/>
      <c r="K22" s="30"/>
      <c r="L22" s="30"/>
      <c r="M22" s="30"/>
      <c r="N22" s="30"/>
      <c r="O22" s="30"/>
      <c r="P22" s="30"/>
      <c r="Q22" s="30"/>
      <c r="R22" s="30"/>
      <c r="S22" s="30"/>
      <c r="T22" s="30"/>
      <c r="U22" s="30"/>
      <c r="V22" s="30"/>
      <c r="W22" s="30"/>
      <c r="X22" s="30"/>
      <c r="Y22" s="30"/>
      <c r="Z22" s="30"/>
      <c r="AA22" s="30"/>
      <c r="AB22" s="30"/>
      <c r="AC22" s="30"/>
    </row>
    <row r="23" spans="2:29">
      <c r="B23" s="23" t="s">
        <v>217</v>
      </c>
      <c r="C23" s="6"/>
      <c r="D23" s="6"/>
      <c r="E23" s="6"/>
      <c r="F23" s="6"/>
      <c r="G23" s="6"/>
      <c r="H23" s="44"/>
      <c r="I23" s="44"/>
      <c r="J23" s="44"/>
      <c r="K23" s="44"/>
      <c r="L23" s="44"/>
      <c r="M23" s="44"/>
      <c r="N23" s="45"/>
      <c r="O23" s="46"/>
      <c r="P23" s="45"/>
      <c r="Q23" s="30"/>
      <c r="R23" s="30"/>
      <c r="S23" s="46"/>
      <c r="T23" s="44"/>
      <c r="U23" s="44"/>
      <c r="V23" s="44"/>
      <c r="W23" s="44"/>
      <c r="X23" s="44"/>
      <c r="Y23" s="44"/>
      <c r="Z23" s="44"/>
      <c r="AA23" s="44"/>
      <c r="AB23" s="44"/>
      <c r="AC23" s="45"/>
    </row>
    <row r="24" spans="2:29" ht="6.95" customHeight="1">
      <c r="B24" s="8"/>
      <c r="C24" s="2"/>
      <c r="D24" s="2"/>
      <c r="E24" s="2"/>
      <c r="F24" s="2"/>
      <c r="G24" s="2"/>
      <c r="H24" s="30"/>
      <c r="I24" s="30"/>
      <c r="J24" s="30"/>
      <c r="K24" s="30"/>
      <c r="L24" s="30"/>
      <c r="M24" s="30"/>
      <c r="N24" s="31"/>
      <c r="O24" s="29"/>
      <c r="P24" s="31"/>
      <c r="Q24" s="30"/>
      <c r="R24" s="30"/>
      <c r="S24" s="29"/>
      <c r="T24" s="30"/>
      <c r="U24" s="30"/>
      <c r="V24" s="30"/>
      <c r="W24" s="30"/>
      <c r="X24" s="30"/>
      <c r="Y24" s="30"/>
      <c r="Z24" s="30"/>
      <c r="AA24" s="30"/>
      <c r="AB24" s="30"/>
      <c r="AC24" s="31"/>
    </row>
    <row r="25" spans="2:29">
      <c r="B25" s="8" t="s">
        <v>218</v>
      </c>
      <c r="C25" s="2" t="s">
        <v>219</v>
      </c>
      <c r="D25" s="2" t="s">
        <v>220</v>
      </c>
      <c r="E25" s="2" t="s">
        <v>221</v>
      </c>
      <c r="F25" s="2" t="s">
        <v>222</v>
      </c>
      <c r="G25" s="2"/>
      <c r="H25" s="30">
        <f>SUM('Andrew Jackson'!LIFE)</f>
        <v>19907392.395632271</v>
      </c>
      <c r="I25" s="30">
        <f>SUM('Andrew Jackson'!ALLOCATED)</f>
        <v>5169774.0258494122</v>
      </c>
      <c r="J25" s="30">
        <f>SUM('Andrew Jackson'!HEALTH)</f>
        <v>74162.348121394083</v>
      </c>
      <c r="K25" s="30">
        <f>SUM('Andrew Jackson'!UNALLOCATED)</f>
        <v>0</v>
      </c>
      <c r="L25" s="30">
        <f>SUM('Andrew Jackson'!LTC)</f>
        <v>0</v>
      </c>
      <c r="M25" s="30">
        <f t="shared" ref="M25:M44" si="2">SUM(H25:L25)</f>
        <v>25151328.769603077</v>
      </c>
      <c r="N25" s="31"/>
      <c r="O25" s="29">
        <v>25152960.432667121</v>
      </c>
      <c r="P25" s="31">
        <f t="shared" ref="P25:P44" si="3">+M25-O25</f>
        <v>-1631.6630640439689</v>
      </c>
      <c r="Q25" s="30"/>
      <c r="R25" s="30"/>
      <c r="S25" s="29">
        <f>SUM('Andrew Jackson'!LIFE_CALLED)</f>
        <v>28735867</v>
      </c>
      <c r="T25" s="30">
        <f>SUM('Andrew Jackson'!LIFE_REFUNDED)</f>
        <v>280000</v>
      </c>
      <c r="U25" s="30"/>
      <c r="V25" s="30">
        <f>SUM('Andrew Jackson'!ALLOC_CALLED)</f>
        <v>10977686</v>
      </c>
      <c r="W25" s="30">
        <f>SUM('Andrew Jackson'!ALLOC_REFUNDED)</f>
        <v>50403.45</v>
      </c>
      <c r="X25" s="30"/>
      <c r="Y25" s="30">
        <f>SUM('Andrew Jackson'!HEALTH_CALLED)</f>
        <v>0</v>
      </c>
      <c r="Z25" s="30">
        <f>SUM('Andrew Jackson'!HEALTH_REFUNDED)</f>
        <v>0</v>
      </c>
      <c r="AA25" s="30"/>
      <c r="AB25" s="30">
        <f>SUM('Andrew Jackson'!UNALLOC_CALLED)</f>
        <v>3735647</v>
      </c>
      <c r="AC25" s="31">
        <f>SUM('Andrew Jackson'!UNALLOC_REFUNDED)</f>
        <v>0</v>
      </c>
    </row>
    <row r="26" spans="2:29">
      <c r="B26" s="121" t="s">
        <v>223</v>
      </c>
      <c r="C26" s="2" t="s">
        <v>224</v>
      </c>
      <c r="D26" s="2" t="s">
        <v>225</v>
      </c>
      <c r="E26" s="2" t="s">
        <v>226</v>
      </c>
      <c r="F26" s="2" t="s">
        <v>227</v>
      </c>
      <c r="G26" s="2"/>
      <c r="H26" s="30">
        <f>SUM('Colorado Health'!LIFE)</f>
        <v>0</v>
      </c>
      <c r="I26" s="30">
        <f>SUM('Colorado Health'!ALLOCATED)</f>
        <v>0</v>
      </c>
      <c r="J26" s="30">
        <f>SUM('Colorado Health'!HEALTH)</f>
        <v>83658295</v>
      </c>
      <c r="K26" s="30">
        <f>SUM('Colorado Health'!UNALLOCATED)</f>
        <v>0</v>
      </c>
      <c r="L26" s="30">
        <f>SUM('Colorado Health'!LTC)</f>
        <v>0</v>
      </c>
      <c r="M26" s="30">
        <f t="shared" si="2"/>
        <v>83658295</v>
      </c>
      <c r="N26" s="31"/>
      <c r="O26" s="29">
        <v>83658295</v>
      </c>
      <c r="P26" s="31">
        <f t="shared" si="3"/>
        <v>0</v>
      </c>
      <c r="Q26" s="30"/>
      <c r="R26" s="30"/>
      <c r="S26" s="29">
        <f>SUM('Colorado Health'!LIFE_CALLED)</f>
        <v>0</v>
      </c>
      <c r="T26" s="30">
        <f>SUM('Colorado Health'!LIFE_REFUNDED)</f>
        <v>0</v>
      </c>
      <c r="U26" s="30"/>
      <c r="V26" s="30">
        <f>SUM('Colorado Health'!ALLOC_CALLED)</f>
        <v>0</v>
      </c>
      <c r="W26" s="30">
        <f>SUM('Colorado Health'!ALLOC_REFUNDED)</f>
        <v>0</v>
      </c>
      <c r="X26" s="30"/>
      <c r="Y26" s="30">
        <f>SUM('Colorado Health'!HEALTH_CALLED)</f>
        <v>104405820</v>
      </c>
      <c r="Z26" s="30">
        <f>SUM('Colorado Health'!HEALTH_REFUNDED)</f>
        <v>25450000</v>
      </c>
      <c r="AA26" s="30"/>
      <c r="AB26" s="30">
        <f>SUM('Colorado Health'!UNALLOC_CALLED)</f>
        <v>0</v>
      </c>
      <c r="AC26" s="31">
        <f>SUM('Colorado Health'!UNALLOC_REFUNDED)</f>
        <v>0</v>
      </c>
    </row>
    <row r="27" spans="2:29">
      <c r="B27" s="121" t="s">
        <v>228</v>
      </c>
      <c r="C27" s="2" t="s">
        <v>229</v>
      </c>
      <c r="D27" s="2" t="s">
        <v>230</v>
      </c>
      <c r="E27" s="2" t="s">
        <v>231</v>
      </c>
      <c r="F27" s="2" t="s">
        <v>232</v>
      </c>
      <c r="G27" s="2">
        <v>0</v>
      </c>
      <c r="H27" s="30">
        <f>SUM('Compass (dbs Meritus)'!LIFE)</f>
        <v>0</v>
      </c>
      <c r="I27" s="30">
        <f>SUM('Compass (dbs Meritus)'!ALLOCATED)</f>
        <v>0</v>
      </c>
      <c r="J27" s="30">
        <f>SUM('Compass (dbs Meritus)'!HEALTH)</f>
        <v>3347549</v>
      </c>
      <c r="K27" s="30">
        <f>SUM('Compass (dbs Meritus)'!UNALLOCATED)</f>
        <v>0</v>
      </c>
      <c r="L27" s="30">
        <f>SUM('Compass (dbs Meritus)'!LTC)</f>
        <v>0</v>
      </c>
      <c r="M27" s="30">
        <f t="shared" si="2"/>
        <v>3347549</v>
      </c>
      <c r="N27" s="31"/>
      <c r="O27" s="29">
        <v>3347549</v>
      </c>
      <c r="P27" s="31">
        <f t="shared" si="3"/>
        <v>0</v>
      </c>
      <c r="Q27" s="30"/>
      <c r="R27" s="30"/>
      <c r="S27" s="29">
        <f>SUM('Compass (dbs Meritus)'!LIFE_CALLED)</f>
        <v>0</v>
      </c>
      <c r="T27" s="30">
        <f>SUM('Compass (dbs Meritus)'!LIFE_REFUNDED)</f>
        <v>0</v>
      </c>
      <c r="U27" s="30"/>
      <c r="V27" s="30">
        <f>SUM('Compass (dbs Meritus)'!ALLOC_CALLED)</f>
        <v>0</v>
      </c>
      <c r="W27" s="30">
        <f>SUM('Compass (dbs Meritus)'!ALLOC_REFUNDED)</f>
        <v>0</v>
      </c>
      <c r="X27" s="30"/>
      <c r="Y27" s="30">
        <f>SUM('Compass (dbs Meritus)'!HEALTH_CALLED)</f>
        <v>0</v>
      </c>
      <c r="Z27" s="30">
        <f>SUM('Compass (dbs Meritus)'!HEALTH_REFUNDED)</f>
        <v>0</v>
      </c>
      <c r="AA27" s="30"/>
      <c r="AB27" s="30">
        <f>SUM('Compass (dbs Meritus)'!UNALLOC_CALLED)</f>
        <v>0</v>
      </c>
      <c r="AC27" s="31">
        <f>SUM('Compass (dbs Meritus)'!UNALLOC_REFUNDED)</f>
        <v>0</v>
      </c>
    </row>
    <row r="28" spans="2:29">
      <c r="B28" s="121" t="s">
        <v>233</v>
      </c>
      <c r="C28" s="2" t="s">
        <v>234</v>
      </c>
      <c r="D28" s="2" t="s">
        <v>235</v>
      </c>
      <c r="E28" s="2" t="s">
        <v>236</v>
      </c>
      <c r="F28" s="2" t="s">
        <v>237</v>
      </c>
      <c r="G28" s="2"/>
      <c r="H28" s="30">
        <f>SUM('Consumers Choice'!LIFE)</f>
        <v>0</v>
      </c>
      <c r="I28" s="30">
        <f>SUM('Consumers Choice'!ALLOCATED)</f>
        <v>0</v>
      </c>
      <c r="J28" s="30">
        <f>SUM('Consumers Choice'!HEALTH)</f>
        <v>34784248.960000001</v>
      </c>
      <c r="K28" s="30">
        <f>SUM('Consumers Choice'!UNALLOCATED)</f>
        <v>0</v>
      </c>
      <c r="L28" s="30">
        <f>SUM('Consumers Choice'!LTC)</f>
        <v>0</v>
      </c>
      <c r="M28" s="30">
        <f t="shared" si="2"/>
        <v>34784248.960000001</v>
      </c>
      <c r="N28" s="31"/>
      <c r="O28" s="29">
        <v>34784248.960000001</v>
      </c>
      <c r="P28" s="31">
        <f t="shared" si="3"/>
        <v>0</v>
      </c>
      <c r="Q28" s="30"/>
      <c r="R28" s="30"/>
      <c r="S28" s="29">
        <f>SUM('Consumers Choice'!LIFE_CALLED)</f>
        <v>0</v>
      </c>
      <c r="T28" s="30">
        <f>SUM('Consumers Choice'!LIFE_REFUNDED)</f>
        <v>0</v>
      </c>
      <c r="U28" s="30"/>
      <c r="V28" s="30">
        <f>SUM('Consumers Choice'!ALLOC_CALLED)</f>
        <v>0</v>
      </c>
      <c r="W28" s="30">
        <f>SUM('Consumers Choice'!ALLOC_REFUNDED)</f>
        <v>0</v>
      </c>
      <c r="X28" s="30"/>
      <c r="Y28" s="30">
        <f>SUM('Consumers Choice'!HEALTH_CALLED)</f>
        <v>48506698</v>
      </c>
      <c r="Z28" s="30">
        <f>SUM('Consumers Choice'!HEALTH_REFUNDED)</f>
        <v>12548122</v>
      </c>
      <c r="AA28" s="30"/>
      <c r="AB28" s="30">
        <f>SUM('Consumers Choice'!UNALLOC_CALLED)</f>
        <v>0</v>
      </c>
      <c r="AC28" s="31">
        <f>SUM('Consumers Choice'!UNALLOC_REFUNDED)</f>
        <v>0</v>
      </c>
    </row>
    <row r="29" spans="2:29">
      <c r="B29" s="121" t="s">
        <v>102</v>
      </c>
      <c r="C29" s="2" t="s">
        <v>238</v>
      </c>
      <c r="D29" s="2" t="s">
        <v>239</v>
      </c>
      <c r="E29" s="2" t="s">
        <v>240</v>
      </c>
      <c r="F29" s="2" t="s">
        <v>241</v>
      </c>
      <c r="G29" s="2"/>
      <c r="H29" s="30">
        <f>SUM('Consumers Mutual'!LIFE)</f>
        <v>0</v>
      </c>
      <c r="I29" s="30">
        <f>SUM('Consumers Mutual'!ALLOCATED)</f>
        <v>0</v>
      </c>
      <c r="J29" s="30">
        <f>SUM('Consumers Mutual'!HEALTH)</f>
        <v>5569399</v>
      </c>
      <c r="K29" s="30">
        <f>SUM('Consumers Mutual'!UNALLOCATED)</f>
        <v>0</v>
      </c>
      <c r="L29" s="30">
        <f>SUM('Consumers Mutual'!LTC)</f>
        <v>0</v>
      </c>
      <c r="M29" s="30">
        <f t="shared" si="2"/>
        <v>5569399</v>
      </c>
      <c r="N29" s="31"/>
      <c r="O29" s="29">
        <v>5569399</v>
      </c>
      <c r="P29" s="31">
        <f t="shared" si="3"/>
        <v>0</v>
      </c>
      <c r="Q29" s="30"/>
      <c r="R29" s="30"/>
      <c r="S29" s="29">
        <f>SUM('Consumers Mutual'!LIFE_CALLED)</f>
        <v>0</v>
      </c>
      <c r="T29" s="30">
        <f>SUM('Consumers Mutual'!LIFE_REFUNDED)</f>
        <v>0</v>
      </c>
      <c r="U29" s="30"/>
      <c r="V29" s="30">
        <f>SUM('Consumers Mutual'!ALLOC_CALLED)</f>
        <v>0</v>
      </c>
      <c r="W29" s="30">
        <f>SUM('Consumers Mutual'!ALLOC_REFUNDED)</f>
        <v>0</v>
      </c>
      <c r="X29" s="30"/>
      <c r="Y29" s="30">
        <f>SUM('Consumers Mutual'!HEALTH_CALLED)</f>
        <v>10800000</v>
      </c>
      <c r="Z29" s="30">
        <f>SUM('Consumers Mutual'!HEALTH_REFUNDED)</f>
        <v>4998893</v>
      </c>
      <c r="AA29" s="30"/>
      <c r="AB29" s="30">
        <f>SUM('Consumers Mutual'!UNALLOC_CALLED)</f>
        <v>0</v>
      </c>
      <c r="AC29" s="31">
        <f>SUM('Consumers Mutual'!UNALLOC_REFUNDED)</f>
        <v>0</v>
      </c>
    </row>
    <row r="30" spans="2:29">
      <c r="B30" s="121" t="s">
        <v>104</v>
      </c>
      <c r="C30" s="2" t="s">
        <v>242</v>
      </c>
      <c r="D30" s="2" t="s">
        <v>243</v>
      </c>
      <c r="E30" s="2" t="s">
        <v>244</v>
      </c>
      <c r="F30" s="2" t="s">
        <v>245</v>
      </c>
      <c r="G30" s="2"/>
      <c r="H30" s="30">
        <f>SUM(CoOportunity!LIFE)</f>
        <v>0</v>
      </c>
      <c r="I30" s="30">
        <f>SUM(CoOportunity!ALLOCATED)</f>
        <v>0</v>
      </c>
      <c r="J30" s="30">
        <f>SUM(CoOportunity!HEALTH)</f>
        <v>29019870.332349885</v>
      </c>
      <c r="K30" s="30">
        <f>SUM(CoOportunity!UNALLOCATED)</f>
        <v>0</v>
      </c>
      <c r="L30" s="30">
        <f>SUM(CoOportunity!LTC)</f>
        <v>0</v>
      </c>
      <c r="M30" s="30">
        <f t="shared" si="2"/>
        <v>29019870.332349885</v>
      </c>
      <c r="N30" s="31"/>
      <c r="O30" s="29">
        <v>28892791.832349885</v>
      </c>
      <c r="P30" s="31">
        <f t="shared" si="3"/>
        <v>127078.5</v>
      </c>
      <c r="Q30" s="30"/>
      <c r="R30" s="30"/>
      <c r="S30" s="29">
        <f>SUM(CoOportunity!LIFE_CALLED)</f>
        <v>0</v>
      </c>
      <c r="T30" s="30">
        <f>SUM(CoOportunity!LIFE_REFUNDED)</f>
        <v>0</v>
      </c>
      <c r="U30" s="30"/>
      <c r="V30" s="30">
        <f>SUM(CoOportunity!ALLOC_CALLED)</f>
        <v>0</v>
      </c>
      <c r="W30" s="30">
        <f>SUM(CoOportunity!ALLOC_REFUNDED)</f>
        <v>0</v>
      </c>
      <c r="X30" s="30"/>
      <c r="Y30" s="30">
        <f>SUM(CoOportunity!HEALTH_CALLED)</f>
        <v>91800000</v>
      </c>
      <c r="Z30" s="30">
        <f>SUM(CoOportunity!HEALTH_REFUNDED)</f>
        <v>0</v>
      </c>
      <c r="AA30" s="30"/>
      <c r="AB30" s="30">
        <f>SUM(CoOportunity!UNALLOC_CALLED)</f>
        <v>0</v>
      </c>
      <c r="AC30" s="31">
        <f>SUM(CoOportunity!UNALLOC_REFUNDED)</f>
        <v>0</v>
      </c>
    </row>
    <row r="31" spans="2:29">
      <c r="B31" s="121" t="s">
        <v>246</v>
      </c>
      <c r="C31" s="2" t="s">
        <v>247</v>
      </c>
      <c r="D31" s="2" t="s">
        <v>248</v>
      </c>
      <c r="E31" s="2"/>
      <c r="F31" s="2" t="s">
        <v>249</v>
      </c>
      <c r="G31" s="2"/>
      <c r="H31" s="30">
        <f>SUM('Coordinated Hlth'!LIFE)</f>
        <v>0</v>
      </c>
      <c r="I31" s="30">
        <f>SUM('Coordinated Hlth'!ALLOCATED)</f>
        <v>0</v>
      </c>
      <c r="J31" s="30">
        <f>SUM('Coordinated Hlth'!HEALTH)</f>
        <v>8388718</v>
      </c>
      <c r="K31" s="30">
        <f>SUM('Coordinated Hlth'!UNALLOCATED)</f>
        <v>0</v>
      </c>
      <c r="L31" s="30">
        <f>SUM('Coordinated Hlth'!LTC)</f>
        <v>0</v>
      </c>
      <c r="M31" s="30">
        <f t="shared" si="2"/>
        <v>8388718</v>
      </c>
      <c r="N31" s="31"/>
      <c r="O31" s="29">
        <v>8388718</v>
      </c>
      <c r="P31" s="31">
        <f t="shared" si="3"/>
        <v>0</v>
      </c>
      <c r="Q31" s="30"/>
      <c r="R31" s="30"/>
      <c r="S31" s="29">
        <f>SUM('Coordinated Hlth'!LIFE_CALLED)</f>
        <v>0</v>
      </c>
      <c r="T31" s="30">
        <f>SUM('Coordinated Hlth'!LIFE_REFUNDED)</f>
        <v>0</v>
      </c>
      <c r="U31" s="30"/>
      <c r="V31" s="30">
        <f>SUM('Coordinated Hlth'!ALLOC_CALLED)</f>
        <v>0</v>
      </c>
      <c r="W31" s="30">
        <f>SUM('Coordinated Hlth'!ALLOC_REFUNDED)</f>
        <v>0</v>
      </c>
      <c r="X31" s="30"/>
      <c r="Y31" s="30">
        <f>SUM('Coordinated Hlth'!HEALTH_CALLED)</f>
        <v>40000000</v>
      </c>
      <c r="Z31" s="30">
        <f>SUM('Coordinated Hlth'!HEALTH_REFUNDED)</f>
        <v>0</v>
      </c>
      <c r="AA31" s="30"/>
      <c r="AB31" s="30">
        <f>SUM('Coordinated Hlth'!UNALLOC_CALLED)</f>
        <v>0</v>
      </c>
      <c r="AC31" s="31">
        <f>SUM('Coordinated Hlth'!UNALLOC_REFUNDED)</f>
        <v>0</v>
      </c>
    </row>
    <row r="32" spans="2:29">
      <c r="B32" s="8" t="s">
        <v>250</v>
      </c>
      <c r="C32" s="2" t="s">
        <v>251</v>
      </c>
      <c r="D32" s="2" t="s">
        <v>252</v>
      </c>
      <c r="E32" s="2" t="s">
        <v>253</v>
      </c>
      <c r="F32" s="2" t="s">
        <v>254</v>
      </c>
      <c r="G32" s="2"/>
      <c r="H32" s="30">
        <f>SUM(ELNY!LIFE)</f>
        <v>0</v>
      </c>
      <c r="I32" s="30">
        <f>SUM(ELNY!ALLOCATED)</f>
        <v>801859656.73644018</v>
      </c>
      <c r="J32" s="30">
        <f>SUM(ELNY!HEALTH)</f>
        <v>0</v>
      </c>
      <c r="K32" s="30">
        <f>SUM(ELNY!UNALLOCATED)</f>
        <v>0</v>
      </c>
      <c r="L32" s="30">
        <f>SUM(ELNY!LTC)</f>
        <v>0</v>
      </c>
      <c r="M32" s="30">
        <f t="shared" si="2"/>
        <v>801859656.73644018</v>
      </c>
      <c r="N32" s="31"/>
      <c r="O32" s="29">
        <v>801859656.73644018</v>
      </c>
      <c r="P32" s="31">
        <f t="shared" si="3"/>
        <v>0</v>
      </c>
      <c r="Q32" s="30"/>
      <c r="R32" s="30"/>
      <c r="S32" s="29">
        <f>SUM(ELNY!LIFE_CALLED)</f>
        <v>556478179</v>
      </c>
      <c r="T32" s="30">
        <f>SUM(ELNY!LIFE_REFUNDED)</f>
        <v>0</v>
      </c>
      <c r="U32" s="30"/>
      <c r="V32" s="30">
        <f>SUM(ELNY!ALLOC_CALLED)</f>
        <v>198631919</v>
      </c>
      <c r="W32" s="30">
        <f>SUM(ELNY!ALLOC_REFUNDED)</f>
        <v>6500906</v>
      </c>
      <c r="X32" s="30"/>
      <c r="Y32" s="30">
        <f>SUM(ELNY!HEALTH_CALLED)</f>
        <v>0</v>
      </c>
      <c r="Z32" s="30">
        <f>SUM(ELNY!HEALTH_REFUNDED)</f>
        <v>0</v>
      </c>
      <c r="AA32" s="30"/>
      <c r="AB32" s="30">
        <f>SUM(ELNY!UNALLOC_CALLED)</f>
        <v>0</v>
      </c>
      <c r="AC32" s="31">
        <f>SUM(ELNY!UNALLOC_REFUNDED)</f>
        <v>0</v>
      </c>
    </row>
    <row r="33" spans="2:29">
      <c r="B33" s="8" t="s">
        <v>255</v>
      </c>
      <c r="C33" s="2" t="s">
        <v>256</v>
      </c>
      <c r="D33" s="2" t="s">
        <v>257</v>
      </c>
      <c r="E33" s="2" t="s">
        <v>258</v>
      </c>
      <c r="F33" s="2" t="s">
        <v>259</v>
      </c>
      <c r="G33" s="2"/>
      <c r="H33" s="30">
        <f>SUM('Farmers &amp; Ranchers'!LIFE)</f>
        <v>4721553.5146318031</v>
      </c>
      <c r="I33" s="30">
        <f>SUM('Farmers &amp; Ranchers'!ALLOCATED)</f>
        <v>4475123.8910564287</v>
      </c>
      <c r="J33" s="30">
        <f>SUM('Farmers &amp; Ranchers'!HEALTH)</f>
        <v>0</v>
      </c>
      <c r="K33" s="30">
        <f>SUM('Farmers &amp; Ranchers'!UNALLOCATED)</f>
        <v>0</v>
      </c>
      <c r="L33" s="30">
        <f>SUM('Farmers &amp; Ranchers'!LTC)</f>
        <v>0</v>
      </c>
      <c r="M33" s="30">
        <f t="shared" si="2"/>
        <v>9196677.4056882318</v>
      </c>
      <c r="N33" s="31"/>
      <c r="O33" s="29">
        <v>9195246.981488442</v>
      </c>
      <c r="P33" s="31">
        <f t="shared" si="3"/>
        <v>1430.4241997897625</v>
      </c>
      <c r="Q33" s="30"/>
      <c r="R33" s="30"/>
      <c r="S33" s="29">
        <f>SUM('Farmers &amp; Ranchers'!LIFE_CALLED)</f>
        <v>7965000</v>
      </c>
      <c r="T33" s="30">
        <f>SUM('Farmers &amp; Ranchers'!LIFE_REFUNDED)</f>
        <v>3015000</v>
      </c>
      <c r="U33" s="30"/>
      <c r="V33" s="30">
        <f>SUM('Farmers &amp; Ranchers'!ALLOC_CALLED)</f>
        <v>885000</v>
      </c>
      <c r="W33" s="30">
        <f>SUM('Farmers &amp; Ranchers'!ALLOC_REFUNDED)</f>
        <v>335000</v>
      </c>
      <c r="X33" s="30"/>
      <c r="Y33" s="30">
        <f>SUM('Farmers &amp; Ranchers'!HEALTH_CALLED)</f>
        <v>0</v>
      </c>
      <c r="Z33" s="30">
        <f>SUM('Farmers &amp; Ranchers'!HEALTH_REFUNDED)</f>
        <v>0</v>
      </c>
      <c r="AA33" s="30"/>
      <c r="AB33" s="30">
        <f>SUM('Farmers &amp; Ranchers'!UNALLOC_CALLED)</f>
        <v>0</v>
      </c>
      <c r="AC33" s="31">
        <f>SUM('Farmers &amp; Ranchers'!UNALLOC_REFUNDED)</f>
        <v>0</v>
      </c>
    </row>
    <row r="34" spans="2:29">
      <c r="B34" s="8" t="s">
        <v>260</v>
      </c>
      <c r="C34" s="2" t="s">
        <v>261</v>
      </c>
      <c r="D34" s="2" t="s">
        <v>220</v>
      </c>
      <c r="E34" s="2" t="s">
        <v>262</v>
      </c>
      <c r="F34" s="2" t="s">
        <v>263</v>
      </c>
      <c r="G34" s="2"/>
      <c r="H34" s="30">
        <f>SUM('First Natl (Thrnr)'!LIFE)</f>
        <v>471125.83664370805</v>
      </c>
      <c r="I34" s="30">
        <f>SUM('First Natl (Thrnr)'!ALLOCATED)</f>
        <v>4198847.6836526562</v>
      </c>
      <c r="J34" s="30">
        <f>SUM('First Natl (Thrnr)'!HEALTH)</f>
        <v>0</v>
      </c>
      <c r="K34" s="30">
        <f>SUM('First Natl (Thrnr)'!UNALLOCATED)</f>
        <v>0</v>
      </c>
      <c r="L34" s="30">
        <f>SUM('First Natl (Thrnr)'!LTC)</f>
        <v>0</v>
      </c>
      <c r="M34" s="30">
        <f t="shared" si="2"/>
        <v>4669973.5202963641</v>
      </c>
      <c r="N34" s="31"/>
      <c r="O34" s="29">
        <v>4660417.485584626</v>
      </c>
      <c r="P34" s="31">
        <f t="shared" si="3"/>
        <v>9556.034711738117</v>
      </c>
      <c r="Q34" s="30"/>
      <c r="R34" s="30"/>
      <c r="S34" s="29">
        <f>SUM('First Natl (Thrnr)'!LIFE_CALLED)</f>
        <v>18270153</v>
      </c>
      <c r="T34" s="30">
        <f>SUM('First Natl (Thrnr)'!LIFE_REFUNDED)</f>
        <v>6524219</v>
      </c>
      <c r="U34" s="30"/>
      <c r="V34" s="30">
        <f>SUM('First Natl (Thrnr)'!ALLOC_CALLED)</f>
        <v>18925424</v>
      </c>
      <c r="W34" s="30">
        <f>SUM('First Natl (Thrnr)'!ALLOC_REFUNDED)</f>
        <v>5020281</v>
      </c>
      <c r="X34" s="30"/>
      <c r="Y34" s="30">
        <f>SUM('First Natl (Thrnr)'!HEALTH_CALLED)</f>
        <v>0</v>
      </c>
      <c r="Z34" s="30">
        <f>SUM('First Natl (Thrnr)'!HEALTH_REFUNDED)</f>
        <v>400000</v>
      </c>
      <c r="AA34" s="30"/>
      <c r="AB34" s="30">
        <f>SUM('First Natl (Thrnr)'!UNALLOC_CALLED)</f>
        <v>0</v>
      </c>
      <c r="AC34" s="31">
        <f>SUM('First Natl (Thrnr)'!UNALLOC_REFUNDED)</f>
        <v>0</v>
      </c>
    </row>
    <row r="35" spans="2:29">
      <c r="B35" s="121" t="s">
        <v>264</v>
      </c>
      <c r="C35" s="2" t="s">
        <v>265</v>
      </c>
      <c r="D35" s="2" t="s">
        <v>266</v>
      </c>
      <c r="E35" s="2" t="s">
        <v>267</v>
      </c>
      <c r="F35" s="2" t="s">
        <v>268</v>
      </c>
      <c r="G35" s="2"/>
      <c r="H35" s="30">
        <f>SUM('Freelancers CO-OP'!LIFE)</f>
        <v>0</v>
      </c>
      <c r="I35" s="30">
        <f>SUM('Freelancers CO-OP'!ALLOCATED)</f>
        <v>0</v>
      </c>
      <c r="J35" s="30">
        <f>SUM('Freelancers CO-OP'!HEALTH)</f>
        <v>23625000</v>
      </c>
      <c r="K35" s="30">
        <f>SUM('Freelancers CO-OP'!UNALLOCATED)</f>
        <v>0</v>
      </c>
      <c r="L35" s="30">
        <f>SUM('Freelancers CO-OP'!LTC)</f>
        <v>0</v>
      </c>
      <c r="M35" s="30">
        <f t="shared" si="2"/>
        <v>23625000</v>
      </c>
      <c r="N35" s="31"/>
      <c r="O35" s="29">
        <v>23625000</v>
      </c>
      <c r="P35" s="31">
        <f t="shared" si="3"/>
        <v>0</v>
      </c>
      <c r="Q35" s="30"/>
      <c r="R35" s="30"/>
      <c r="S35" s="29">
        <f>SUM('Freelancers CO-OP'!LIFE_CALLED)</f>
        <v>0</v>
      </c>
      <c r="T35" s="30">
        <f>SUM('Freelancers CO-OP'!LIFE_REFUNDED)</f>
        <v>0</v>
      </c>
      <c r="U35" s="30"/>
      <c r="V35" s="30">
        <f>SUM('Freelancers CO-OP'!ALLOC_CALLED)</f>
        <v>0</v>
      </c>
      <c r="W35" s="30">
        <f>SUM('Freelancers CO-OP'!ALLOC_REFUNDED)</f>
        <v>0</v>
      </c>
      <c r="X35" s="30"/>
      <c r="Y35" s="30">
        <f>SUM('Freelancers CO-OP'!HEALTH_CALLED)</f>
        <v>26600000</v>
      </c>
      <c r="Z35" s="30">
        <f>SUM('Freelancers CO-OP'!HEALTH_REFUNDED)</f>
        <v>0</v>
      </c>
      <c r="AA35" s="30"/>
      <c r="AB35" s="30">
        <f>SUM('Freelancers CO-OP'!UNALLOC_CALLED)</f>
        <v>0</v>
      </c>
      <c r="AC35" s="31">
        <f>SUM('Freelancers CO-OP'!UNALLOC_REFUNDED)</f>
        <v>0</v>
      </c>
    </row>
    <row r="36" spans="2:29">
      <c r="B36" s="121" t="s">
        <v>124</v>
      </c>
      <c r="C36" s="2" t="s">
        <v>269</v>
      </c>
      <c r="D36" s="2" t="s">
        <v>270</v>
      </c>
      <c r="E36" s="2" t="s">
        <v>271</v>
      </c>
      <c r="F36" s="2" t="s">
        <v>272</v>
      </c>
      <c r="G36" s="2"/>
      <c r="H36" s="30">
        <f>SUM(HealthyCT!LIFE)</f>
        <v>0</v>
      </c>
      <c r="I36" s="30">
        <f>SUM(HealthyCT!ALLOCATED)</f>
        <v>0</v>
      </c>
      <c r="J36" s="30">
        <f>SUM(HealthyCT!HEALTH)</f>
        <v>9165</v>
      </c>
      <c r="K36" s="30">
        <f>SUM(HealthyCT!UNALLOCATED)</f>
        <v>0</v>
      </c>
      <c r="L36" s="30">
        <f>SUM(HealthyCT!LTC)</f>
        <v>0</v>
      </c>
      <c r="M36" s="30">
        <f t="shared" si="2"/>
        <v>9165</v>
      </c>
      <c r="N36" s="31"/>
      <c r="O36" s="29">
        <v>9165</v>
      </c>
      <c r="P36" s="31">
        <f t="shared" si="3"/>
        <v>0</v>
      </c>
      <c r="Q36" s="30"/>
      <c r="R36" s="30"/>
      <c r="S36" s="29">
        <f>SUM(HealthyCT!LIFE_CALLED)</f>
        <v>0</v>
      </c>
      <c r="T36" s="30">
        <f>SUM(HealthyCT!LIFE_REFUNDED)</f>
        <v>0</v>
      </c>
      <c r="U36" s="30"/>
      <c r="V36" s="30">
        <f>SUM(HealthyCT!ALLOC_CALLED)</f>
        <v>0</v>
      </c>
      <c r="W36" s="30">
        <f>SUM(HealthyCT!ALLOC_REFUNDED)</f>
        <v>0</v>
      </c>
      <c r="X36" s="30"/>
      <c r="Y36" s="30">
        <f>SUM(HealthyCT!HEALTH_CALLED)</f>
        <v>20000000</v>
      </c>
      <c r="Z36" s="30">
        <f>SUM(HealthyCT!HEALTH_REFUNDED)</f>
        <v>0</v>
      </c>
      <c r="AA36" s="30"/>
      <c r="AB36" s="30">
        <f>SUM(HealthyCT!UNALLOC_CALLED)</f>
        <v>0</v>
      </c>
      <c r="AC36" s="31">
        <f>SUM(HealthyCT!UNALLOC_REFUNDED)</f>
        <v>0</v>
      </c>
    </row>
    <row r="37" spans="2:29">
      <c r="B37" s="121" t="s">
        <v>273</v>
      </c>
      <c r="C37" s="2" t="s">
        <v>274</v>
      </c>
      <c r="D37" s="2" t="s">
        <v>275</v>
      </c>
      <c r="E37" s="2" t="s">
        <v>276</v>
      </c>
      <c r="F37" s="2" t="s">
        <v>277</v>
      </c>
      <c r="G37" s="2"/>
      <c r="H37" s="30">
        <f>SUM('Land of Lincoln'!LIFE)</f>
        <v>0</v>
      </c>
      <c r="I37" s="30">
        <f>SUM('Land of Lincoln'!ALLOCATED)</f>
        <v>0</v>
      </c>
      <c r="J37" s="30">
        <f>SUM('Land of Lincoln'!HEALTH)</f>
        <v>9776890</v>
      </c>
      <c r="K37" s="30">
        <f>SUM('Land of Lincoln'!UNALLOCATED)</f>
        <v>0</v>
      </c>
      <c r="L37" s="30">
        <f>SUM('Land of Lincoln'!LTC)</f>
        <v>0</v>
      </c>
      <c r="M37" s="30">
        <f t="shared" si="2"/>
        <v>9776890</v>
      </c>
      <c r="N37" s="31"/>
      <c r="O37" s="29">
        <v>9776890</v>
      </c>
      <c r="P37" s="31">
        <f t="shared" si="3"/>
        <v>0</v>
      </c>
      <c r="Q37" s="30"/>
      <c r="R37" s="30"/>
      <c r="S37" s="29">
        <f>SUM('Land of Lincoln'!LIFE_CALLED)</f>
        <v>0</v>
      </c>
      <c r="T37" s="30">
        <f>SUM('Land of Lincoln'!LIFE_REFUNDED)</f>
        <v>0</v>
      </c>
      <c r="U37" s="30"/>
      <c r="V37" s="30">
        <f>SUM('Land of Lincoln'!ALLOC_CALLED)</f>
        <v>0</v>
      </c>
      <c r="W37" s="30">
        <f>SUM('Land of Lincoln'!ALLOC_REFUNDED)</f>
        <v>0</v>
      </c>
      <c r="X37" s="30"/>
      <c r="Y37" s="30">
        <f>SUM('Land of Lincoln'!HEALTH_CALLED)</f>
        <v>40000000</v>
      </c>
      <c r="Z37" s="30">
        <f>SUM('Land of Lincoln'!HEALTH_REFUNDED)</f>
        <v>0</v>
      </c>
      <c r="AA37" s="30"/>
      <c r="AB37" s="30">
        <f>SUM('Land of Lincoln'!UNALLOC_CALLED)</f>
        <v>0</v>
      </c>
      <c r="AC37" s="31">
        <f>SUM('Land of Lincoln'!UNALLOC_REFUNDED)</f>
        <v>0</v>
      </c>
    </row>
    <row r="38" spans="2:29">
      <c r="B38" s="8" t="s">
        <v>278</v>
      </c>
      <c r="C38" s="2" t="s">
        <v>279</v>
      </c>
      <c r="D38" s="2" t="s">
        <v>275</v>
      </c>
      <c r="E38" s="2" t="s">
        <v>280</v>
      </c>
      <c r="F38" s="2" t="s">
        <v>281</v>
      </c>
      <c r="G38" s="2"/>
      <c r="H38" s="30">
        <f>SUM(Lumbermens!LIFE)</f>
        <v>0</v>
      </c>
      <c r="I38" s="30">
        <f>SUM(Lumbermens!ALLOCATED)</f>
        <v>0</v>
      </c>
      <c r="J38" s="30">
        <f>SUM(Lumbermens!HEALTH)</f>
        <v>13513688.821880531</v>
      </c>
      <c r="K38" s="30">
        <f>SUM(Lumbermens!UNALLOCATED)</f>
        <v>0</v>
      </c>
      <c r="L38" s="30">
        <f>SUM(Lumbermens!LTC)</f>
        <v>0</v>
      </c>
      <c r="M38" s="30">
        <f t="shared" si="2"/>
        <v>13513688.821880531</v>
      </c>
      <c r="N38" s="31"/>
      <c r="O38" s="29">
        <v>14352583.117979608</v>
      </c>
      <c r="P38" s="31">
        <f t="shared" si="3"/>
        <v>-838894.29609907791</v>
      </c>
      <c r="Q38" s="30"/>
      <c r="R38" s="30"/>
      <c r="S38" s="29">
        <f>SUM(Lumbermens!LIFE_CALLED)</f>
        <v>0</v>
      </c>
      <c r="T38" s="30">
        <f>SUM(Lumbermens!LIFE_REFUNDED)</f>
        <v>0</v>
      </c>
      <c r="U38" s="30"/>
      <c r="V38" s="30">
        <f>SUM(Lumbermens!ALLOC_CALLED)</f>
        <v>0</v>
      </c>
      <c r="W38" s="30">
        <f>SUM(Lumbermens!ALLOC_REFUNDED)</f>
        <v>0</v>
      </c>
      <c r="X38" s="30"/>
      <c r="Y38" s="30">
        <f>SUM(Lumbermens!HEALTH_CALLED)</f>
        <v>10031027</v>
      </c>
      <c r="Z38" s="30">
        <f>SUM(Lumbermens!HEALTH_REFUNDED)</f>
        <v>9982</v>
      </c>
      <c r="AA38" s="30"/>
      <c r="AB38" s="30">
        <f>SUM(Lumbermens!UNALLOC_CALLED)</f>
        <v>0</v>
      </c>
      <c r="AC38" s="31">
        <f>SUM(Lumbermens!UNALLOC_REFUNDED)</f>
        <v>0</v>
      </c>
    </row>
    <row r="39" spans="2:29">
      <c r="B39" s="8" t="s">
        <v>282</v>
      </c>
      <c r="C39" s="2" t="s">
        <v>283</v>
      </c>
      <c r="D39" s="2" t="s">
        <v>202</v>
      </c>
      <c r="E39" s="2" t="s">
        <v>203</v>
      </c>
      <c r="F39" s="2" t="s">
        <v>204</v>
      </c>
      <c r="G39" s="2"/>
      <c r="H39" s="30">
        <f>SUM('Memorial Service'!LIFE)</f>
        <v>67684511.65409556</v>
      </c>
      <c r="I39" s="30">
        <f>SUM('Memorial Service'!ALLOCATED)</f>
        <v>0</v>
      </c>
      <c r="J39" s="30">
        <f>SUM('Memorial Service'!HEALTH)</f>
        <v>0</v>
      </c>
      <c r="K39" s="30">
        <f>SUM('Memorial Service'!UNALLOCATED)</f>
        <v>0</v>
      </c>
      <c r="L39" s="30">
        <f>SUM('Memorial Service'!LTC)</f>
        <v>0</v>
      </c>
      <c r="M39" s="30">
        <f t="shared" si="2"/>
        <v>67684511.65409556</v>
      </c>
      <c r="N39" s="31"/>
      <c r="O39" s="29">
        <v>95817110.65409556</v>
      </c>
      <c r="P39" s="31">
        <f t="shared" si="3"/>
        <v>-28132599</v>
      </c>
      <c r="Q39" s="30"/>
      <c r="R39" s="30"/>
      <c r="S39" s="29">
        <f>SUM('Memorial Service'!LIFE_CALLED)</f>
        <v>94939000</v>
      </c>
      <c r="T39" s="30">
        <f>SUM('Memorial Service'!LIFE_REFUNDED)</f>
        <v>0</v>
      </c>
      <c r="U39" s="30"/>
      <c r="V39" s="30">
        <f>SUM('Memorial Service'!ALLOC_CALLED)</f>
        <v>0</v>
      </c>
      <c r="W39" s="30">
        <f>SUM('Memorial Service'!ALLOC_REFUNDED)</f>
        <v>0</v>
      </c>
      <c r="X39" s="30"/>
      <c r="Y39" s="30">
        <f>SUM('Memorial Service'!HEALTH_CALLED)</f>
        <v>0</v>
      </c>
      <c r="Z39" s="30">
        <f>SUM('Memorial Service'!HEALTH_REFUNDED)</f>
        <v>0</v>
      </c>
      <c r="AA39" s="30"/>
      <c r="AB39" s="30">
        <f>SUM('Memorial Service'!UNALLOC_CALLED)</f>
        <v>0</v>
      </c>
      <c r="AC39" s="31">
        <f>SUM('Memorial Service'!UNALLOC_REFUNDED)</f>
        <v>0</v>
      </c>
    </row>
    <row r="40" spans="2:29">
      <c r="B40" s="8" t="s">
        <v>284</v>
      </c>
      <c r="C40" s="2" t="s">
        <v>285</v>
      </c>
      <c r="D40" s="2" t="s">
        <v>286</v>
      </c>
      <c r="E40" s="2" t="s">
        <v>287</v>
      </c>
      <c r="F40" s="2" t="s">
        <v>288</v>
      </c>
      <c r="G40" s="2"/>
      <c r="H40" s="30">
        <f>SUM('National Heritage'!LIFE)</f>
        <v>5515466.0834107855</v>
      </c>
      <c r="I40" s="30">
        <f>SUM('National Heritage'!ALLOCATED)</f>
        <v>146096675.90191919</v>
      </c>
      <c r="J40" s="30">
        <f>SUM('National Heritage'!HEALTH)</f>
        <v>0</v>
      </c>
      <c r="K40" s="30">
        <f>SUM('National Heritage'!UNALLOCATED)</f>
        <v>0</v>
      </c>
      <c r="L40" s="30">
        <f>SUM('National Heritage'!LTC)</f>
        <v>0</v>
      </c>
      <c r="M40" s="30">
        <f t="shared" si="2"/>
        <v>151612141.98532999</v>
      </c>
      <c r="N40" s="31"/>
      <c r="O40" s="29">
        <v>151595993.74532998</v>
      </c>
      <c r="P40" s="31">
        <f t="shared" si="3"/>
        <v>16148.240000009537</v>
      </c>
      <c r="Q40" s="30"/>
      <c r="R40" s="30"/>
      <c r="S40" s="29">
        <f>SUM('National Heritage'!LIFE_CALLED)</f>
        <v>13267750</v>
      </c>
      <c r="T40" s="30">
        <f>SUM('National Heritage'!LIFE_REFUNDED)</f>
        <v>252755.48813199997</v>
      </c>
      <c r="U40" s="30"/>
      <c r="V40" s="30">
        <f>SUM('National Heritage'!ALLOC_CALLED)</f>
        <v>236361567</v>
      </c>
      <c r="W40" s="30">
        <f>SUM('National Heritage'!ALLOC_REFUNDED)</f>
        <v>21694354.321867999</v>
      </c>
      <c r="X40" s="30"/>
      <c r="Y40" s="30">
        <f>SUM('National Heritage'!HEALTH_CALLED)</f>
        <v>0</v>
      </c>
      <c r="Z40" s="30">
        <f>SUM('National Heritage'!HEALTH_REFUNDED)</f>
        <v>0</v>
      </c>
      <c r="AA40" s="30"/>
      <c r="AB40" s="30">
        <f>SUM('National Heritage'!UNALLOC_CALLED)</f>
        <v>2585649</v>
      </c>
      <c r="AC40" s="31">
        <f>SUM('National Heritage'!UNALLOC_REFUNDED)</f>
        <v>0</v>
      </c>
    </row>
    <row r="41" spans="2:29">
      <c r="B41" s="8" t="s">
        <v>289</v>
      </c>
      <c r="C41" s="2" t="s">
        <v>290</v>
      </c>
      <c r="D41" s="2" t="s">
        <v>291</v>
      </c>
      <c r="E41" s="2" t="s">
        <v>292</v>
      </c>
      <c r="F41" s="2" t="s">
        <v>293</v>
      </c>
      <c r="G41" s="2"/>
      <c r="H41" s="30">
        <f>SUM(NNIC!LIFE)</f>
        <v>0</v>
      </c>
      <c r="I41" s="30">
        <f>SUM(NNIC!ALLOCATED)</f>
        <v>0</v>
      </c>
      <c r="J41" s="30">
        <f>SUM(NNIC!HEALTH)</f>
        <v>7852343.2159051551</v>
      </c>
      <c r="K41" s="30">
        <f>SUM(NNIC!UNALLOCATED)</f>
        <v>0</v>
      </c>
      <c r="L41" s="30">
        <f>SUM(NNIC!LTC)</f>
        <v>0</v>
      </c>
      <c r="M41" s="30">
        <f t="shared" si="2"/>
        <v>7852343.2159051551</v>
      </c>
      <c r="N41" s="31"/>
      <c r="O41" s="29">
        <v>7777303.3659051554</v>
      </c>
      <c r="P41" s="31">
        <f t="shared" si="3"/>
        <v>75039.849999999627</v>
      </c>
      <c r="Q41" s="30"/>
      <c r="R41" s="30"/>
      <c r="S41" s="29">
        <f>SUM(NNIC!LIFE_CALLED)</f>
        <v>0</v>
      </c>
      <c r="T41" s="30">
        <f>SUM(NNIC!LIFE_REFUNDED)</f>
        <v>0</v>
      </c>
      <c r="U41" s="30"/>
      <c r="V41" s="30">
        <f>SUM(NNIC!ALLOC_CALLED)</f>
        <v>0</v>
      </c>
      <c r="W41" s="30">
        <f>SUM(NNIC!ALLOC_REFUNDED)</f>
        <v>0</v>
      </c>
      <c r="X41" s="30"/>
      <c r="Y41" s="30">
        <f>SUM(NNIC!HEALTH_CALLED)</f>
        <v>300000</v>
      </c>
      <c r="Z41" s="30">
        <f>SUM(NNIC!HEALTH_REFUNDED)</f>
        <v>0</v>
      </c>
      <c r="AA41" s="30"/>
      <c r="AB41" s="30">
        <f>SUM(NNIC!UNALLOC_CALLED)</f>
        <v>0</v>
      </c>
      <c r="AC41" s="31">
        <f>SUM(NNIC!UNALLOC_REFUNDED)</f>
        <v>0</v>
      </c>
    </row>
    <row r="42" spans="2:29">
      <c r="B42" s="8" t="s">
        <v>294</v>
      </c>
      <c r="C42" s="2" t="s">
        <v>295</v>
      </c>
      <c r="D42" s="2" t="s">
        <v>188</v>
      </c>
      <c r="E42" s="2" t="s">
        <v>296</v>
      </c>
      <c r="F42" s="2" t="s">
        <v>297</v>
      </c>
      <c r="G42" s="2"/>
      <c r="H42" s="30">
        <f>SUM(Reliance!LIFE)</f>
        <v>0</v>
      </c>
      <c r="I42" s="30">
        <f>SUM(Reliance!ALLOCATED)</f>
        <v>0</v>
      </c>
      <c r="J42" s="30">
        <f>SUM(Reliance!HEALTH)</f>
        <v>512896.03599999979</v>
      </c>
      <c r="K42" s="30">
        <f>SUM(Reliance!UNALLOCATED)</f>
        <v>0</v>
      </c>
      <c r="L42" s="30">
        <f>SUM(Reliance!LTC)</f>
        <v>0</v>
      </c>
      <c r="M42" s="30">
        <f t="shared" si="2"/>
        <v>512896.03599999979</v>
      </c>
      <c r="N42" s="31"/>
      <c r="O42" s="29">
        <v>531424.09600000107</v>
      </c>
      <c r="P42" s="31">
        <f t="shared" si="3"/>
        <v>-18528.060000001278</v>
      </c>
      <c r="Q42" s="30"/>
      <c r="R42" s="30"/>
      <c r="S42" s="29">
        <f>SUM(Reliance!LIFE_CALLED)</f>
        <v>151260</v>
      </c>
      <c r="T42" s="30">
        <f>SUM(Reliance!LIFE_REFUNDED)</f>
        <v>0</v>
      </c>
      <c r="U42" s="30"/>
      <c r="V42" s="30">
        <f>SUM(Reliance!ALLOC_CALLED)</f>
        <v>0</v>
      </c>
      <c r="W42" s="30">
        <f>SUM(Reliance!ALLOC_REFUNDED)</f>
        <v>0</v>
      </c>
      <c r="X42" s="30"/>
      <c r="Y42" s="30">
        <f>SUM(Reliance!HEALTH_CALLED)</f>
        <v>6480687</v>
      </c>
      <c r="Z42" s="30">
        <f>SUM(Reliance!HEALTH_REFUNDED)</f>
        <v>1000000</v>
      </c>
      <c r="AA42" s="30"/>
      <c r="AB42" s="30">
        <f>SUM(Reliance!UNALLOC_CALLED)</f>
        <v>0</v>
      </c>
      <c r="AC42" s="31">
        <f>SUM(Reliance!UNALLOC_REFUNDED)</f>
        <v>0</v>
      </c>
    </row>
    <row r="43" spans="2:29">
      <c r="B43" s="8" t="s">
        <v>298</v>
      </c>
      <c r="C43" s="2" t="s">
        <v>299</v>
      </c>
      <c r="D43" s="2" t="s">
        <v>300</v>
      </c>
      <c r="E43" s="2" t="s">
        <v>301</v>
      </c>
      <c r="F43" s="2" t="s">
        <v>302</v>
      </c>
      <c r="G43" s="2"/>
      <c r="H43" s="30">
        <f>SUM('Standard Life IN'!LIFE)</f>
        <v>0</v>
      </c>
      <c r="I43" s="30">
        <f>SUM('Standard Life IN'!ALLOCATED)</f>
        <v>3028888.897625369</v>
      </c>
      <c r="J43" s="30">
        <f>SUM('Standard Life IN'!HEALTH)</f>
        <v>0</v>
      </c>
      <c r="K43" s="30">
        <f>SUM('Standard Life IN'!UNALLOCATED)</f>
        <v>0</v>
      </c>
      <c r="L43" s="30">
        <f>SUM('Standard Life IN'!LTC)</f>
        <v>0</v>
      </c>
      <c r="M43" s="30">
        <f t="shared" si="2"/>
        <v>3028888.897625369</v>
      </c>
      <c r="N43" s="31"/>
      <c r="O43" s="29">
        <v>3028171.0676253694</v>
      </c>
      <c r="P43" s="31">
        <f t="shared" si="3"/>
        <v>717.82999999960884</v>
      </c>
      <c r="Q43" s="30"/>
      <c r="R43" s="30"/>
      <c r="S43" s="29">
        <f>SUM('Standard Life IN'!LIFE_CALLED)</f>
        <v>0</v>
      </c>
      <c r="T43" s="30">
        <f>SUM('Standard Life IN'!LIFE_REFUNDED)</f>
        <v>0</v>
      </c>
      <c r="U43" s="30"/>
      <c r="V43" s="30">
        <f>SUM('Standard Life IN'!ALLOC_CALLED)</f>
        <v>438000</v>
      </c>
      <c r="W43" s="30">
        <f>SUM('Standard Life IN'!ALLOC_REFUNDED)</f>
        <v>0</v>
      </c>
      <c r="X43" s="30"/>
      <c r="Y43" s="30">
        <f>SUM('Standard Life IN'!HEALTH_CALLED)</f>
        <v>0</v>
      </c>
      <c r="Z43" s="30">
        <f>SUM('Standard Life IN'!HEALTH_REFUNDED)</f>
        <v>0</v>
      </c>
      <c r="AA43" s="30"/>
      <c r="AB43" s="30">
        <f>SUM('Standard Life IN'!UNALLOC_CALLED)</f>
        <v>0</v>
      </c>
      <c r="AC43" s="31">
        <f>SUM('Standard Life IN'!UNALLOC_REFUNDED)</f>
        <v>0</v>
      </c>
    </row>
    <row r="44" spans="2:29">
      <c r="B44" s="8" t="s">
        <v>303</v>
      </c>
      <c r="C44" s="2" t="s">
        <v>304</v>
      </c>
      <c r="D44" s="2" t="s">
        <v>305</v>
      </c>
      <c r="E44" s="2" t="s">
        <v>306</v>
      </c>
      <c r="F44" s="2" t="s">
        <v>307</v>
      </c>
      <c r="G44" s="2"/>
      <c r="H44" s="30">
        <f>SUM('Universal Health Care'!LIFE)</f>
        <v>0</v>
      </c>
      <c r="I44" s="30">
        <f>SUM('Universal Health Care'!ALLOCATED)</f>
        <v>0</v>
      </c>
      <c r="J44" s="30">
        <f>SUM('Universal Health Care'!HEALTH)</f>
        <v>358340.68864415365</v>
      </c>
      <c r="K44" s="30">
        <f>SUM('Universal Health Care'!UNALLOCATED)</f>
        <v>0</v>
      </c>
      <c r="L44" s="30">
        <f>SUM('Universal Health Care'!LTC)</f>
        <v>0</v>
      </c>
      <c r="M44" s="30">
        <f t="shared" si="2"/>
        <v>358340.68864415365</v>
      </c>
      <c r="N44" s="31"/>
      <c r="O44" s="29">
        <v>348937.96864415292</v>
      </c>
      <c r="P44" s="31">
        <f t="shared" si="3"/>
        <v>9402.7200000007288</v>
      </c>
      <c r="Q44" s="30"/>
      <c r="R44" s="30"/>
      <c r="S44" s="29">
        <f>SUM('Universal Health Care'!LIFE_CALLED)</f>
        <v>0</v>
      </c>
      <c r="T44" s="30">
        <f>SUM('Universal Health Care'!LIFE_REFUNDED)</f>
        <v>0</v>
      </c>
      <c r="U44" s="30"/>
      <c r="V44" s="30">
        <f>SUM('Universal Health Care'!ALLOC_CALLED)</f>
        <v>0</v>
      </c>
      <c r="W44" s="30">
        <f>SUM('Universal Health Care'!ALLOC_REFUNDED)</f>
        <v>0</v>
      </c>
      <c r="X44" s="30"/>
      <c r="Y44" s="30">
        <f>SUM('Universal Health Care'!HEALTH_CALLED)</f>
        <v>250000</v>
      </c>
      <c r="Z44" s="30">
        <f>SUM('Universal Health Care'!HEALTH_REFUNDED)</f>
        <v>0</v>
      </c>
      <c r="AA44" s="30"/>
      <c r="AB44" s="30">
        <f>SUM('Universal Health Care'!UNALLOC_CALLED)</f>
        <v>0</v>
      </c>
      <c r="AC44" s="31">
        <f>SUM('Universal Health Care'!UNALLOC_REFUNDED)</f>
        <v>0</v>
      </c>
    </row>
    <row r="45" spans="2:29" ht="6.95" customHeight="1" thickBot="1">
      <c r="B45" s="10"/>
      <c r="C45" s="17"/>
      <c r="D45" s="17"/>
      <c r="E45" s="17"/>
      <c r="F45" s="17"/>
      <c r="G45" s="17"/>
      <c r="H45" s="38"/>
      <c r="I45" s="38"/>
      <c r="J45" s="38"/>
      <c r="K45" s="38"/>
      <c r="L45" s="38"/>
      <c r="M45" s="38"/>
      <c r="N45" s="39"/>
      <c r="O45" s="40"/>
      <c r="P45" s="39"/>
      <c r="Q45" s="30"/>
      <c r="R45" s="30"/>
      <c r="S45" s="40"/>
      <c r="T45" s="38"/>
      <c r="U45" s="38"/>
      <c r="V45" s="38"/>
      <c r="W45" s="38"/>
      <c r="X45" s="38"/>
      <c r="Y45" s="38"/>
      <c r="Z45" s="38"/>
      <c r="AA45" s="38"/>
      <c r="AB45" s="38"/>
      <c r="AC45" s="39"/>
    </row>
    <row r="46" spans="2:29" ht="15.75" thickBot="1">
      <c r="B46" s="27" t="s">
        <v>308</v>
      </c>
      <c r="C46" s="28"/>
      <c r="D46" s="28"/>
      <c r="E46" s="28"/>
      <c r="F46" s="28"/>
      <c r="G46" s="28"/>
      <c r="H46" s="41">
        <f>SUM(CL_LIFE)</f>
        <v>98300049.48441413</v>
      </c>
      <c r="I46" s="41">
        <f>SUM(CL_ALLOCATED)</f>
        <v>964828967.13654315</v>
      </c>
      <c r="J46" s="41">
        <f>SUM(CL_HEALTH)</f>
        <v>220490566.40290111</v>
      </c>
      <c r="K46" s="41">
        <f>SUM(CL_UNALLOCATED)</f>
        <v>0</v>
      </c>
      <c r="L46" s="41">
        <f>SUM(CL_LTC)</f>
        <v>0</v>
      </c>
      <c r="M46" s="41">
        <f>SUM(CL_TOTAL)</f>
        <v>1283619583.0238585</v>
      </c>
      <c r="N46" s="42"/>
      <c r="O46" s="43">
        <f>SUM(CL_TOTAL_PREV)</f>
        <v>1312371862.4441102</v>
      </c>
      <c r="P46" s="42">
        <f>SUM(CL_CHANGE)</f>
        <v>-28752279.420251589</v>
      </c>
      <c r="Q46" s="30"/>
      <c r="R46" s="30"/>
      <c r="S46" s="43">
        <f>SUM(CL_LIFE_CALLED)</f>
        <v>719807209</v>
      </c>
      <c r="T46" s="41">
        <f>SUM(CL_LIFE_REFUNDED)</f>
        <v>10071974.488132</v>
      </c>
      <c r="U46" s="41"/>
      <c r="V46" s="41">
        <f>SUM(CL_ALLOC_CALLED)</f>
        <v>466219596</v>
      </c>
      <c r="W46" s="41">
        <f>SUM(CL_ALLOC_REFUNDED)</f>
        <v>33600944.771867998</v>
      </c>
      <c r="X46" s="41"/>
      <c r="Y46" s="41">
        <f>SUM(CL_HEALTH_CALLED)</f>
        <v>399174232</v>
      </c>
      <c r="Z46" s="41">
        <f>SUM(CL_HEALTH_REFUNDED)</f>
        <v>44406997</v>
      </c>
      <c r="AA46" s="41"/>
      <c r="AB46" s="41">
        <f>SUM(CL_UNALLOC_CALLED)</f>
        <v>6321296</v>
      </c>
      <c r="AC46" s="42">
        <f>SUM(CL_UNALLOC_REFUNDED)</f>
        <v>0</v>
      </c>
    </row>
    <row r="47" spans="2:29" ht="15.75" thickBot="1">
      <c r="C47" s="2"/>
      <c r="D47" s="2"/>
      <c r="E47" s="2"/>
      <c r="F47" s="2"/>
      <c r="G47" s="2"/>
      <c r="H47" s="30"/>
      <c r="I47" s="30"/>
      <c r="J47" s="30"/>
      <c r="K47" s="30"/>
      <c r="L47" s="30"/>
      <c r="M47" s="30"/>
      <c r="N47" s="30"/>
      <c r="O47" s="30"/>
      <c r="P47" s="30"/>
      <c r="Q47" s="30"/>
      <c r="R47" s="30"/>
      <c r="S47" s="30"/>
      <c r="T47" s="30"/>
      <c r="U47" s="30"/>
      <c r="V47" s="30"/>
      <c r="W47" s="30"/>
      <c r="X47" s="30"/>
      <c r="Y47" s="30"/>
      <c r="Z47" s="30"/>
      <c r="AA47" s="30"/>
      <c r="AB47" s="30"/>
      <c r="AC47" s="30"/>
    </row>
    <row r="48" spans="2:29">
      <c r="B48" s="23" t="s">
        <v>309</v>
      </c>
      <c r="C48" s="6"/>
      <c r="D48" s="6"/>
      <c r="E48" s="6"/>
      <c r="F48" s="6"/>
      <c r="G48" s="6"/>
      <c r="H48" s="44"/>
      <c r="I48" s="44"/>
      <c r="J48" s="44"/>
      <c r="K48" s="44"/>
      <c r="L48" s="44"/>
      <c r="M48" s="44"/>
      <c r="N48" s="45"/>
      <c r="O48" s="46"/>
      <c r="P48" s="45"/>
      <c r="Q48" s="30"/>
      <c r="R48" s="30"/>
      <c r="S48" s="46"/>
      <c r="T48" s="44"/>
      <c r="U48" s="44"/>
      <c r="V48" s="44"/>
      <c r="W48" s="44"/>
      <c r="X48" s="44"/>
      <c r="Y48" s="44"/>
      <c r="Z48" s="44"/>
      <c r="AA48" s="44"/>
      <c r="AB48" s="44"/>
      <c r="AC48" s="45"/>
    </row>
    <row r="49" spans="2:29" ht="6.95" customHeight="1">
      <c r="B49" s="8"/>
      <c r="C49" s="2"/>
      <c r="D49" s="2"/>
      <c r="E49" s="2"/>
      <c r="F49" s="2"/>
      <c r="G49" s="2"/>
      <c r="H49" s="30"/>
      <c r="I49" s="30"/>
      <c r="J49" s="30"/>
      <c r="K49" s="30"/>
      <c r="L49" s="30"/>
      <c r="M49" s="30"/>
      <c r="N49" s="31"/>
      <c r="O49" s="29"/>
      <c r="P49" s="31"/>
      <c r="Q49" s="30"/>
      <c r="R49" s="30"/>
      <c r="S49" s="29"/>
      <c r="T49" s="30"/>
      <c r="U49" s="30"/>
      <c r="V49" s="30"/>
      <c r="W49" s="30"/>
      <c r="X49" s="30"/>
      <c r="Y49" s="30"/>
      <c r="Z49" s="30"/>
      <c r="AA49" s="30"/>
      <c r="AB49" s="30"/>
      <c r="AC49" s="31"/>
    </row>
    <row r="50" spans="2:29">
      <c r="B50" s="8" t="s">
        <v>310</v>
      </c>
      <c r="C50" s="2" t="s">
        <v>311</v>
      </c>
      <c r="D50" s="2" t="s">
        <v>312</v>
      </c>
      <c r="E50" s="2" t="s">
        <v>313</v>
      </c>
      <c r="F50" s="2" t="s">
        <v>314</v>
      </c>
      <c r="G50" s="2" t="s">
        <v>315</v>
      </c>
      <c r="H50" s="30">
        <f>SUM('Alabama Life'!LIFE)</f>
        <v>2137779.3229980012</v>
      </c>
      <c r="I50" s="30">
        <f>SUM('Alabama Life'!ALLOCATED)</f>
        <v>1170473.7981022638</v>
      </c>
      <c r="J50" s="30">
        <f>SUM('Alabama Life'!HEALTH)</f>
        <v>10279.638899735133</v>
      </c>
      <c r="K50" s="30">
        <f>SUM('Alabama Life'!UNALLOCATED)</f>
        <v>0</v>
      </c>
      <c r="L50" s="30">
        <f>SUM('Alabama Life'!LTC)</f>
        <v>0</v>
      </c>
      <c r="M50" s="30">
        <f t="shared" ref="M50:M81" si="4">SUM(H50:L50)</f>
        <v>3318532.7600000002</v>
      </c>
      <c r="N50" s="31"/>
      <c r="O50" s="29">
        <v>3318532.7600000002</v>
      </c>
      <c r="P50" s="31">
        <f t="shared" ref="P50:P81" si="5">+M50-O50</f>
        <v>0</v>
      </c>
      <c r="Q50" s="30"/>
      <c r="R50" s="30"/>
      <c r="S50" s="29">
        <f>SUM('Alabama Life'!LIFE_CALLED)</f>
        <v>2800000</v>
      </c>
      <c r="T50" s="30">
        <f>SUM('Alabama Life'!LIFE_REFUNDED)</f>
        <v>0</v>
      </c>
      <c r="U50" s="30"/>
      <c r="V50" s="30">
        <f>SUM('Alabama Life'!ALLOC_CALLED)</f>
        <v>568170</v>
      </c>
      <c r="W50" s="30">
        <f>SUM('Alabama Life'!ALLOC_REFUNDED)</f>
        <v>0</v>
      </c>
      <c r="X50" s="30"/>
      <c r="Y50" s="30">
        <f>SUM('Alabama Life'!HEALTH_CALLED)</f>
        <v>13000</v>
      </c>
      <c r="Z50" s="30">
        <f>SUM('Alabama Life'!HEALTH_REFUNDED)</f>
        <v>0</v>
      </c>
      <c r="AA50" s="30"/>
      <c r="AB50" s="30">
        <f>SUM('Alabama Life'!UNALLOC_CALLED)</f>
        <v>0</v>
      </c>
      <c r="AC50" s="31">
        <f>SUM('Alabama Life'!UNALLOC_REFUNDED)</f>
        <v>0</v>
      </c>
    </row>
    <row r="51" spans="2:29">
      <c r="B51" s="8" t="s">
        <v>316</v>
      </c>
      <c r="C51" s="2" t="s">
        <v>317</v>
      </c>
      <c r="D51" s="2" t="s">
        <v>248</v>
      </c>
      <c r="E51" s="2" t="s">
        <v>318</v>
      </c>
      <c r="F51" s="2" t="s">
        <v>319</v>
      </c>
      <c r="G51" s="2" t="s">
        <v>320</v>
      </c>
      <c r="H51" s="30">
        <f>SUM('American Chambers'!LIFE)</f>
        <v>79567.167830055259</v>
      </c>
      <c r="I51" s="30">
        <f>SUM('American Chambers'!ALLOCATED)</f>
        <v>0</v>
      </c>
      <c r="J51" s="30">
        <f>SUM('American Chambers'!HEALTH)</f>
        <v>26352847.616249941</v>
      </c>
      <c r="K51" s="30">
        <f>SUM('American Chambers'!UNALLOCATED)</f>
        <v>0</v>
      </c>
      <c r="L51" s="30">
        <f>SUM('American Chambers'!LTC)</f>
        <v>0</v>
      </c>
      <c r="M51" s="30">
        <f t="shared" si="4"/>
        <v>26432414.784079995</v>
      </c>
      <c r="N51" s="31"/>
      <c r="O51" s="29">
        <v>26456113.354079995</v>
      </c>
      <c r="P51" s="31">
        <f t="shared" si="5"/>
        <v>-23698.570000000298</v>
      </c>
      <c r="Q51" s="30"/>
      <c r="R51" s="30"/>
      <c r="S51" s="29">
        <f>SUM('American Chambers'!LIFE_CALLED)</f>
        <v>253143</v>
      </c>
      <c r="T51" s="30">
        <f>SUM('American Chambers'!LIFE_REFUNDED)</f>
        <v>4500</v>
      </c>
      <c r="U51" s="30"/>
      <c r="V51" s="30">
        <f>SUM('American Chambers'!ALLOC_CALLED)</f>
        <v>0</v>
      </c>
      <c r="W51" s="30">
        <f>SUM('American Chambers'!ALLOC_REFUNDED)</f>
        <v>0</v>
      </c>
      <c r="X51" s="30"/>
      <c r="Y51" s="30">
        <f>SUM('American Chambers'!HEALTH_CALLED)</f>
        <v>58771774</v>
      </c>
      <c r="Z51" s="30">
        <f>SUM('American Chambers'!HEALTH_REFUNDED)</f>
        <v>16096567</v>
      </c>
      <c r="AA51" s="30"/>
      <c r="AB51" s="30">
        <f>SUM('American Chambers'!UNALLOC_CALLED)</f>
        <v>0</v>
      </c>
      <c r="AC51" s="31">
        <f>SUM('American Chambers'!UNALLOC_REFUNDED)</f>
        <v>0</v>
      </c>
    </row>
    <row r="52" spans="2:29">
      <c r="B52" s="8" t="s">
        <v>321</v>
      </c>
      <c r="C52" s="2" t="s">
        <v>322</v>
      </c>
      <c r="D52" s="2" t="s">
        <v>312</v>
      </c>
      <c r="E52" s="2" t="s">
        <v>313</v>
      </c>
      <c r="F52" s="2" t="s">
        <v>323</v>
      </c>
      <c r="G52" s="2" t="s">
        <v>324</v>
      </c>
      <c r="H52" s="30">
        <f>SUM('American Educators'!LIFE)</f>
        <v>227596.37831170985</v>
      </c>
      <c r="I52" s="30">
        <f>SUM('American Educators'!ALLOCATED)</f>
        <v>4592238.8649955532</v>
      </c>
      <c r="J52" s="30">
        <f>SUM('American Educators'!HEALTH)</f>
        <v>109820.02669273682</v>
      </c>
      <c r="K52" s="30">
        <f>SUM('American Educators'!UNALLOCATED)</f>
        <v>0</v>
      </c>
      <c r="L52" s="30">
        <f>SUM('American Educators'!LTC)</f>
        <v>0</v>
      </c>
      <c r="M52" s="30">
        <f t="shared" si="4"/>
        <v>4929655.2699999996</v>
      </c>
      <c r="N52" s="31"/>
      <c r="O52" s="29">
        <v>4929655.2699999996</v>
      </c>
      <c r="P52" s="31">
        <f t="shared" si="5"/>
        <v>0</v>
      </c>
      <c r="Q52" s="30"/>
      <c r="R52" s="30"/>
      <c r="S52" s="29">
        <f>SUM('American Educators'!LIFE_CALLED)</f>
        <v>19024</v>
      </c>
      <c r="T52" s="30">
        <f>SUM('American Educators'!LIFE_REFUNDED)</f>
        <v>0</v>
      </c>
      <c r="U52" s="30"/>
      <c r="V52" s="30">
        <f>SUM('American Educators'!ALLOC_CALLED)</f>
        <v>284983</v>
      </c>
      <c r="W52" s="30">
        <f>SUM('American Educators'!ALLOC_REFUNDED)</f>
        <v>1409.23</v>
      </c>
      <c r="X52" s="30"/>
      <c r="Y52" s="30">
        <f>SUM('American Educators'!HEALTH_CALLED)</f>
        <v>7000</v>
      </c>
      <c r="Z52" s="30">
        <f>SUM('American Educators'!HEALTH_REFUNDED)</f>
        <v>0</v>
      </c>
      <c r="AA52" s="30"/>
      <c r="AB52" s="30">
        <f>SUM('American Educators'!UNALLOC_CALLED)</f>
        <v>0</v>
      </c>
      <c r="AC52" s="31">
        <f>SUM('American Educators'!UNALLOC_REFUNDED)</f>
        <v>0</v>
      </c>
    </row>
    <row r="53" spans="2:29">
      <c r="B53" s="8" t="s">
        <v>325</v>
      </c>
      <c r="C53" s="2" t="s">
        <v>326</v>
      </c>
      <c r="D53" s="2" t="s">
        <v>188</v>
      </c>
      <c r="E53" s="2"/>
      <c r="F53" s="2" t="s">
        <v>327</v>
      </c>
      <c r="G53" s="2" t="s">
        <v>328</v>
      </c>
      <c r="H53" s="30">
        <f>SUM('American Integrity'!LIFE)</f>
        <v>0</v>
      </c>
      <c r="I53" s="30">
        <f>SUM('American Integrity'!ALLOCATED)</f>
        <v>0</v>
      </c>
      <c r="J53" s="30">
        <f>SUM('American Integrity'!HEALTH)</f>
        <v>34222634.49000001</v>
      </c>
      <c r="K53" s="30">
        <f>SUM('American Integrity'!UNALLOCATED)</f>
        <v>0</v>
      </c>
      <c r="L53" s="30">
        <f>SUM('American Integrity'!LTC)</f>
        <v>0</v>
      </c>
      <c r="M53" s="30">
        <f t="shared" si="4"/>
        <v>34222634.49000001</v>
      </c>
      <c r="N53" s="31"/>
      <c r="O53" s="29">
        <v>34222634.49000001</v>
      </c>
      <c r="P53" s="31">
        <f t="shared" si="5"/>
        <v>0</v>
      </c>
      <c r="Q53" s="30"/>
      <c r="R53" s="30"/>
      <c r="S53" s="29">
        <f>SUM('American Integrity'!LIFE_CALLED)</f>
        <v>9517</v>
      </c>
      <c r="T53" s="30">
        <f>SUM('American Integrity'!LIFE_REFUNDED)</f>
        <v>729780</v>
      </c>
      <c r="U53" s="30"/>
      <c r="V53" s="30">
        <f>SUM('American Integrity'!ALLOC_CALLED)</f>
        <v>0</v>
      </c>
      <c r="W53" s="30">
        <f>SUM('American Integrity'!ALLOC_REFUNDED)</f>
        <v>0</v>
      </c>
      <c r="X53" s="30"/>
      <c r="Y53" s="30">
        <f>SUM('American Integrity'!HEALTH_CALLED)</f>
        <v>85880466.5</v>
      </c>
      <c r="Z53" s="30">
        <f>SUM('American Integrity'!HEALTH_REFUNDED)</f>
        <v>30818274</v>
      </c>
      <c r="AA53" s="30"/>
      <c r="AB53" s="30">
        <f>SUM('American Integrity'!UNALLOC_CALLED)</f>
        <v>0</v>
      </c>
      <c r="AC53" s="31">
        <f>SUM('American Integrity'!UNALLOC_REFUNDED)</f>
        <v>0</v>
      </c>
    </row>
    <row r="54" spans="2:29">
      <c r="B54" s="8" t="s">
        <v>329</v>
      </c>
      <c r="C54" s="2" t="s">
        <v>330</v>
      </c>
      <c r="D54" s="2" t="s">
        <v>312</v>
      </c>
      <c r="E54" s="2" t="s">
        <v>331</v>
      </c>
      <c r="F54" s="2" t="s">
        <v>332</v>
      </c>
      <c r="G54" s="2" t="s">
        <v>333</v>
      </c>
      <c r="H54" s="30">
        <f>SUM('Amer Life Asr'!LIFE)</f>
        <v>95497.661041522748</v>
      </c>
      <c r="I54" s="30">
        <f>SUM('Amer Life Asr'!ALLOCATED)</f>
        <v>855117.8363727564</v>
      </c>
      <c r="J54" s="30">
        <f>SUM('Amer Life Asr'!HEALTH)</f>
        <v>4435326.012585721</v>
      </c>
      <c r="K54" s="30">
        <f>SUM('Amer Life Asr'!UNALLOCATED)</f>
        <v>0</v>
      </c>
      <c r="L54" s="30">
        <f>SUM('Amer Life Asr'!LTC)</f>
        <v>0</v>
      </c>
      <c r="M54" s="30">
        <f t="shared" si="4"/>
        <v>5385941.5099999998</v>
      </c>
      <c r="N54" s="31"/>
      <c r="O54" s="29">
        <v>5385941.5099999998</v>
      </c>
      <c r="P54" s="31">
        <f t="shared" si="5"/>
        <v>0</v>
      </c>
      <c r="Q54" s="30"/>
      <c r="R54" s="30"/>
      <c r="S54" s="29">
        <f>SUM('Amer Life Asr'!LIFE_CALLED)</f>
        <v>10971</v>
      </c>
      <c r="T54" s="30">
        <f>SUM('Amer Life Asr'!LIFE_REFUNDED)</f>
        <v>0</v>
      </c>
      <c r="U54" s="30"/>
      <c r="V54" s="30">
        <f>SUM('Amer Life Asr'!ALLOC_CALLED)</f>
        <v>0</v>
      </c>
      <c r="W54" s="30">
        <f>SUM('Amer Life Asr'!ALLOC_REFUNDED)</f>
        <v>0</v>
      </c>
      <c r="X54" s="30"/>
      <c r="Y54" s="30">
        <f>SUM('Amer Life Asr'!HEALTH_CALLED)</f>
        <v>148029</v>
      </c>
      <c r="Z54" s="30">
        <f>SUM('Amer Life Asr'!HEALTH_REFUNDED)</f>
        <v>0</v>
      </c>
      <c r="AA54" s="30"/>
      <c r="AB54" s="30">
        <f>SUM('Amer Life Asr'!UNALLOC_CALLED)</f>
        <v>0</v>
      </c>
      <c r="AC54" s="31">
        <f>SUM('Amer Life Asr'!UNALLOC_REFUNDED)</f>
        <v>0</v>
      </c>
    </row>
    <row r="55" spans="2:29">
      <c r="B55" s="8" t="s">
        <v>334</v>
      </c>
      <c r="C55" s="2" t="s">
        <v>335</v>
      </c>
      <c r="D55" s="2" t="s">
        <v>257</v>
      </c>
      <c r="E55" s="2" t="s">
        <v>336</v>
      </c>
      <c r="F55" s="2" t="s">
        <v>337</v>
      </c>
      <c r="G55" s="2" t="s">
        <v>338</v>
      </c>
      <c r="H55" s="30">
        <f>SUM('Amer Std Life Acc'!LIFE)</f>
        <v>7621588.1753547508</v>
      </c>
      <c r="I55" s="30">
        <f>SUM('Amer Std Life Acc'!ALLOCATED)</f>
        <v>432420.10685980052</v>
      </c>
      <c r="J55" s="30">
        <f>SUM('Amer Std Life Acc'!HEALTH)</f>
        <v>422747.11778544862</v>
      </c>
      <c r="K55" s="30">
        <f>SUM('Amer Std Life Acc'!UNALLOCATED)</f>
        <v>0</v>
      </c>
      <c r="L55" s="30">
        <f>SUM('Amer Std Life Acc'!LTC)</f>
        <v>0</v>
      </c>
      <c r="M55" s="30">
        <f t="shared" si="4"/>
        <v>8476755.4000000004</v>
      </c>
      <c r="N55" s="31"/>
      <c r="O55" s="29">
        <v>8476755.4000000004</v>
      </c>
      <c r="P55" s="31">
        <f t="shared" si="5"/>
        <v>0</v>
      </c>
      <c r="Q55" s="30"/>
      <c r="R55" s="30"/>
      <c r="S55" s="29">
        <f>SUM('Amer Std Life Acc'!LIFE_CALLED)</f>
        <v>6139072</v>
      </c>
      <c r="T55" s="30">
        <f>SUM('Amer Std Life Acc'!LIFE_REFUNDED)</f>
        <v>5473823.1830000002</v>
      </c>
      <c r="U55" s="30"/>
      <c r="V55" s="30">
        <f>SUM('Amer Std Life Acc'!ALLOC_CALLED)</f>
        <v>10343</v>
      </c>
      <c r="W55" s="30">
        <f>SUM('Amer Std Life Acc'!ALLOC_REFUNDED)</f>
        <v>111000</v>
      </c>
      <c r="X55" s="30"/>
      <c r="Y55" s="30">
        <f>SUM('Amer Std Life Acc'!HEALTH_CALLED)</f>
        <v>1280461</v>
      </c>
      <c r="Z55" s="30">
        <f>SUM('Amer Std Life Acc'!HEALTH_REFUNDED)</f>
        <v>660184.81700000004</v>
      </c>
      <c r="AA55" s="30"/>
      <c r="AB55" s="30">
        <f>SUM('Amer Std Life Acc'!UNALLOC_CALLED)</f>
        <v>0</v>
      </c>
      <c r="AC55" s="31">
        <f>SUM('Amer Std Life Acc'!UNALLOC_REFUNDED)</f>
        <v>0</v>
      </c>
    </row>
    <row r="56" spans="2:29">
      <c r="B56" s="8" t="s">
        <v>339</v>
      </c>
      <c r="C56" s="2" t="s">
        <v>340</v>
      </c>
      <c r="D56" s="2" t="s">
        <v>341</v>
      </c>
      <c r="E56" s="2" t="s">
        <v>342</v>
      </c>
      <c r="F56" s="2" t="s">
        <v>343</v>
      </c>
      <c r="G56" s="2" t="s">
        <v>344</v>
      </c>
      <c r="H56" s="30">
        <f>SUM(AmerWstrn!LIFE)</f>
        <v>-693.9963165864574</v>
      </c>
      <c r="I56" s="30">
        <f>SUM(AmerWstrn!ALLOCATED)</f>
        <v>0</v>
      </c>
      <c r="J56" s="30">
        <f>SUM(AmerWstrn!HEALTH)</f>
        <v>-135358.01368341275</v>
      </c>
      <c r="K56" s="30">
        <f>SUM(AmerWstrn!UNALLOCATED)</f>
        <v>0</v>
      </c>
      <c r="L56" s="30">
        <f>SUM(AmerWstrn!LTC)</f>
        <v>0</v>
      </c>
      <c r="M56" s="30">
        <f t="shared" si="4"/>
        <v>-136052.00999999919</v>
      </c>
      <c r="N56" s="31"/>
      <c r="O56" s="29">
        <v>-136052.00999999919</v>
      </c>
      <c r="P56" s="31">
        <f t="shared" si="5"/>
        <v>0</v>
      </c>
      <c r="Q56" s="30"/>
      <c r="R56" s="30"/>
      <c r="S56" s="29">
        <f>SUM(AmerWstrn!LIFE_CALLED)</f>
        <v>0</v>
      </c>
      <c r="T56" s="30">
        <f>SUM(AmerWstrn!LIFE_REFUNDED)</f>
        <v>0</v>
      </c>
      <c r="U56" s="30"/>
      <c r="V56" s="30">
        <f>SUM(AmerWstrn!ALLOC_CALLED)</f>
        <v>0</v>
      </c>
      <c r="W56" s="30">
        <f>SUM(AmerWstrn!ALLOC_REFUNDED)</f>
        <v>0</v>
      </c>
      <c r="X56" s="30"/>
      <c r="Y56" s="30">
        <f>SUM(AmerWstrn!HEALTH_CALLED)</f>
        <v>1804218</v>
      </c>
      <c r="Z56" s="30">
        <f>SUM(AmerWstrn!HEALTH_REFUNDED)</f>
        <v>1145622</v>
      </c>
      <c r="AA56" s="30"/>
      <c r="AB56" s="30">
        <f>SUM(AmerWstrn!UNALLOC_CALLED)</f>
        <v>0</v>
      </c>
      <c r="AC56" s="31">
        <f>SUM(AmerWstrn!UNALLOC_REFUNDED)</f>
        <v>0</v>
      </c>
    </row>
    <row r="57" spans="2:29">
      <c r="B57" s="8" t="s">
        <v>345</v>
      </c>
      <c r="C57" s="2" t="s">
        <v>346</v>
      </c>
      <c r="D57" s="2" t="s">
        <v>230</v>
      </c>
      <c r="E57" s="2" t="s">
        <v>347</v>
      </c>
      <c r="F57" s="2" t="s">
        <v>348</v>
      </c>
      <c r="G57" s="2" t="s">
        <v>349</v>
      </c>
      <c r="H57" s="30">
        <f>SUM('AMS Life'!LIFE)</f>
        <v>1793887.6697184704</v>
      </c>
      <c r="I57" s="30">
        <f>SUM('AMS Life'!ALLOCATED)</f>
        <v>31550504.988168035</v>
      </c>
      <c r="J57" s="30">
        <f>SUM('AMS Life'!HEALTH)</f>
        <v>-118324.99788650456</v>
      </c>
      <c r="K57" s="30">
        <f>SUM('AMS Life'!UNALLOCATED)</f>
        <v>0</v>
      </c>
      <c r="L57" s="30">
        <f>SUM('AMS Life'!LTC)</f>
        <v>0</v>
      </c>
      <c r="M57" s="30">
        <f t="shared" si="4"/>
        <v>33226067.66</v>
      </c>
      <c r="N57" s="31"/>
      <c r="O57" s="29">
        <v>33226067.66</v>
      </c>
      <c r="P57" s="31">
        <f t="shared" si="5"/>
        <v>0</v>
      </c>
      <c r="Q57" s="30"/>
      <c r="R57" s="30"/>
      <c r="S57" s="29">
        <f>SUM('AMS Life'!LIFE_CALLED)</f>
        <v>4459142</v>
      </c>
      <c r="T57" s="30">
        <f>SUM('AMS Life'!LIFE_REFUNDED)</f>
        <v>3474861.5120000001</v>
      </c>
      <c r="U57" s="30"/>
      <c r="V57" s="30">
        <f>SUM('AMS Life'!ALLOC_CALLED)</f>
        <v>65758257</v>
      </c>
      <c r="W57" s="30">
        <f>SUM('AMS Life'!ALLOC_REFUNDED)</f>
        <v>40390278.487999998</v>
      </c>
      <c r="X57" s="30"/>
      <c r="Y57" s="30">
        <f>SUM('AMS Life'!HEALTH_CALLED)</f>
        <v>1310907</v>
      </c>
      <c r="Z57" s="30">
        <f>SUM('AMS Life'!HEALTH_REFUNDED)</f>
        <v>1500000</v>
      </c>
      <c r="AA57" s="30"/>
      <c r="AB57" s="30">
        <f>SUM('AMS Life'!UNALLOC_CALLED)</f>
        <v>8000000</v>
      </c>
      <c r="AC57" s="31">
        <f>SUM('AMS Life'!UNALLOC_REFUNDED)</f>
        <v>2700000</v>
      </c>
    </row>
    <row r="58" spans="2:29">
      <c r="B58" s="8" t="s">
        <v>350</v>
      </c>
      <c r="C58" s="2" t="s">
        <v>351</v>
      </c>
      <c r="D58" s="2" t="s">
        <v>202</v>
      </c>
      <c r="E58" s="2" t="s">
        <v>352</v>
      </c>
      <c r="F58" s="2" t="s">
        <v>353</v>
      </c>
      <c r="G58" s="2" t="s">
        <v>355</v>
      </c>
      <c r="H58" s="30">
        <f>SUM('Bankers Commercial'!LIFE)</f>
        <v>-1026.9908479711739</v>
      </c>
      <c r="I58" s="30">
        <f>SUM('Bankers Commercial'!ALLOCATED)</f>
        <v>0</v>
      </c>
      <c r="J58" s="30">
        <f>SUM('Bankers Commercial'!HEALTH)</f>
        <v>13837680.63084797</v>
      </c>
      <c r="K58" s="30">
        <f>SUM('Bankers Commercial'!UNALLOCATED)</f>
        <v>0</v>
      </c>
      <c r="L58" s="30">
        <f>SUM('Bankers Commercial'!LTC)</f>
        <v>0</v>
      </c>
      <c r="M58" s="30">
        <f t="shared" si="4"/>
        <v>13836653.639999999</v>
      </c>
      <c r="N58" s="31"/>
      <c r="O58" s="29">
        <v>13836653.640000001</v>
      </c>
      <c r="P58" s="31">
        <f t="shared" si="5"/>
        <v>0</v>
      </c>
      <c r="Q58" s="30"/>
      <c r="R58" s="30"/>
      <c r="S58" s="29">
        <f>SUM('Bankers Commercial'!LIFE_CALLED)</f>
        <v>70714</v>
      </c>
      <c r="T58" s="30">
        <f>SUM('Bankers Commercial'!LIFE_REFUNDED)</f>
        <v>16487.105000000003</v>
      </c>
      <c r="U58" s="30"/>
      <c r="V58" s="30">
        <f>SUM('Bankers Commercial'!ALLOC_CALLED)</f>
        <v>0</v>
      </c>
      <c r="W58" s="30">
        <f>SUM('Bankers Commercial'!ALLOC_REFUNDED)</f>
        <v>0</v>
      </c>
      <c r="X58" s="30"/>
      <c r="Y58" s="30">
        <f>SUM('Bankers Commercial'!HEALTH_CALLED)</f>
        <v>17454254</v>
      </c>
      <c r="Z58" s="30">
        <f>SUM('Bankers Commercial'!HEALTH_REFUNDED)</f>
        <v>2830939.895</v>
      </c>
      <c r="AA58" s="30"/>
      <c r="AB58" s="30">
        <f>SUM('Bankers Commercial'!UNALLOC_CALLED)</f>
        <v>0</v>
      </c>
      <c r="AC58" s="31">
        <f>SUM('Bankers Commercial'!UNALLOC_REFUNDED)</f>
        <v>0</v>
      </c>
    </row>
    <row r="59" spans="2:29">
      <c r="B59" s="8" t="s">
        <v>356</v>
      </c>
      <c r="C59" s="2" t="s">
        <v>357</v>
      </c>
      <c r="D59" s="2" t="s">
        <v>300</v>
      </c>
      <c r="E59" s="2" t="s">
        <v>358</v>
      </c>
      <c r="F59" s="2" t="s">
        <v>359</v>
      </c>
      <c r="G59" s="2" t="s">
        <v>360</v>
      </c>
      <c r="H59" s="30">
        <f>SUM(Benicorp!LIFE)</f>
        <v>12197.586092318532</v>
      </c>
      <c r="I59" s="30">
        <f>SUM(Benicorp!ALLOCATED)</f>
        <v>0</v>
      </c>
      <c r="J59" s="30">
        <f>SUM(Benicorp!HEALTH)</f>
        <v>26434329.524896625</v>
      </c>
      <c r="K59" s="30">
        <f>SUM(Benicorp!UNALLOCATED)</f>
        <v>0</v>
      </c>
      <c r="L59" s="30">
        <f>SUM(Benicorp!LTC)</f>
        <v>0</v>
      </c>
      <c r="M59" s="30">
        <f t="shared" si="4"/>
        <v>26446527.110988945</v>
      </c>
      <c r="N59" s="31"/>
      <c r="O59" s="29">
        <v>28699648.680988934</v>
      </c>
      <c r="P59" s="31">
        <f t="shared" si="5"/>
        <v>-2253121.5699999891</v>
      </c>
      <c r="Q59" s="30"/>
      <c r="R59" s="30"/>
      <c r="S59" s="29">
        <f>SUM(Benicorp!LIFE_CALLED)</f>
        <v>0</v>
      </c>
      <c r="T59" s="30">
        <f>SUM(Benicorp!LIFE_REFUNDED)</f>
        <v>0</v>
      </c>
      <c r="U59" s="30"/>
      <c r="V59" s="30">
        <f>SUM(Benicorp!ALLOC_CALLED)</f>
        <v>0</v>
      </c>
      <c r="W59" s="30">
        <f>SUM(Benicorp!ALLOC_REFUNDED)</f>
        <v>0</v>
      </c>
      <c r="X59" s="30"/>
      <c r="Y59" s="30">
        <f>SUM(Benicorp!HEALTH_CALLED)</f>
        <v>38791852</v>
      </c>
      <c r="Z59" s="30">
        <f>SUM(Benicorp!HEALTH_REFUNDED)</f>
        <v>0</v>
      </c>
      <c r="AA59" s="30"/>
      <c r="AB59" s="30">
        <f>SUM(Benicorp!UNALLOC_CALLED)</f>
        <v>0</v>
      </c>
      <c r="AC59" s="31">
        <f>SUM(Benicorp!UNALLOC_REFUNDED)</f>
        <v>0</v>
      </c>
    </row>
    <row r="60" spans="2:29">
      <c r="B60" s="8" t="s">
        <v>361</v>
      </c>
      <c r="C60" s="2" t="s">
        <v>362</v>
      </c>
      <c r="D60" s="2" t="s">
        <v>312</v>
      </c>
      <c r="E60" s="2" t="s">
        <v>363</v>
      </c>
      <c r="F60" s="2" t="s">
        <v>364</v>
      </c>
      <c r="G60" s="2" t="s">
        <v>365</v>
      </c>
      <c r="H60" s="30">
        <f>SUM('Booker T Washington'!LIFE)</f>
        <v>24484543.314213227</v>
      </c>
      <c r="I60" s="30">
        <f>SUM('Booker T Washington'!ALLOCATED)</f>
        <v>0</v>
      </c>
      <c r="J60" s="30">
        <f>SUM('Booker T Washington'!HEALTH)</f>
        <v>43681.769999998709</v>
      </c>
      <c r="K60" s="30">
        <f>SUM('Booker T Washington'!UNALLOCATED)</f>
        <v>0</v>
      </c>
      <c r="L60" s="30">
        <f>SUM('Booker T Washington'!LTC)</f>
        <v>0</v>
      </c>
      <c r="M60" s="30">
        <f t="shared" si="4"/>
        <v>24528225.084213227</v>
      </c>
      <c r="N60" s="31"/>
      <c r="O60" s="29">
        <v>24356614.476198468</v>
      </c>
      <c r="P60" s="31">
        <f t="shared" si="5"/>
        <v>171610.60801475868</v>
      </c>
      <c r="Q60" s="30"/>
      <c r="R60" s="30"/>
      <c r="S60" s="29">
        <f>SUM('Booker T Washington'!LIFE_CALLED)</f>
        <v>0</v>
      </c>
      <c r="T60" s="30">
        <f>SUM('Booker T Washington'!LIFE_REFUNDED)</f>
        <v>0</v>
      </c>
      <c r="U60" s="30"/>
      <c r="V60" s="30">
        <f>SUM('Booker T Washington'!ALLOC_CALLED)</f>
        <v>0</v>
      </c>
      <c r="W60" s="30">
        <f>SUM('Booker T Washington'!ALLOC_REFUNDED)</f>
        <v>0</v>
      </c>
      <c r="X60" s="30"/>
      <c r="Y60" s="30">
        <f>SUM('Booker T Washington'!HEALTH_CALLED)</f>
        <v>0</v>
      </c>
      <c r="Z60" s="30">
        <f>SUM('Booker T Washington'!HEALTH_REFUNDED)</f>
        <v>0</v>
      </c>
      <c r="AA60" s="30"/>
      <c r="AB60" s="30">
        <f>SUM('Booker T Washington'!UNALLOC_CALLED)</f>
        <v>0</v>
      </c>
      <c r="AC60" s="31">
        <f>SUM('Booker T Washington'!UNALLOC_REFUNDED)</f>
        <v>0</v>
      </c>
    </row>
    <row r="61" spans="2:29">
      <c r="B61" s="8" t="s">
        <v>366</v>
      </c>
      <c r="C61" s="2" t="s">
        <v>367</v>
      </c>
      <c r="D61" s="2" t="s">
        <v>368</v>
      </c>
      <c r="E61" s="2" t="s">
        <v>369</v>
      </c>
      <c r="F61" s="2" t="s">
        <v>370</v>
      </c>
      <c r="G61" s="2" t="s">
        <v>371</v>
      </c>
      <c r="H61" s="30">
        <f>SUM(Centennial!LIFE)</f>
        <v>15763</v>
      </c>
      <c r="I61" s="30">
        <f>SUM(Centennial!ALLOCATED)</f>
        <v>0</v>
      </c>
      <c r="J61" s="30">
        <f>SUM(Centennial!HEALTH)</f>
        <v>-196404.04872965094</v>
      </c>
      <c r="K61" s="30">
        <f>SUM(Centennial!UNALLOCATED)</f>
        <v>0</v>
      </c>
      <c r="L61" s="30">
        <f>SUM(Centennial!LTC)</f>
        <v>0</v>
      </c>
      <c r="M61" s="30">
        <f t="shared" si="4"/>
        <v>-180641.04872965094</v>
      </c>
      <c r="N61" s="31"/>
      <c r="O61" s="29">
        <v>-180641.048729651</v>
      </c>
      <c r="P61" s="31">
        <f t="shared" si="5"/>
        <v>0</v>
      </c>
      <c r="Q61" s="30"/>
      <c r="R61" s="30"/>
      <c r="S61" s="29">
        <f>SUM(Centennial!LIFE_CALLED)</f>
        <v>793564</v>
      </c>
      <c r="T61" s="30">
        <f>SUM(Centennial!LIFE_REFUNDED)</f>
        <v>687271</v>
      </c>
      <c r="U61" s="30"/>
      <c r="V61" s="30">
        <f>SUM(Centennial!ALLOC_CALLED)</f>
        <v>100000</v>
      </c>
      <c r="W61" s="30">
        <f>SUM(Centennial!ALLOC_REFUNDED)</f>
        <v>50000</v>
      </c>
      <c r="X61" s="30"/>
      <c r="Y61" s="30">
        <f>SUM(Centennial!HEALTH_CALLED)</f>
        <v>19664517</v>
      </c>
      <c r="Z61" s="30">
        <f>SUM(Centennial!HEALTH_REFUNDED)</f>
        <v>13362131</v>
      </c>
      <c r="AA61" s="30"/>
      <c r="AB61" s="30">
        <f>SUM(Centennial!UNALLOC_CALLED)</f>
        <v>0</v>
      </c>
      <c r="AC61" s="31">
        <f>SUM(Centennial!UNALLOC_REFUNDED)</f>
        <v>0</v>
      </c>
    </row>
    <row r="62" spans="2:29">
      <c r="B62" s="8" t="s">
        <v>372</v>
      </c>
      <c r="C62" s="2" t="s">
        <v>373</v>
      </c>
      <c r="D62" s="2" t="s">
        <v>374</v>
      </c>
      <c r="E62" s="2" t="s">
        <v>375</v>
      </c>
      <c r="F62" s="2" t="s">
        <v>376</v>
      </c>
      <c r="G62" s="2" t="s">
        <v>377</v>
      </c>
      <c r="H62" s="30">
        <f>SUM('Coastal States'!LIFE)</f>
        <v>48630.912068676385</v>
      </c>
      <c r="I62" s="30">
        <f>SUM('Coastal States'!ALLOCATED)</f>
        <v>16276482.967931326</v>
      </c>
      <c r="J62" s="30">
        <f>SUM('Coastal States'!HEALTH)</f>
        <v>0</v>
      </c>
      <c r="K62" s="30">
        <f>SUM('Coastal States'!UNALLOCATED)</f>
        <v>0</v>
      </c>
      <c r="L62" s="30">
        <f>SUM('Coastal States'!LTC)</f>
        <v>0</v>
      </c>
      <c r="M62" s="30">
        <f t="shared" si="4"/>
        <v>16325113.880000003</v>
      </c>
      <c r="N62" s="31"/>
      <c r="O62" s="29">
        <v>16325113.880000003</v>
      </c>
      <c r="P62" s="31">
        <f t="shared" si="5"/>
        <v>0</v>
      </c>
      <c r="Q62" s="30"/>
      <c r="R62" s="30"/>
      <c r="S62" s="29">
        <f>SUM('Coastal States'!LIFE_CALLED)</f>
        <v>340667</v>
      </c>
      <c r="T62" s="30">
        <f>SUM('Coastal States'!LIFE_REFUNDED)</f>
        <v>49490.362081562751</v>
      </c>
      <c r="U62" s="30"/>
      <c r="V62" s="30">
        <f>SUM('Coastal States'!ALLOC_CALLED)</f>
        <v>17248265</v>
      </c>
      <c r="W62" s="30">
        <f>SUM('Coastal States'!ALLOC_REFUNDED)</f>
        <v>1038487.1079184372</v>
      </c>
      <c r="X62" s="30"/>
      <c r="Y62" s="30">
        <f>SUM('Coastal States'!HEALTH_CALLED)</f>
        <v>0</v>
      </c>
      <c r="Z62" s="30">
        <f>SUM('Coastal States'!HEALTH_REFUNDED)</f>
        <v>0</v>
      </c>
      <c r="AA62" s="30"/>
      <c r="AB62" s="30">
        <f>SUM('Coastal States'!UNALLOC_CALLED)</f>
        <v>0</v>
      </c>
      <c r="AC62" s="31">
        <f>SUM('Coastal States'!UNALLOC_REFUNDED)</f>
        <v>0</v>
      </c>
    </row>
    <row r="63" spans="2:29">
      <c r="B63" s="8" t="s">
        <v>378</v>
      </c>
      <c r="C63" s="2" t="s">
        <v>379</v>
      </c>
      <c r="D63" s="2" t="s">
        <v>239</v>
      </c>
      <c r="E63" s="2" t="s">
        <v>380</v>
      </c>
      <c r="F63" s="2" t="s">
        <v>380</v>
      </c>
      <c r="G63" s="2" t="s">
        <v>381</v>
      </c>
      <c r="H63" s="30">
        <f>SUM('Confed Life (CLIC)'!LIFE)</f>
        <v>-1213.1284319363447</v>
      </c>
      <c r="I63" s="30">
        <f>SUM('Confed Life (CLIC)'!ALLOCATED)</f>
        <v>-2954.8541946554742</v>
      </c>
      <c r="J63" s="30">
        <f>SUM('Confed Life (CLIC)'!HEALTH)</f>
        <v>-1.3039194318268192E-2</v>
      </c>
      <c r="K63" s="30">
        <f>SUM('Confed Life (CLIC)'!UNALLOCATED)</f>
        <v>-12459.080375238889</v>
      </c>
      <c r="L63" s="30">
        <f>SUM('Confed Life (CLIC)'!LTC)</f>
        <v>0</v>
      </c>
      <c r="M63" s="30">
        <f t="shared" si="4"/>
        <v>-16627.076041025026</v>
      </c>
      <c r="N63" s="31"/>
      <c r="O63" s="29">
        <v>-16627.076041025026</v>
      </c>
      <c r="P63" s="31">
        <f t="shared" si="5"/>
        <v>0</v>
      </c>
      <c r="Q63" s="30"/>
      <c r="R63" s="30"/>
      <c r="S63" s="29">
        <f>SUM('Confed Life (CLIC)'!LIFE_CALLED)</f>
        <v>11306785</v>
      </c>
      <c r="T63" s="30">
        <f>SUM('Confed Life (CLIC)'!LIFE_REFUNDED)</f>
        <v>10875478</v>
      </c>
      <c r="U63" s="30"/>
      <c r="V63" s="30">
        <f>SUM('Confed Life (CLIC)'!ALLOC_CALLED)</f>
        <v>44055596</v>
      </c>
      <c r="W63" s="30">
        <f>SUM('Confed Life (CLIC)'!ALLOC_REFUNDED)</f>
        <v>26201957.009999998</v>
      </c>
      <c r="X63" s="30"/>
      <c r="Y63" s="30">
        <f>SUM('Confed Life (CLIC)'!HEALTH_CALLED)</f>
        <v>895082</v>
      </c>
      <c r="Z63" s="30">
        <f>SUM('Confed Life (CLIC)'!HEALTH_REFUNDED)</f>
        <v>960837</v>
      </c>
      <c r="AA63" s="30"/>
      <c r="AB63" s="30">
        <f>SUM('Confed Life (CLIC)'!UNALLOC_CALLED)</f>
        <v>108553958</v>
      </c>
      <c r="AC63" s="31">
        <f>SUM('Confed Life (CLIC)'!UNALLOC_REFUNDED)</f>
        <v>75903888.789999992</v>
      </c>
    </row>
    <row r="64" spans="2:29">
      <c r="B64" s="8" t="s">
        <v>382</v>
      </c>
      <c r="C64" s="2" t="s">
        <v>383</v>
      </c>
      <c r="D64" s="2" t="s">
        <v>300</v>
      </c>
      <c r="E64" s="2" t="s">
        <v>313</v>
      </c>
      <c r="F64" s="2" t="s">
        <v>384</v>
      </c>
      <c r="G64" s="2" t="s">
        <v>385</v>
      </c>
      <c r="H64" s="30">
        <f>SUM('Consolidated National'!LIFE)</f>
        <v>8707270.0434274822</v>
      </c>
      <c r="I64" s="30">
        <f>SUM('Consolidated National'!ALLOCATED)</f>
        <v>151402.52384007059</v>
      </c>
      <c r="J64" s="30">
        <f>SUM('Consolidated National'!HEALTH)</f>
        <v>24545.817860651736</v>
      </c>
      <c r="K64" s="30">
        <f>SUM('Consolidated National'!UNALLOCATED)</f>
        <v>0</v>
      </c>
      <c r="L64" s="30">
        <f>SUM('Consolidated National'!LTC)</f>
        <v>0</v>
      </c>
      <c r="M64" s="30">
        <f t="shared" si="4"/>
        <v>8883218.3851282038</v>
      </c>
      <c r="N64" s="31"/>
      <c r="O64" s="29">
        <v>8883218.3851282019</v>
      </c>
      <c r="P64" s="31">
        <f t="shared" si="5"/>
        <v>0</v>
      </c>
      <c r="Q64" s="30"/>
      <c r="R64" s="30"/>
      <c r="S64" s="29">
        <f>SUM('Consolidated National'!LIFE_CALLED)</f>
        <v>11271909</v>
      </c>
      <c r="T64" s="30">
        <f>SUM('Consolidated National'!LIFE_REFUNDED)</f>
        <v>1041272</v>
      </c>
      <c r="U64" s="30"/>
      <c r="V64" s="30">
        <f>SUM('Consolidated National'!ALLOC_CALLED)</f>
        <v>1401485</v>
      </c>
      <c r="W64" s="30">
        <f>SUM('Consolidated National'!ALLOC_REFUNDED)</f>
        <v>0</v>
      </c>
      <c r="X64" s="30"/>
      <c r="Y64" s="30">
        <f>SUM('Consolidated National'!HEALTH_CALLED)</f>
        <v>122000</v>
      </c>
      <c r="Z64" s="30">
        <f>SUM('Consolidated National'!HEALTH_REFUNDED)</f>
        <v>0</v>
      </c>
      <c r="AA64" s="30"/>
      <c r="AB64" s="30">
        <f>SUM('Consolidated National'!UNALLOC_CALLED)</f>
        <v>0</v>
      </c>
      <c r="AC64" s="31">
        <f>SUM('Consolidated National'!UNALLOC_REFUNDED)</f>
        <v>0</v>
      </c>
    </row>
    <row r="65" spans="2:29">
      <c r="B65" s="8" t="s">
        <v>386</v>
      </c>
      <c r="C65" s="2" t="s">
        <v>387</v>
      </c>
      <c r="D65" s="2" t="s">
        <v>286</v>
      </c>
      <c r="E65" s="2" t="s">
        <v>388</v>
      </c>
      <c r="F65" s="2" t="s">
        <v>389</v>
      </c>
      <c r="G65" s="2" t="s">
        <v>390</v>
      </c>
      <c r="H65" s="30">
        <f>SUM('Consumers United'!LIFE)</f>
        <v>1117757.2820758612</v>
      </c>
      <c r="I65" s="30">
        <f>SUM('Consumers United'!ALLOCATED)</f>
        <v>8414958.5289221276</v>
      </c>
      <c r="J65" s="30">
        <f>SUM('Consumers United'!HEALTH)</f>
        <v>5571815.9190020086</v>
      </c>
      <c r="K65" s="30">
        <f>SUM('Consumers United'!UNALLOCATED)</f>
        <v>0</v>
      </c>
      <c r="L65" s="30">
        <f>SUM('Consumers United'!LTC)</f>
        <v>0</v>
      </c>
      <c r="M65" s="30">
        <f t="shared" si="4"/>
        <v>15104531.729999997</v>
      </c>
      <c r="N65" s="31"/>
      <c r="O65" s="29">
        <v>15104531.729999999</v>
      </c>
      <c r="P65" s="31">
        <f t="shared" si="5"/>
        <v>0</v>
      </c>
      <c r="Q65" s="30"/>
      <c r="R65" s="30"/>
      <c r="S65" s="29">
        <f>SUM('Consumers United'!LIFE_CALLED)</f>
        <v>868884</v>
      </c>
      <c r="T65" s="30">
        <f>SUM('Consumers United'!LIFE_REFUNDED)</f>
        <v>258055.07010800001</v>
      </c>
      <c r="U65" s="30"/>
      <c r="V65" s="30">
        <f>SUM('Consumers United'!ALLOC_CALLED)</f>
        <v>5279053</v>
      </c>
      <c r="W65" s="30">
        <f>SUM('Consumers United'!ALLOC_REFUNDED)</f>
        <v>275536.95542000001</v>
      </c>
      <c r="X65" s="30"/>
      <c r="Y65" s="30">
        <f>SUM('Consumers United'!HEALTH_CALLED)</f>
        <v>12212190</v>
      </c>
      <c r="Z65" s="30">
        <f>SUM('Consumers United'!HEALTH_REFUNDED)</f>
        <v>3611951.2544720001</v>
      </c>
      <c r="AA65" s="30"/>
      <c r="AB65" s="30">
        <f>SUM('Consumers United'!UNALLOC_CALLED)</f>
        <v>40</v>
      </c>
      <c r="AC65" s="31">
        <f>SUM('Consumers United'!UNALLOC_REFUNDED)</f>
        <v>4</v>
      </c>
    </row>
    <row r="66" spans="2:29">
      <c r="B66" s="8" t="s">
        <v>391</v>
      </c>
      <c r="C66" s="2" t="s">
        <v>392</v>
      </c>
      <c r="D66" s="2" t="s">
        <v>188</v>
      </c>
      <c r="E66" s="2" t="s">
        <v>393</v>
      </c>
      <c r="F66" s="2" t="s">
        <v>394</v>
      </c>
      <c r="G66" s="2" t="s">
        <v>395</v>
      </c>
      <c r="H66" s="30">
        <f>SUM('Corporate Life'!LIFE)</f>
        <v>2485907.0505228303</v>
      </c>
      <c r="I66" s="30">
        <f>SUM('Corporate Life'!ALLOCATED)</f>
        <v>170712718.23676884</v>
      </c>
      <c r="J66" s="30">
        <f>SUM('Corporate Life'!HEALTH)</f>
        <v>389201.58535833366</v>
      </c>
      <c r="K66" s="30">
        <f>SUM('Corporate Life'!UNALLOCATED)</f>
        <v>0</v>
      </c>
      <c r="L66" s="30">
        <f>SUM('Corporate Life'!LTC)</f>
        <v>0</v>
      </c>
      <c r="M66" s="30">
        <f t="shared" si="4"/>
        <v>173587826.87265</v>
      </c>
      <c r="N66" s="31"/>
      <c r="O66" s="29">
        <v>173587826.87265003</v>
      </c>
      <c r="P66" s="31">
        <f t="shared" si="5"/>
        <v>0</v>
      </c>
      <c r="Q66" s="30"/>
      <c r="R66" s="30"/>
      <c r="S66" s="29">
        <f>SUM('Corporate Life'!LIFE_CALLED)</f>
        <v>94012513</v>
      </c>
      <c r="T66" s="30">
        <f>SUM('Corporate Life'!LIFE_REFUNDED)</f>
        <v>0</v>
      </c>
      <c r="U66" s="30"/>
      <c r="V66" s="30">
        <f>SUM('Corporate Life'!ALLOC_CALLED)</f>
        <v>76061564</v>
      </c>
      <c r="W66" s="30">
        <f>SUM('Corporate Life'!ALLOC_REFUNDED)</f>
        <v>0</v>
      </c>
      <c r="X66" s="30"/>
      <c r="Y66" s="30">
        <f>SUM('Corporate Life'!HEALTH_CALLED)</f>
        <v>250000</v>
      </c>
      <c r="Z66" s="30">
        <f>SUM('Corporate Life'!HEALTH_REFUNDED)</f>
        <v>0</v>
      </c>
      <c r="AA66" s="30"/>
      <c r="AB66" s="30">
        <f>SUM('Corporate Life'!UNALLOC_CALLED)</f>
        <v>67153313</v>
      </c>
      <c r="AC66" s="31">
        <f>SUM('Corporate Life'!UNALLOC_REFUNDED)</f>
        <v>0</v>
      </c>
    </row>
    <row r="67" spans="2:29">
      <c r="B67" s="8" t="s">
        <v>396</v>
      </c>
      <c r="C67" s="2" t="s">
        <v>397</v>
      </c>
      <c r="D67" s="2" t="s">
        <v>230</v>
      </c>
      <c r="E67" s="2" t="s">
        <v>398</v>
      </c>
      <c r="F67" s="2" t="s">
        <v>399</v>
      </c>
      <c r="G67" s="2" t="s">
        <v>400</v>
      </c>
      <c r="H67" s="30">
        <f>SUM('Diamond Benefits'!LIFE)</f>
        <v>0</v>
      </c>
      <c r="I67" s="30">
        <f>SUM('Diamond Benefits'!ALLOCATED)</f>
        <v>12093330.970000001</v>
      </c>
      <c r="J67" s="30">
        <f>SUM('Diamond Benefits'!HEALTH)</f>
        <v>0</v>
      </c>
      <c r="K67" s="30">
        <f>SUM('Diamond Benefits'!UNALLOCATED)</f>
        <v>0</v>
      </c>
      <c r="L67" s="30">
        <f>SUM('Diamond Benefits'!LTC)</f>
        <v>0</v>
      </c>
      <c r="M67" s="30">
        <f t="shared" si="4"/>
        <v>12093330.970000001</v>
      </c>
      <c r="N67" s="31"/>
      <c r="O67" s="29">
        <v>12093330.970000001</v>
      </c>
      <c r="P67" s="31">
        <f t="shared" si="5"/>
        <v>0</v>
      </c>
      <c r="Q67" s="30"/>
      <c r="R67" s="30"/>
      <c r="S67" s="29">
        <f>SUM('Diamond Benefits'!LIFE_CALLED)</f>
        <v>176802</v>
      </c>
      <c r="T67" s="30">
        <f>SUM('Diamond Benefits'!LIFE_REFUNDED)</f>
        <v>237.5558</v>
      </c>
      <c r="U67" s="30"/>
      <c r="V67" s="30">
        <f>SUM('Diamond Benefits'!ALLOC_CALLED)</f>
        <v>5957495</v>
      </c>
      <c r="W67" s="30">
        <f>SUM('Diamond Benefits'!ALLOC_REFUNDED)</f>
        <v>1545000</v>
      </c>
      <c r="X67" s="30"/>
      <c r="Y67" s="30">
        <f>SUM('Diamond Benefits'!HEALTH_CALLED)</f>
        <v>12004070</v>
      </c>
      <c r="Z67" s="30">
        <f>SUM('Diamond Benefits'!HEALTH_REFUNDED)</f>
        <v>85843.444199999998</v>
      </c>
      <c r="AA67" s="30"/>
      <c r="AB67" s="30">
        <f>SUM('Diamond Benefits'!UNALLOC_CALLED)</f>
        <v>0</v>
      </c>
      <c r="AC67" s="31">
        <f>SUM('Diamond Benefits'!UNALLOC_REFUNDED)</f>
        <v>0</v>
      </c>
    </row>
    <row r="68" spans="2:29">
      <c r="B68" s="8" t="s">
        <v>401</v>
      </c>
      <c r="C68" s="2" t="s">
        <v>402</v>
      </c>
      <c r="D68" s="2" t="s">
        <v>188</v>
      </c>
      <c r="E68" s="2"/>
      <c r="F68" s="2" t="s">
        <v>403</v>
      </c>
      <c r="G68" s="2" t="s">
        <v>404</v>
      </c>
      <c r="H68" s="30">
        <f>SUM('EBL Life'!LIFE)</f>
        <v>11141434.614007073</v>
      </c>
      <c r="I68" s="30">
        <f>SUM('EBL Life'!ALLOCATED)</f>
        <v>3113637.2159929276</v>
      </c>
      <c r="J68" s="30">
        <f>SUM('EBL Life'!HEALTH)</f>
        <v>0</v>
      </c>
      <c r="K68" s="30">
        <f>SUM('EBL Life'!UNALLOCATED)</f>
        <v>0</v>
      </c>
      <c r="L68" s="30">
        <f>SUM('EBL Life'!LTC)</f>
        <v>0</v>
      </c>
      <c r="M68" s="30">
        <f t="shared" si="4"/>
        <v>14255071.83</v>
      </c>
      <c r="N68" s="31"/>
      <c r="O68" s="29">
        <v>14255071.83</v>
      </c>
      <c r="P68" s="31">
        <f t="shared" si="5"/>
        <v>0</v>
      </c>
      <c r="Q68" s="30"/>
      <c r="R68" s="30"/>
      <c r="S68" s="29">
        <f>SUM('EBL Life'!LIFE_CALLED)</f>
        <v>32000000</v>
      </c>
      <c r="T68" s="30">
        <f>SUM('EBL Life'!LIFE_REFUNDED)</f>
        <v>0</v>
      </c>
      <c r="U68" s="30"/>
      <c r="V68" s="30">
        <f>SUM('EBL Life'!ALLOC_CALLED)</f>
        <v>0</v>
      </c>
      <c r="W68" s="30">
        <f>SUM('EBL Life'!ALLOC_REFUNDED)</f>
        <v>0</v>
      </c>
      <c r="X68" s="30"/>
      <c r="Y68" s="30">
        <f>SUM('EBL Life'!HEALTH_CALLED)</f>
        <v>0</v>
      </c>
      <c r="Z68" s="30">
        <f>SUM('EBL Life'!HEALTH_REFUNDED)</f>
        <v>0</v>
      </c>
      <c r="AA68" s="30"/>
      <c r="AB68" s="30">
        <f>SUM('EBL Life'!UNALLOC_CALLED)</f>
        <v>0</v>
      </c>
      <c r="AC68" s="31">
        <f>SUM('EBL Life'!UNALLOC_REFUNDED)</f>
        <v>0</v>
      </c>
    </row>
    <row r="69" spans="2:29">
      <c r="B69" s="8" t="s">
        <v>405</v>
      </c>
      <c r="C69" s="2" t="s">
        <v>406</v>
      </c>
      <c r="D69" s="2" t="s">
        <v>220</v>
      </c>
      <c r="E69" s="2" t="s">
        <v>262</v>
      </c>
      <c r="F69" s="2" t="s">
        <v>263</v>
      </c>
      <c r="G69" s="2" t="s">
        <v>407</v>
      </c>
      <c r="H69" s="30">
        <f>SUM('Family Guaranty'!LIFE)</f>
        <v>19770463.759021532</v>
      </c>
      <c r="I69" s="30">
        <f>SUM('Family Guaranty'!ALLOCATED)</f>
        <v>0</v>
      </c>
      <c r="J69" s="30">
        <f>SUM('Family Guaranty'!HEALTH)</f>
        <v>0</v>
      </c>
      <c r="K69" s="30">
        <f>SUM('Family Guaranty'!UNALLOCATED)</f>
        <v>0</v>
      </c>
      <c r="L69" s="30">
        <f>SUM('Family Guaranty'!LTC)</f>
        <v>0</v>
      </c>
      <c r="M69" s="30">
        <f t="shared" si="4"/>
        <v>19770463.759021532</v>
      </c>
      <c r="N69" s="31"/>
      <c r="O69" s="29">
        <v>19767077.428504732</v>
      </c>
      <c r="P69" s="31">
        <f t="shared" si="5"/>
        <v>3386.3305168002844</v>
      </c>
      <c r="Q69" s="30"/>
      <c r="R69" s="30"/>
      <c r="S69" s="29">
        <f>SUM('Family Guaranty'!LIFE_CALLED)</f>
        <v>13800320</v>
      </c>
      <c r="T69" s="30">
        <f>SUM('Family Guaranty'!LIFE_REFUNDED)</f>
        <v>0</v>
      </c>
      <c r="U69" s="30"/>
      <c r="V69" s="30">
        <f>SUM('Family Guaranty'!ALLOC_CALLED)</f>
        <v>4950590</v>
      </c>
      <c r="W69" s="30">
        <f>SUM('Family Guaranty'!ALLOC_REFUNDED)</f>
        <v>0</v>
      </c>
      <c r="X69" s="30"/>
      <c r="Y69" s="30">
        <f>SUM('Family Guaranty'!HEALTH_CALLED)</f>
        <v>0</v>
      </c>
      <c r="Z69" s="30">
        <f>SUM('Family Guaranty'!HEALTH_REFUNDED)</f>
        <v>0</v>
      </c>
      <c r="AA69" s="30"/>
      <c r="AB69" s="30">
        <f>SUM('Family Guaranty'!UNALLOC_CALLED)</f>
        <v>1518800</v>
      </c>
      <c r="AC69" s="31">
        <f>SUM('Family Guaranty'!UNALLOC_REFUNDED)</f>
        <v>0</v>
      </c>
    </row>
    <row r="70" spans="2:29">
      <c r="B70" s="8" t="s">
        <v>408</v>
      </c>
      <c r="C70" s="2" t="s">
        <v>409</v>
      </c>
      <c r="D70" s="2" t="s">
        <v>410</v>
      </c>
      <c r="E70" s="2" t="s">
        <v>411</v>
      </c>
      <c r="F70" s="2" t="s">
        <v>412</v>
      </c>
      <c r="G70" s="2" t="s">
        <v>413</v>
      </c>
      <c r="H70" s="30">
        <f>SUM('Fidelity Bankers'!LIFE)</f>
        <v>275941.47297185229</v>
      </c>
      <c r="I70" s="30">
        <f>SUM('Fidelity Bankers'!ALLOCATED)</f>
        <v>14164519.977028148</v>
      </c>
      <c r="J70" s="30">
        <f>SUM('Fidelity Bankers'!HEALTH)</f>
        <v>0</v>
      </c>
      <c r="K70" s="30">
        <f>SUM('Fidelity Bankers'!UNALLOCATED)</f>
        <v>0</v>
      </c>
      <c r="L70" s="30">
        <f>SUM('Fidelity Bankers'!LTC)</f>
        <v>0</v>
      </c>
      <c r="M70" s="30">
        <f t="shared" si="4"/>
        <v>14440461.450000001</v>
      </c>
      <c r="N70" s="31"/>
      <c r="O70" s="29">
        <v>14440461.449999999</v>
      </c>
      <c r="P70" s="31">
        <f t="shared" si="5"/>
        <v>0</v>
      </c>
      <c r="Q70" s="30"/>
      <c r="R70" s="30"/>
      <c r="S70" s="29">
        <f>SUM('Fidelity Bankers'!LIFE_CALLED)</f>
        <v>889508</v>
      </c>
      <c r="T70" s="30">
        <f>SUM('Fidelity Bankers'!LIFE_REFUNDED)</f>
        <v>30</v>
      </c>
      <c r="U70" s="30"/>
      <c r="V70" s="30">
        <f>SUM('Fidelity Bankers'!ALLOC_CALLED)</f>
        <v>2648350</v>
      </c>
      <c r="W70" s="30">
        <f>SUM('Fidelity Bankers'!ALLOC_REFUNDED)</f>
        <v>20</v>
      </c>
      <c r="X70" s="30"/>
      <c r="Y70" s="30">
        <f>SUM('Fidelity Bankers'!HEALTH_CALLED)</f>
        <v>330078</v>
      </c>
      <c r="Z70" s="30">
        <f>SUM('Fidelity Bankers'!HEALTH_REFUNDED)</f>
        <v>0</v>
      </c>
      <c r="AA70" s="30"/>
      <c r="AB70" s="30">
        <f>SUM('Fidelity Bankers'!UNALLOC_CALLED)</f>
        <v>35000</v>
      </c>
      <c r="AC70" s="31">
        <f>SUM('Fidelity Bankers'!UNALLOC_REFUNDED)</f>
        <v>0</v>
      </c>
    </row>
    <row r="71" spans="2:29">
      <c r="B71" s="8" t="s">
        <v>414</v>
      </c>
      <c r="C71" s="2" t="s">
        <v>415</v>
      </c>
      <c r="D71" s="2" t="s">
        <v>312</v>
      </c>
      <c r="E71" s="2" t="s">
        <v>416</v>
      </c>
      <c r="F71" s="2" t="s">
        <v>417</v>
      </c>
      <c r="G71" s="2" t="s">
        <v>418</v>
      </c>
      <c r="H71" s="30">
        <f>SUM('First Natl'!LIFE)</f>
        <v>0</v>
      </c>
      <c r="I71" s="30">
        <f>SUM('First Natl'!ALLOCATED)</f>
        <v>0</v>
      </c>
      <c r="J71" s="30">
        <f>SUM('First Natl'!HEALTH)</f>
        <v>226006.55000000005</v>
      </c>
      <c r="K71" s="30">
        <f>SUM('First Natl'!UNALLOCATED)</f>
        <v>0</v>
      </c>
      <c r="L71" s="30">
        <f>SUM('First Natl'!LTC)</f>
        <v>0</v>
      </c>
      <c r="M71" s="30">
        <f t="shared" si="4"/>
        <v>226006.55000000005</v>
      </c>
      <c r="N71" s="31"/>
      <c r="O71" s="29">
        <v>226006.55000000005</v>
      </c>
      <c r="P71" s="31">
        <f t="shared" si="5"/>
        <v>0</v>
      </c>
      <c r="Q71" s="30"/>
      <c r="R71" s="30"/>
      <c r="S71" s="29">
        <f>SUM('First Natl'!LIFE_CALLED)</f>
        <v>8231</v>
      </c>
      <c r="T71" s="30">
        <f>SUM('First Natl'!LIFE_REFUNDED)</f>
        <v>500000</v>
      </c>
      <c r="U71" s="30"/>
      <c r="V71" s="30">
        <f>SUM('First Natl'!ALLOC_CALLED)</f>
        <v>0</v>
      </c>
      <c r="W71" s="30">
        <f>SUM('First Natl'!ALLOC_REFUNDED)</f>
        <v>1700000</v>
      </c>
      <c r="X71" s="30"/>
      <c r="Y71" s="30">
        <f>SUM('First Natl'!HEALTH_CALLED)</f>
        <v>192196</v>
      </c>
      <c r="Z71" s="30">
        <f>SUM('First Natl'!HEALTH_REFUNDED)</f>
        <v>116294</v>
      </c>
      <c r="AA71" s="30"/>
      <c r="AB71" s="30">
        <f>SUM('First Natl'!UNALLOC_CALLED)</f>
        <v>0</v>
      </c>
      <c r="AC71" s="31">
        <f>SUM('First Natl'!UNALLOC_REFUNDED)</f>
        <v>0</v>
      </c>
    </row>
    <row r="72" spans="2:29">
      <c r="B72" s="8" t="s">
        <v>419</v>
      </c>
      <c r="C72" s="2" t="s">
        <v>420</v>
      </c>
      <c r="D72" s="2" t="s">
        <v>421</v>
      </c>
      <c r="E72" s="2" t="s">
        <v>422</v>
      </c>
      <c r="F72" s="2" t="s">
        <v>423</v>
      </c>
      <c r="G72" s="2" t="s">
        <v>424</v>
      </c>
      <c r="H72" s="30">
        <f>SUM('Franklin American'!LIFE)</f>
        <v>382375.32680352038</v>
      </c>
      <c r="I72" s="30">
        <f>SUM('Franklin American'!ALLOCATED)</f>
        <v>91252.470563604744</v>
      </c>
      <c r="J72" s="30">
        <f>SUM('Franklin American'!HEALTH)</f>
        <v>0</v>
      </c>
      <c r="K72" s="30">
        <f>SUM('Franklin American'!UNALLOCATED)</f>
        <v>0</v>
      </c>
      <c r="L72" s="30">
        <f>SUM('Franklin American'!LTC)</f>
        <v>0</v>
      </c>
      <c r="M72" s="30">
        <f t="shared" si="4"/>
        <v>473627.79736712511</v>
      </c>
      <c r="N72" s="31"/>
      <c r="O72" s="29">
        <v>465775.48980023223</v>
      </c>
      <c r="P72" s="31">
        <f t="shared" si="5"/>
        <v>7852.3075668928795</v>
      </c>
      <c r="Q72" s="30"/>
      <c r="R72" s="30"/>
      <c r="S72" s="29">
        <f>SUM('Franklin American'!LIFE_CALLED)</f>
        <v>1242916</v>
      </c>
      <c r="T72" s="30">
        <f>SUM('Franklin American'!LIFE_REFUNDED)</f>
        <v>770166</v>
      </c>
      <c r="U72" s="30"/>
      <c r="V72" s="30">
        <f>SUM('Franklin American'!ALLOC_CALLED)</f>
        <v>89000</v>
      </c>
      <c r="W72" s="30">
        <f>SUM('Franklin American'!ALLOC_REFUNDED)</f>
        <v>131036</v>
      </c>
      <c r="X72" s="30"/>
      <c r="Y72" s="30">
        <f>SUM('Franklin American'!HEALTH_CALLED)</f>
        <v>0</v>
      </c>
      <c r="Z72" s="30">
        <f>SUM('Franklin American'!HEALTH_REFUNDED)</f>
        <v>0</v>
      </c>
      <c r="AA72" s="30"/>
      <c r="AB72" s="30">
        <f>SUM('Franklin American'!UNALLOC_CALLED)</f>
        <v>0</v>
      </c>
      <c r="AC72" s="31">
        <f>SUM('Franklin American'!UNALLOC_REFUNDED)</f>
        <v>0</v>
      </c>
    </row>
    <row r="73" spans="2:29">
      <c r="B73" s="8" t="s">
        <v>425</v>
      </c>
      <c r="C73" s="2" t="s">
        <v>426</v>
      </c>
      <c r="D73" s="2" t="s">
        <v>220</v>
      </c>
      <c r="E73" s="2" t="s">
        <v>262</v>
      </c>
      <c r="F73" s="2" t="s">
        <v>263</v>
      </c>
      <c r="G73" s="2" t="s">
        <v>427</v>
      </c>
      <c r="H73" s="30">
        <f>SUM('Franklin Protective'!LIFE)</f>
        <v>9546426.6887206286</v>
      </c>
      <c r="I73" s="30">
        <f>SUM('Franklin Protective'!ALLOCATED)</f>
        <v>3036995.4983911808</v>
      </c>
      <c r="J73" s="30">
        <f>SUM('Franklin Protective'!HEALTH)</f>
        <v>0</v>
      </c>
      <c r="K73" s="30">
        <f>SUM('Franklin Protective'!UNALLOCATED)</f>
        <v>0</v>
      </c>
      <c r="L73" s="30">
        <f>SUM('Franklin Protective'!LTC)</f>
        <v>0</v>
      </c>
      <c r="M73" s="30">
        <f t="shared" si="4"/>
        <v>12583422.18711181</v>
      </c>
      <c r="N73" s="31"/>
      <c r="O73" s="29">
        <v>12580685.420885937</v>
      </c>
      <c r="P73" s="31">
        <f t="shared" si="5"/>
        <v>2736.7662258725613</v>
      </c>
      <c r="Q73" s="30"/>
      <c r="R73" s="30"/>
      <c r="S73" s="29">
        <f>SUM('Franklin Protective'!LIFE_CALLED)</f>
        <v>5884152</v>
      </c>
      <c r="T73" s="30">
        <f>SUM('Franklin Protective'!LIFE_REFUNDED)</f>
        <v>0</v>
      </c>
      <c r="U73" s="30"/>
      <c r="V73" s="30">
        <f>SUM('Franklin Protective'!ALLOC_CALLED)</f>
        <v>2082992</v>
      </c>
      <c r="W73" s="30">
        <f>SUM('Franklin Protective'!ALLOC_REFUNDED)</f>
        <v>0</v>
      </c>
      <c r="X73" s="30"/>
      <c r="Y73" s="30">
        <f>SUM('Franklin Protective'!HEALTH_CALLED)</f>
        <v>52921</v>
      </c>
      <c r="Z73" s="30">
        <f>SUM('Franklin Protective'!HEALTH_REFUNDED)</f>
        <v>0</v>
      </c>
      <c r="AA73" s="30"/>
      <c r="AB73" s="30">
        <f>SUM('Franklin Protective'!UNALLOC_CALLED)</f>
        <v>0</v>
      </c>
      <c r="AC73" s="31">
        <f>SUM('Franklin Protective'!UNALLOC_REFUNDED)</f>
        <v>0</v>
      </c>
    </row>
    <row r="74" spans="2:29">
      <c r="B74" s="8" t="s">
        <v>428</v>
      </c>
      <c r="C74" s="2" t="s">
        <v>429</v>
      </c>
      <c r="D74" s="2" t="s">
        <v>430</v>
      </c>
      <c r="E74" s="2" t="s">
        <v>431</v>
      </c>
      <c r="F74" s="2" t="s">
        <v>432</v>
      </c>
      <c r="G74" s="2" t="s">
        <v>433</v>
      </c>
      <c r="H74" s="30">
        <f>SUM('George Washington'!LIFE)</f>
        <v>1337189.0755588906</v>
      </c>
      <c r="I74" s="30">
        <f>SUM('George Washington'!ALLOCATED)</f>
        <v>77279.28077589313</v>
      </c>
      <c r="J74" s="30">
        <f>SUM('George Washington'!HEALTH)</f>
        <v>390514.74366521533</v>
      </c>
      <c r="K74" s="30">
        <f>SUM('George Washington'!UNALLOCATED)</f>
        <v>0</v>
      </c>
      <c r="L74" s="30">
        <f>SUM('George Washington'!LTC)</f>
        <v>0</v>
      </c>
      <c r="M74" s="30">
        <f t="shared" si="4"/>
        <v>1804983.0999999989</v>
      </c>
      <c r="N74" s="31"/>
      <c r="O74" s="29">
        <v>1804983.0999999992</v>
      </c>
      <c r="P74" s="31">
        <f t="shared" si="5"/>
        <v>0</v>
      </c>
      <c r="Q74" s="30"/>
      <c r="R74" s="30"/>
      <c r="S74" s="29">
        <f>SUM('George Washington'!LIFE_CALLED)</f>
        <v>5231876</v>
      </c>
      <c r="T74" s="30">
        <f>SUM('George Washington'!LIFE_REFUNDED)</f>
        <v>2288000.2824999997</v>
      </c>
      <c r="U74" s="30"/>
      <c r="V74" s="30">
        <f>SUM('George Washington'!ALLOC_CALLED)</f>
        <v>214664</v>
      </c>
      <c r="W74" s="30">
        <f>SUM('George Washington'!ALLOC_REFUNDED)</f>
        <v>154649.16</v>
      </c>
      <c r="X74" s="30"/>
      <c r="Y74" s="30">
        <f>SUM('George Washington'!HEALTH_CALLED)</f>
        <v>13338293</v>
      </c>
      <c r="Z74" s="30">
        <f>SUM('George Washington'!HEALTH_REFUNDED)</f>
        <v>5683448.6675000004</v>
      </c>
      <c r="AA74" s="30"/>
      <c r="AB74" s="30">
        <f>SUM('George Washington'!UNALLOC_CALLED)</f>
        <v>0</v>
      </c>
      <c r="AC74" s="31">
        <f>SUM('George Washington'!UNALLOC_REFUNDED)</f>
        <v>0</v>
      </c>
    </row>
    <row r="75" spans="2:29">
      <c r="B75" s="8" t="s">
        <v>434</v>
      </c>
      <c r="C75" s="2" t="s">
        <v>435</v>
      </c>
      <c r="D75" s="2" t="s">
        <v>193</v>
      </c>
      <c r="E75" s="2" t="s">
        <v>436</v>
      </c>
      <c r="F75" s="2" t="s">
        <v>437</v>
      </c>
      <c r="G75" s="2" t="s">
        <v>438</v>
      </c>
      <c r="H75" s="30">
        <f>SUM('Golden State'!LIFE)</f>
        <v>1528853.5739999998</v>
      </c>
      <c r="I75" s="30">
        <f>SUM('Golden State'!ALLOCATED)</f>
        <v>12328.5</v>
      </c>
      <c r="J75" s="30">
        <f>SUM('Golden State'!HEALTH)</f>
        <v>59498.78</v>
      </c>
      <c r="K75" s="30">
        <f>SUM('Golden State'!UNALLOCATED)</f>
        <v>0</v>
      </c>
      <c r="L75" s="30">
        <f>SUM('Golden State'!LTC)</f>
        <v>0</v>
      </c>
      <c r="M75" s="30">
        <f t="shared" si="4"/>
        <v>1600680.8539999998</v>
      </c>
      <c r="N75" s="31"/>
      <c r="O75" s="29">
        <v>1600680.8539999998</v>
      </c>
      <c r="P75" s="31">
        <f t="shared" si="5"/>
        <v>0</v>
      </c>
      <c r="Q75" s="30"/>
      <c r="R75" s="30"/>
      <c r="S75" s="29">
        <f>SUM('Golden State'!LIFE_CALLED)</f>
        <v>500000</v>
      </c>
      <c r="T75" s="30">
        <f>SUM('Golden State'!LIFE_REFUNDED)</f>
        <v>0</v>
      </c>
      <c r="U75" s="30"/>
      <c r="V75" s="30">
        <f>SUM('Golden State'!ALLOC_CALLED)</f>
        <v>100000</v>
      </c>
      <c r="W75" s="30">
        <f>SUM('Golden State'!ALLOC_REFUNDED)</f>
        <v>0</v>
      </c>
      <c r="X75" s="30"/>
      <c r="Y75" s="30">
        <f>SUM('Golden State'!HEALTH_CALLED)</f>
        <v>224926</v>
      </c>
      <c r="Z75" s="30">
        <f>SUM('Golden State'!HEALTH_REFUNDED)</f>
        <v>0</v>
      </c>
      <c r="AA75" s="30"/>
      <c r="AB75" s="30">
        <f>SUM('Golden State'!UNALLOC_CALLED)</f>
        <v>0</v>
      </c>
      <c r="AC75" s="31">
        <f>SUM('Golden State'!UNALLOC_REFUNDED)</f>
        <v>0</v>
      </c>
    </row>
    <row r="76" spans="2:29">
      <c r="B76" s="8" t="s">
        <v>439</v>
      </c>
      <c r="C76" s="2" t="s">
        <v>440</v>
      </c>
      <c r="D76" s="2" t="s">
        <v>305</v>
      </c>
      <c r="E76" s="2" t="s">
        <v>441</v>
      </c>
      <c r="F76" s="2" t="s">
        <v>442</v>
      </c>
      <c r="G76" s="2" t="s">
        <v>443</v>
      </c>
      <c r="H76" s="30">
        <f>SUM('Guarantee Security'!LIFE)</f>
        <v>22786368.360161234</v>
      </c>
      <c r="I76" s="30">
        <f>SUM('Guarantee Security'!ALLOCATED)</f>
        <v>84132130.183011338</v>
      </c>
      <c r="J76" s="30">
        <f>SUM('Guarantee Security'!HEALTH)</f>
        <v>0</v>
      </c>
      <c r="K76" s="30">
        <f>SUM('Guarantee Security'!UNALLOCATED)</f>
        <v>0</v>
      </c>
      <c r="L76" s="30">
        <f>SUM('Guarantee Security'!LTC)</f>
        <v>0</v>
      </c>
      <c r="M76" s="30">
        <f t="shared" si="4"/>
        <v>106918498.54317257</v>
      </c>
      <c r="N76" s="31"/>
      <c r="O76" s="29">
        <v>106918498.54317255</v>
      </c>
      <c r="P76" s="31">
        <f t="shared" si="5"/>
        <v>0</v>
      </c>
      <c r="Q76" s="30"/>
      <c r="R76" s="30"/>
      <c r="S76" s="29">
        <f>SUM('Guarantee Security'!LIFE_CALLED)</f>
        <v>60125731</v>
      </c>
      <c r="T76" s="30">
        <f>SUM('Guarantee Security'!LIFE_REFUNDED)</f>
        <v>10014471.07</v>
      </c>
      <c r="U76" s="30"/>
      <c r="V76" s="30">
        <f>SUM('Guarantee Security'!ALLOC_CALLED)</f>
        <v>175491859</v>
      </c>
      <c r="W76" s="30">
        <f>SUM('Guarantee Security'!ALLOC_REFUNDED)</f>
        <v>19412205.129999999</v>
      </c>
      <c r="X76" s="30"/>
      <c r="Y76" s="30">
        <f>SUM('Guarantee Security'!HEALTH_CALLED)</f>
        <v>0</v>
      </c>
      <c r="Z76" s="30">
        <f>SUM('Guarantee Security'!HEALTH_REFUNDED)</f>
        <v>0</v>
      </c>
      <c r="AA76" s="30"/>
      <c r="AB76" s="30">
        <f>SUM('Guarantee Security'!UNALLOC_CALLED)</f>
        <v>2000</v>
      </c>
      <c r="AC76" s="31">
        <f>SUM('Guarantee Security'!UNALLOC_REFUNDED)</f>
        <v>0</v>
      </c>
    </row>
    <row r="77" spans="2:29">
      <c r="B77" s="8" t="s">
        <v>444</v>
      </c>
      <c r="C77" s="2" t="s">
        <v>445</v>
      </c>
      <c r="D77" s="2" t="s">
        <v>446</v>
      </c>
      <c r="E77" s="2" t="s">
        <v>447</v>
      </c>
      <c r="F77" s="2" t="s">
        <v>448</v>
      </c>
      <c r="G77" s="2" t="s">
        <v>449</v>
      </c>
      <c r="H77" s="30">
        <f>SUM(Imerica!LIFE)</f>
        <v>0</v>
      </c>
      <c r="I77" s="30">
        <f>SUM(Imerica!ALLOCATED)</f>
        <v>0</v>
      </c>
      <c r="J77" s="30">
        <f>SUM(Imerica!HEALTH)</f>
        <v>11497817.278988643</v>
      </c>
      <c r="K77" s="30">
        <f>SUM(Imerica!UNALLOCATED)</f>
        <v>0</v>
      </c>
      <c r="L77" s="30">
        <f>SUM(Imerica!LTC)</f>
        <v>0</v>
      </c>
      <c r="M77" s="30">
        <f t="shared" si="4"/>
        <v>11497817.278988643</v>
      </c>
      <c r="N77" s="31"/>
      <c r="O77" s="29">
        <v>11497817.278988643</v>
      </c>
      <c r="P77" s="31">
        <f t="shared" si="5"/>
        <v>0</v>
      </c>
      <c r="Q77" s="30"/>
      <c r="R77" s="30"/>
      <c r="S77" s="29">
        <f>SUM(Imerica!LIFE_CALLED)</f>
        <v>0</v>
      </c>
      <c r="T77" s="30">
        <f>SUM(Imerica!LIFE_REFUNDED)</f>
        <v>0</v>
      </c>
      <c r="U77" s="30"/>
      <c r="V77" s="30">
        <f>SUM(Imerica!ALLOC_CALLED)</f>
        <v>0</v>
      </c>
      <c r="W77" s="30">
        <f>SUM(Imerica!ALLOC_REFUNDED)</f>
        <v>0</v>
      </c>
      <c r="X77" s="30"/>
      <c r="Y77" s="30">
        <f>SUM(Imerica!HEALTH_CALLED)</f>
        <v>15692741</v>
      </c>
      <c r="Z77" s="30">
        <f>SUM(Imerica!HEALTH_REFUNDED)</f>
        <v>1450000</v>
      </c>
      <c r="AA77" s="30"/>
      <c r="AB77" s="30">
        <f>SUM(Imerica!UNALLOC_CALLED)</f>
        <v>0</v>
      </c>
      <c r="AC77" s="31">
        <f>SUM(Imerica!UNALLOC_REFUNDED)</f>
        <v>0</v>
      </c>
    </row>
    <row r="78" spans="2:29">
      <c r="B78" s="8" t="s">
        <v>450</v>
      </c>
      <c r="C78" s="2" t="s">
        <v>451</v>
      </c>
      <c r="D78" s="2" t="s">
        <v>275</v>
      </c>
      <c r="E78" s="2" t="s">
        <v>452</v>
      </c>
      <c r="F78" s="2" t="s">
        <v>453</v>
      </c>
      <c r="G78" s="2" t="s">
        <v>454</v>
      </c>
      <c r="H78" s="30">
        <f>SUM('Inter-American'!LIFE)</f>
        <v>71930182.822873682</v>
      </c>
      <c r="I78" s="30">
        <f>SUM('Inter-American'!ALLOCATED)</f>
        <v>17952481.911415406</v>
      </c>
      <c r="J78" s="30">
        <f>SUM('Inter-American'!HEALTH)</f>
        <v>0</v>
      </c>
      <c r="K78" s="30">
        <f>SUM('Inter-American'!UNALLOCATED)</f>
        <v>17889139.495081443</v>
      </c>
      <c r="L78" s="30">
        <f>SUM('Inter-American'!LTC)</f>
        <v>0</v>
      </c>
      <c r="M78" s="30">
        <f t="shared" si="4"/>
        <v>107771804.22937052</v>
      </c>
      <c r="N78" s="31"/>
      <c r="O78" s="29">
        <v>107771804.22937052</v>
      </c>
      <c r="P78" s="31">
        <f t="shared" si="5"/>
        <v>0</v>
      </c>
      <c r="Q78" s="30"/>
      <c r="R78" s="30"/>
      <c r="S78" s="29">
        <f>SUM('Inter-American'!LIFE_CALLED)</f>
        <v>90759188</v>
      </c>
      <c r="T78" s="30">
        <f>SUM('Inter-American'!LIFE_REFUNDED)</f>
        <v>25834985.63335</v>
      </c>
      <c r="U78" s="30"/>
      <c r="V78" s="30">
        <f>SUM('Inter-American'!ALLOC_CALLED)</f>
        <v>37166103</v>
      </c>
      <c r="W78" s="30">
        <f>SUM('Inter-American'!ALLOC_REFUNDED)</f>
        <v>19867169.688979998</v>
      </c>
      <c r="X78" s="30"/>
      <c r="Y78" s="30">
        <f>SUM('Inter-American'!HEALTH_CALLED)</f>
        <v>4032883</v>
      </c>
      <c r="Z78" s="30">
        <f>SUM('Inter-American'!HEALTH_REFUNDED)</f>
        <v>643059.62767000007</v>
      </c>
      <c r="AA78" s="30"/>
      <c r="AB78" s="30">
        <f>SUM('Inter-American'!UNALLOC_CALLED)</f>
        <v>41826413</v>
      </c>
      <c r="AC78" s="31">
        <f>SUM('Inter-American'!UNALLOC_REFUNDED)</f>
        <v>17982766.469999999</v>
      </c>
    </row>
    <row r="79" spans="2:29">
      <c r="B79" s="8" t="s">
        <v>455</v>
      </c>
      <c r="C79" s="2" t="s">
        <v>456</v>
      </c>
      <c r="D79" s="2" t="s">
        <v>207</v>
      </c>
      <c r="E79" s="2" t="s">
        <v>258</v>
      </c>
      <c r="F79" s="2" t="s">
        <v>457</v>
      </c>
      <c r="G79" s="2" t="s">
        <v>458</v>
      </c>
      <c r="H79" s="30">
        <f>SUM('International Fin'!LIFE)</f>
        <v>1142532.7372618408</v>
      </c>
      <c r="I79" s="30">
        <f>SUM('International Fin'!ALLOCATED)</f>
        <v>731782.28871571959</v>
      </c>
      <c r="J79" s="30">
        <f>SUM('International Fin'!HEALTH)</f>
        <v>0</v>
      </c>
      <c r="K79" s="30">
        <f>SUM('International Fin'!UNALLOCATED)</f>
        <v>0</v>
      </c>
      <c r="L79" s="30">
        <f>SUM('International Fin'!LTC)</f>
        <v>0</v>
      </c>
      <c r="M79" s="30">
        <f t="shared" si="4"/>
        <v>1874315.0259775603</v>
      </c>
      <c r="N79" s="31"/>
      <c r="O79" s="29">
        <v>1872688.0491531452</v>
      </c>
      <c r="P79" s="31">
        <f t="shared" si="5"/>
        <v>1626.9768244151492</v>
      </c>
      <c r="Q79" s="30"/>
      <c r="R79" s="30"/>
      <c r="S79" s="29">
        <f>SUM('International Fin'!LIFE_CALLED)</f>
        <v>4602083</v>
      </c>
      <c r="T79" s="30">
        <f>SUM('International Fin'!LIFE_REFUNDED)</f>
        <v>3175000</v>
      </c>
      <c r="U79" s="30"/>
      <c r="V79" s="30">
        <f>SUM('International Fin'!ALLOC_CALLED)</f>
        <v>277880</v>
      </c>
      <c r="W79" s="30">
        <f>SUM('International Fin'!ALLOC_REFUNDED)</f>
        <v>0</v>
      </c>
      <c r="X79" s="30"/>
      <c r="Y79" s="30">
        <f>SUM('International Fin'!HEALTH_CALLED)</f>
        <v>152528</v>
      </c>
      <c r="Z79" s="30">
        <f>SUM('International Fin'!HEALTH_REFUNDED)</f>
        <v>125000</v>
      </c>
      <c r="AA79" s="30"/>
      <c r="AB79" s="30">
        <f>SUM('International Fin'!UNALLOC_CALLED)</f>
        <v>0</v>
      </c>
      <c r="AC79" s="31">
        <f>SUM('International Fin'!UNALLOC_REFUNDED)</f>
        <v>0</v>
      </c>
    </row>
    <row r="80" spans="2:29">
      <c r="B80" s="8" t="s">
        <v>459</v>
      </c>
      <c r="C80" s="2" t="s">
        <v>460</v>
      </c>
      <c r="D80" s="2" t="s">
        <v>461</v>
      </c>
      <c r="E80" s="2" t="s">
        <v>462</v>
      </c>
      <c r="F80" s="2" t="s">
        <v>463</v>
      </c>
      <c r="G80" s="2" t="s">
        <v>464</v>
      </c>
      <c r="H80" s="30">
        <f>SUM('Investment Life of America'!LIFE)</f>
        <v>3600898.6111054136</v>
      </c>
      <c r="I80" s="30">
        <f>SUM('Investment Life of America'!ALLOCATED)</f>
        <v>12140925.673411671</v>
      </c>
      <c r="J80" s="30">
        <f>SUM('Investment Life of America'!HEALTH)</f>
        <v>16133.84</v>
      </c>
      <c r="K80" s="30">
        <f>SUM('Investment Life of America'!UNALLOCATED)</f>
        <v>0</v>
      </c>
      <c r="L80" s="30">
        <f>SUM('Investment Life of America'!LTC)</f>
        <v>0</v>
      </c>
      <c r="M80" s="30">
        <f t="shared" si="4"/>
        <v>15757958.124517085</v>
      </c>
      <c r="N80" s="31"/>
      <c r="O80" s="29">
        <v>15757958.124517083</v>
      </c>
      <c r="P80" s="31">
        <f t="shared" si="5"/>
        <v>0</v>
      </c>
      <c r="Q80" s="30"/>
      <c r="R80" s="30"/>
      <c r="S80" s="29">
        <f>SUM('Investment Life of America'!LIFE_CALLED)</f>
        <v>5270688</v>
      </c>
      <c r="T80" s="30">
        <f>SUM('Investment Life of America'!LIFE_REFUNDED)</f>
        <v>356691</v>
      </c>
      <c r="U80" s="30"/>
      <c r="V80" s="30">
        <f>SUM('Investment Life of America'!ALLOC_CALLED)</f>
        <v>17846770</v>
      </c>
      <c r="W80" s="30">
        <f>SUM('Investment Life of America'!ALLOC_REFUNDED)</f>
        <v>1325580.3500000001</v>
      </c>
      <c r="X80" s="30"/>
      <c r="Y80" s="30">
        <f>SUM('Investment Life of America'!HEALTH_CALLED)</f>
        <v>0</v>
      </c>
      <c r="Z80" s="30">
        <f>SUM('Investment Life of America'!HEALTH_REFUNDED)</f>
        <v>0</v>
      </c>
      <c r="AA80" s="30"/>
      <c r="AB80" s="30">
        <f>SUM('Investment Life of America'!UNALLOC_CALLED)</f>
        <v>0</v>
      </c>
      <c r="AC80" s="31">
        <f>SUM('Investment Life of America'!UNALLOC_REFUNDED)</f>
        <v>0</v>
      </c>
    </row>
    <row r="81" spans="2:29">
      <c r="B81" s="8" t="s">
        <v>465</v>
      </c>
      <c r="C81" s="2" t="s">
        <v>466</v>
      </c>
      <c r="D81" s="2" t="s">
        <v>467</v>
      </c>
      <c r="E81" s="2" t="s">
        <v>468</v>
      </c>
      <c r="F81" s="2" t="s">
        <v>469</v>
      </c>
      <c r="G81" s="2" t="s">
        <v>470</v>
      </c>
      <c r="H81" s="30">
        <f>SUM('Investors Equity'!LIFE)</f>
        <v>0</v>
      </c>
      <c r="I81" s="30">
        <f>SUM('Investors Equity'!ALLOCATED)</f>
        <v>37078074.870000005</v>
      </c>
      <c r="J81" s="30">
        <f>SUM('Investors Equity'!HEALTH)</f>
        <v>0</v>
      </c>
      <c r="K81" s="30">
        <f>SUM('Investors Equity'!UNALLOCATED)</f>
        <v>0</v>
      </c>
      <c r="L81" s="30">
        <f>SUM('Investors Equity'!LTC)</f>
        <v>0</v>
      </c>
      <c r="M81" s="30">
        <f t="shared" si="4"/>
        <v>37078074.870000005</v>
      </c>
      <c r="N81" s="31"/>
      <c r="O81" s="29">
        <v>37078074.870000005</v>
      </c>
      <c r="P81" s="31">
        <f t="shared" si="5"/>
        <v>0</v>
      </c>
      <c r="Q81" s="30"/>
      <c r="R81" s="30"/>
      <c r="S81" s="29">
        <f>SUM('Investors Equity'!LIFE_CALLED)</f>
        <v>27611280</v>
      </c>
      <c r="T81" s="30">
        <f>SUM('Investors Equity'!LIFE_REFUNDED)</f>
        <v>20999761</v>
      </c>
      <c r="U81" s="30"/>
      <c r="V81" s="30">
        <f>SUM('Investors Equity'!ALLOC_CALLED)</f>
        <v>22525117</v>
      </c>
      <c r="W81" s="30">
        <f>SUM('Investors Equity'!ALLOC_REFUNDED)</f>
        <v>11243274</v>
      </c>
      <c r="X81" s="30"/>
      <c r="Y81" s="30">
        <f>SUM('Investors Equity'!HEALTH_CALLED)</f>
        <v>11732231</v>
      </c>
      <c r="Z81" s="30">
        <f>SUM('Investors Equity'!HEALTH_REFUNDED)</f>
        <v>11500000</v>
      </c>
      <c r="AA81" s="30"/>
      <c r="AB81" s="30">
        <f>SUM('Investors Equity'!UNALLOC_CALLED)</f>
        <v>0</v>
      </c>
      <c r="AC81" s="31">
        <f>SUM('Investors Equity'!UNALLOC_REFUNDED)</f>
        <v>0</v>
      </c>
    </row>
    <row r="82" spans="2:29">
      <c r="B82" s="8" t="s">
        <v>471</v>
      </c>
      <c r="C82" s="2" t="s">
        <v>472</v>
      </c>
      <c r="D82" s="2" t="s">
        <v>473</v>
      </c>
      <c r="E82" s="2" t="s">
        <v>474</v>
      </c>
      <c r="F82" s="2" t="s">
        <v>475</v>
      </c>
      <c r="G82" s="2" t="s">
        <v>476</v>
      </c>
      <c r="H82" s="30">
        <f>SUM('Kentucky Central'!LIFE)</f>
        <v>-12441718.913903382</v>
      </c>
      <c r="I82" s="30">
        <f>SUM('Kentucky Central'!ALLOCATED)</f>
        <v>-59570.761363521255</v>
      </c>
      <c r="J82" s="30">
        <f>SUM('Kentucky Central'!HEALTH)</f>
        <v>0</v>
      </c>
      <c r="K82" s="30">
        <f>SUM('Kentucky Central'!UNALLOCATED)</f>
        <v>0</v>
      </c>
      <c r="L82" s="30">
        <f>SUM('Kentucky Central'!LTC)</f>
        <v>0</v>
      </c>
      <c r="M82" s="30">
        <f t="shared" ref="M82:M105" si="6">SUM(H82:L82)</f>
        <v>-12501289.675266903</v>
      </c>
      <c r="N82" s="31"/>
      <c r="O82" s="29">
        <v>-12503462.945266893</v>
      </c>
      <c r="P82" s="31">
        <f t="shared" ref="P82:P105" si="7">+M82-O82</f>
        <v>2173.2699999902397</v>
      </c>
      <c r="Q82" s="30"/>
      <c r="R82" s="30"/>
      <c r="S82" s="29">
        <f>SUM('Kentucky Central'!LIFE_CALLED)</f>
        <v>122437040</v>
      </c>
      <c r="T82" s="30">
        <f>SUM('Kentucky Central'!LIFE_REFUNDED)</f>
        <v>92956402.418200001</v>
      </c>
      <c r="U82" s="30"/>
      <c r="V82" s="30">
        <f>SUM('Kentucky Central'!ALLOC_CALLED)</f>
        <v>13028405</v>
      </c>
      <c r="W82" s="30">
        <f>SUM('Kentucky Central'!ALLOC_REFUNDED)</f>
        <v>7287007.0312000001</v>
      </c>
      <c r="X82" s="30"/>
      <c r="Y82" s="30">
        <f>SUM('Kentucky Central'!HEALTH_CALLED)</f>
        <v>141544</v>
      </c>
      <c r="Z82" s="30">
        <f>SUM('Kentucky Central'!HEALTH_REFUNDED)</f>
        <v>161507.8406</v>
      </c>
      <c r="AA82" s="30"/>
      <c r="AB82" s="30">
        <f>SUM('Kentucky Central'!UNALLOC_CALLED)</f>
        <v>0</v>
      </c>
      <c r="AC82" s="31">
        <f>SUM('Kentucky Central'!UNALLOC_REFUNDED)</f>
        <v>0</v>
      </c>
    </row>
    <row r="83" spans="2:29">
      <c r="B83" s="8" t="s">
        <v>477</v>
      </c>
      <c r="C83" s="2" t="s">
        <v>478</v>
      </c>
      <c r="D83" s="2" t="s">
        <v>188</v>
      </c>
      <c r="E83" s="2" t="s">
        <v>479</v>
      </c>
      <c r="F83" s="2" t="s">
        <v>480</v>
      </c>
      <c r="G83" s="2" t="s">
        <v>481</v>
      </c>
      <c r="H83" s="30">
        <f>SUM(Legion!LIFE)</f>
        <v>0</v>
      </c>
      <c r="I83" s="30">
        <f>SUM(Legion!ALLOCATED)</f>
        <v>0</v>
      </c>
      <c r="J83" s="30">
        <f>SUM(Legion!HEALTH)</f>
        <v>410967.5164547048</v>
      </c>
      <c r="K83" s="30">
        <f>SUM(Legion!UNALLOCATED)</f>
        <v>0</v>
      </c>
      <c r="L83" s="30">
        <f>SUM(Legion!LTC)</f>
        <v>0</v>
      </c>
      <c r="M83" s="30">
        <f t="shared" si="6"/>
        <v>410967.5164547048</v>
      </c>
      <c r="N83" s="31"/>
      <c r="O83" s="29">
        <v>410967.51645470469</v>
      </c>
      <c r="P83" s="31">
        <f t="shared" si="7"/>
        <v>0</v>
      </c>
      <c r="Q83" s="30"/>
      <c r="R83" s="30"/>
      <c r="S83" s="29">
        <f>SUM(Legion!LIFE_CALLED)</f>
        <v>0</v>
      </c>
      <c r="T83" s="30">
        <f>SUM(Legion!LIFE_REFUNDED)</f>
        <v>0</v>
      </c>
      <c r="U83" s="30"/>
      <c r="V83" s="30">
        <f>SUM(Legion!ALLOC_CALLED)</f>
        <v>0</v>
      </c>
      <c r="W83" s="30">
        <f>SUM(Legion!ALLOC_REFUNDED)</f>
        <v>0</v>
      </c>
      <c r="X83" s="30"/>
      <c r="Y83" s="30">
        <f>SUM(Legion!HEALTH_CALLED)</f>
        <v>584325</v>
      </c>
      <c r="Z83" s="30">
        <f>SUM(Legion!HEALTH_REFUNDED)</f>
        <v>0</v>
      </c>
      <c r="AA83" s="30"/>
      <c r="AB83" s="30">
        <f>SUM(Legion!UNALLOC_CALLED)</f>
        <v>0</v>
      </c>
      <c r="AC83" s="31">
        <f>SUM(Legion!UNALLOC_REFUNDED)</f>
        <v>0</v>
      </c>
    </row>
    <row r="84" spans="2:29">
      <c r="B84" s="8" t="s">
        <v>482</v>
      </c>
      <c r="C84" s="2" t="s">
        <v>483</v>
      </c>
      <c r="D84" s="2" t="s">
        <v>461</v>
      </c>
      <c r="E84" s="2" t="s">
        <v>484</v>
      </c>
      <c r="F84" s="2" t="s">
        <v>485</v>
      </c>
      <c r="G84" s="2" t="s">
        <v>486</v>
      </c>
      <c r="H84" s="30">
        <f>SUM('London Pac'!LIFE)</f>
        <v>0</v>
      </c>
      <c r="I84" s="30">
        <f>SUM('London Pac'!ALLOCATED)</f>
        <v>96324078.240000188</v>
      </c>
      <c r="J84" s="30">
        <f>SUM('London Pac'!HEALTH)</f>
        <v>0</v>
      </c>
      <c r="K84" s="30">
        <f>SUM('London Pac'!UNALLOCATED)</f>
        <v>0</v>
      </c>
      <c r="L84" s="30">
        <f>SUM('London Pac'!LTC)</f>
        <v>0</v>
      </c>
      <c r="M84" s="30">
        <f t="shared" si="6"/>
        <v>96324078.240000188</v>
      </c>
      <c r="N84" s="31"/>
      <c r="O84" s="29">
        <v>96324078.240000188</v>
      </c>
      <c r="P84" s="31">
        <f t="shared" si="7"/>
        <v>0</v>
      </c>
      <c r="Q84" s="30"/>
      <c r="R84" s="30"/>
      <c r="S84" s="29">
        <f>SUM('London Pac'!LIFE_CALLED)</f>
        <v>700638</v>
      </c>
      <c r="T84" s="30">
        <f>SUM('London Pac'!LIFE_REFUNDED)</f>
        <v>6000</v>
      </c>
      <c r="U84" s="30"/>
      <c r="V84" s="30">
        <f>SUM('London Pac'!ALLOC_CALLED)</f>
        <v>88015647</v>
      </c>
      <c r="W84" s="30">
        <f>SUM('London Pac'!ALLOC_REFUNDED)</f>
        <v>10292000</v>
      </c>
      <c r="X84" s="30"/>
      <c r="Y84" s="30">
        <f>SUM('London Pac'!HEALTH_CALLED)</f>
        <v>0</v>
      </c>
      <c r="Z84" s="30">
        <f>SUM('London Pac'!HEALTH_REFUNDED)</f>
        <v>1716536</v>
      </c>
      <c r="AA84" s="30"/>
      <c r="AB84" s="30">
        <f>SUM('London Pac'!UNALLOC_CALLED)</f>
        <v>0</v>
      </c>
      <c r="AC84" s="31">
        <f>SUM('London Pac'!UNALLOC_REFUNDED)</f>
        <v>0</v>
      </c>
    </row>
    <row r="85" spans="2:29">
      <c r="B85" s="8" t="s">
        <v>487</v>
      </c>
      <c r="C85" s="2" t="s">
        <v>488</v>
      </c>
      <c r="D85" s="2" t="s">
        <v>300</v>
      </c>
      <c r="E85" s="2" t="s">
        <v>489</v>
      </c>
      <c r="F85" s="2" t="s">
        <v>490</v>
      </c>
      <c r="G85" s="2" t="s">
        <v>491</v>
      </c>
      <c r="H85" s="30">
        <f>SUM('Medical Savings'!LIFE)</f>
        <v>0</v>
      </c>
      <c r="I85" s="30">
        <f>SUM('Medical Savings'!ALLOCATED)</f>
        <v>0</v>
      </c>
      <c r="J85" s="30">
        <f>SUM('Medical Savings'!HEALTH)</f>
        <v>25705698.670000002</v>
      </c>
      <c r="K85" s="30">
        <f>SUM('Medical Savings'!UNALLOCATED)</f>
        <v>0</v>
      </c>
      <c r="L85" s="30">
        <f>SUM('Medical Savings'!LTC)</f>
        <v>0</v>
      </c>
      <c r="M85" s="30">
        <f t="shared" si="6"/>
        <v>25705698.670000002</v>
      </c>
      <c r="N85" s="31"/>
      <c r="O85" s="29">
        <v>25705698.670000002</v>
      </c>
      <c r="P85" s="31">
        <f t="shared" si="7"/>
        <v>0</v>
      </c>
      <c r="Q85" s="30"/>
      <c r="R85" s="30"/>
      <c r="S85" s="29">
        <f>SUM('Medical Savings'!LIFE_CALLED)</f>
        <v>0</v>
      </c>
      <c r="T85" s="30">
        <f>SUM('Medical Savings'!LIFE_REFUNDED)</f>
        <v>0</v>
      </c>
      <c r="U85" s="30"/>
      <c r="V85" s="30">
        <f>SUM('Medical Savings'!ALLOC_CALLED)</f>
        <v>0</v>
      </c>
      <c r="W85" s="30">
        <f>SUM('Medical Savings'!ALLOC_REFUNDED)</f>
        <v>0</v>
      </c>
      <c r="X85" s="30"/>
      <c r="Y85" s="30">
        <f>SUM('Medical Savings'!HEALTH_CALLED)</f>
        <v>22285577</v>
      </c>
      <c r="Z85" s="30">
        <f>SUM('Medical Savings'!HEALTH_REFUNDED)</f>
        <v>31891</v>
      </c>
      <c r="AA85" s="30"/>
      <c r="AB85" s="30">
        <f>SUM('Medical Savings'!UNALLOC_CALLED)</f>
        <v>0</v>
      </c>
      <c r="AC85" s="31">
        <f>SUM('Medical Savings'!UNALLOC_REFUNDED)</f>
        <v>0</v>
      </c>
    </row>
    <row r="86" spans="2:29">
      <c r="B86" s="8" t="s">
        <v>492</v>
      </c>
      <c r="C86" s="2" t="s">
        <v>493</v>
      </c>
      <c r="D86" s="2" t="s">
        <v>494</v>
      </c>
      <c r="E86" s="2" t="s">
        <v>495</v>
      </c>
      <c r="F86" s="2" t="s">
        <v>496</v>
      </c>
      <c r="G86" s="2" t="s">
        <v>497</v>
      </c>
      <c r="H86" s="30">
        <f>SUM('Midwest Life'!LIFE)</f>
        <v>886028.97456892044</v>
      </c>
      <c r="I86" s="30">
        <f>SUM('Midwest Life'!ALLOCATED)</f>
        <v>32048671.496619485</v>
      </c>
      <c r="J86" s="30">
        <f>SUM('Midwest Life'!HEALTH)</f>
        <v>82009.568811594945</v>
      </c>
      <c r="K86" s="30">
        <f>SUM('Midwest Life'!UNALLOCATED)</f>
        <v>0</v>
      </c>
      <c r="L86" s="30">
        <f>SUM('Midwest Life'!LTC)</f>
        <v>0</v>
      </c>
      <c r="M86" s="30">
        <f t="shared" si="6"/>
        <v>33016710.040000003</v>
      </c>
      <c r="N86" s="31"/>
      <c r="O86" s="29">
        <v>33016710.039999999</v>
      </c>
      <c r="P86" s="31">
        <f t="shared" si="7"/>
        <v>0</v>
      </c>
      <c r="Q86" s="30"/>
      <c r="R86" s="30"/>
      <c r="S86" s="29">
        <f>SUM('Midwest Life'!LIFE_CALLED)</f>
        <v>3798558</v>
      </c>
      <c r="T86" s="30">
        <f>SUM('Midwest Life'!LIFE_REFUNDED)</f>
        <v>1244000</v>
      </c>
      <c r="U86" s="30"/>
      <c r="V86" s="30">
        <f>SUM('Midwest Life'!ALLOC_CALLED)</f>
        <v>75236595</v>
      </c>
      <c r="W86" s="30">
        <f>SUM('Midwest Life'!ALLOC_REFUNDED)</f>
        <v>12991485</v>
      </c>
      <c r="X86" s="30"/>
      <c r="Y86" s="30">
        <f>SUM('Midwest Life'!HEALTH_CALLED)</f>
        <v>4535768</v>
      </c>
      <c r="Z86" s="30">
        <f>SUM('Midwest Life'!HEALTH_REFUNDED)</f>
        <v>725908</v>
      </c>
      <c r="AA86" s="30"/>
      <c r="AB86" s="30">
        <f>SUM('Midwest Life'!UNALLOC_CALLED)</f>
        <v>0</v>
      </c>
      <c r="AC86" s="31">
        <f>SUM('Midwest Life'!UNALLOC_REFUNDED)</f>
        <v>0</v>
      </c>
    </row>
    <row r="87" spans="2:29">
      <c r="B87" s="8" t="s">
        <v>498</v>
      </c>
      <c r="C87" s="2" t="s">
        <v>499</v>
      </c>
      <c r="D87" s="2" t="s">
        <v>266</v>
      </c>
      <c r="E87" s="2" t="s">
        <v>500</v>
      </c>
      <c r="F87" s="2" t="s">
        <v>501</v>
      </c>
      <c r="G87" s="2" t="s">
        <v>502</v>
      </c>
      <c r="H87" s="30">
        <f>SUM('Mutual Benefit'!LIFE)</f>
        <v>-381962.22322039324</v>
      </c>
      <c r="I87" s="30">
        <f>SUM('Mutual Benefit'!ALLOCATED)</f>
        <v>-1112649.6289279202</v>
      </c>
      <c r="J87" s="30">
        <f>SUM('Mutual Benefit'!HEALTH)</f>
        <v>0</v>
      </c>
      <c r="K87" s="30">
        <f>SUM('Mutual Benefit'!UNALLOCATED)</f>
        <v>-170796.59785140699</v>
      </c>
      <c r="L87" s="30">
        <f>SUM('Mutual Benefit'!LTC)</f>
        <v>0</v>
      </c>
      <c r="M87" s="30">
        <f t="shared" si="6"/>
        <v>-1665408.4499997206</v>
      </c>
      <c r="N87" s="31"/>
      <c r="O87" s="29">
        <v>-1665408.4499997203</v>
      </c>
      <c r="P87" s="31">
        <f t="shared" si="7"/>
        <v>0</v>
      </c>
      <c r="Q87" s="30"/>
      <c r="R87" s="30"/>
      <c r="S87" s="29">
        <f>SUM('Mutual Benefit'!LIFE_CALLED)</f>
        <v>113928847</v>
      </c>
      <c r="T87" s="30">
        <f>SUM('Mutual Benefit'!LIFE_REFUNDED)</f>
        <v>73393423.847253993</v>
      </c>
      <c r="U87" s="30"/>
      <c r="V87" s="30">
        <f>SUM('Mutual Benefit'!ALLOC_CALLED)</f>
        <v>16270649</v>
      </c>
      <c r="W87" s="30">
        <f>SUM('Mutual Benefit'!ALLOC_REFUNDED)</f>
        <v>12224649.138025999</v>
      </c>
      <c r="X87" s="30"/>
      <c r="Y87" s="30">
        <f>SUM('Mutual Benefit'!HEALTH_CALLED)</f>
        <v>4132289</v>
      </c>
      <c r="Z87" s="30">
        <f>SUM('Mutual Benefit'!HEALTH_REFUNDED)</f>
        <v>4836956.3147200001</v>
      </c>
      <c r="AA87" s="30"/>
      <c r="AB87" s="30">
        <f>SUM('Mutual Benefit'!UNALLOC_CALLED)</f>
        <v>2139524</v>
      </c>
      <c r="AC87" s="31">
        <f>SUM('Mutual Benefit'!UNALLOC_REFUNDED)</f>
        <v>1843252.74</v>
      </c>
    </row>
    <row r="88" spans="2:29">
      <c r="B88" s="8" t="s">
        <v>503</v>
      </c>
      <c r="C88" s="2" t="s">
        <v>504</v>
      </c>
      <c r="D88" s="2" t="s">
        <v>300</v>
      </c>
      <c r="E88" s="2" t="s">
        <v>505</v>
      </c>
      <c r="F88" s="2" t="s">
        <v>195</v>
      </c>
      <c r="G88" s="2" t="s">
        <v>443</v>
      </c>
      <c r="H88" s="30">
        <f>SUM('Mutual Security'!LIFE)</f>
        <v>3156843.32973589</v>
      </c>
      <c r="I88" s="30">
        <f>SUM('Mutual Security'!ALLOCATED)</f>
        <v>11290437.844675858</v>
      </c>
      <c r="J88" s="30">
        <f>SUM('Mutual Security'!HEALTH)</f>
        <v>-6405966.9312069416</v>
      </c>
      <c r="K88" s="30">
        <f>SUM('Mutual Security'!UNALLOCATED)</f>
        <v>4718689.2567951931</v>
      </c>
      <c r="L88" s="30">
        <f>SUM('Mutual Security'!LTC)</f>
        <v>0</v>
      </c>
      <c r="M88" s="30">
        <f t="shared" si="6"/>
        <v>12760003.5</v>
      </c>
      <c r="N88" s="31"/>
      <c r="O88" s="29">
        <v>12760003.5</v>
      </c>
      <c r="P88" s="31">
        <f t="shared" si="7"/>
        <v>0</v>
      </c>
      <c r="Q88" s="30"/>
      <c r="R88" s="30"/>
      <c r="S88" s="29">
        <f>SUM('Mutual Security'!LIFE_CALLED)</f>
        <v>53434308</v>
      </c>
      <c r="T88" s="30">
        <f>SUM('Mutual Security'!LIFE_REFUNDED)</f>
        <v>16260675.3488</v>
      </c>
      <c r="U88" s="30"/>
      <c r="V88" s="30">
        <f>SUM('Mutual Security'!ALLOC_CALLED)</f>
        <v>117647747</v>
      </c>
      <c r="W88" s="30">
        <f>SUM('Mutual Security'!ALLOC_REFUNDED)</f>
        <v>23197622.820799999</v>
      </c>
      <c r="X88" s="30"/>
      <c r="Y88" s="30">
        <f>SUM('Mutual Security'!HEALTH_CALLED)</f>
        <v>3972146</v>
      </c>
      <c r="Z88" s="30">
        <f>SUM('Mutual Security'!HEALTH_REFUNDED)</f>
        <v>2032125.8303999999</v>
      </c>
      <c r="AA88" s="30"/>
      <c r="AB88" s="30">
        <f>SUM('Mutual Security'!UNALLOC_CALLED)</f>
        <v>96890</v>
      </c>
      <c r="AC88" s="31">
        <f>SUM('Mutual Security'!UNALLOC_REFUNDED)</f>
        <v>84000</v>
      </c>
    </row>
    <row r="89" spans="2:29">
      <c r="B89" s="8" t="s">
        <v>506</v>
      </c>
      <c r="C89" s="2" t="s">
        <v>507</v>
      </c>
      <c r="D89" s="2" t="s">
        <v>494</v>
      </c>
      <c r="E89" s="2" t="s">
        <v>508</v>
      </c>
      <c r="F89" s="2" t="s">
        <v>509</v>
      </c>
      <c r="G89" s="2" t="s">
        <v>510</v>
      </c>
      <c r="H89" s="30">
        <f>SUM('National Affiliated'!LIFE)</f>
        <v>1176583.8239110187</v>
      </c>
      <c r="I89" s="30">
        <f>SUM('National Affiliated'!ALLOCATED)</f>
        <v>122869.26166202863</v>
      </c>
      <c r="J89" s="30">
        <f>SUM('National Affiliated'!HEALTH)</f>
        <v>9635.0672854646855</v>
      </c>
      <c r="K89" s="30">
        <f>SUM('National Affiliated'!UNALLOCATED)</f>
        <v>0</v>
      </c>
      <c r="L89" s="30">
        <f>SUM('National Affiliated'!LTC)</f>
        <v>0</v>
      </c>
      <c r="M89" s="30">
        <f t="shared" si="6"/>
        <v>1309088.152858512</v>
      </c>
      <c r="N89" s="31"/>
      <c r="O89" s="29">
        <v>1309088.1528585122</v>
      </c>
      <c r="P89" s="31">
        <f t="shared" si="7"/>
        <v>0</v>
      </c>
      <c r="Q89" s="30"/>
      <c r="R89" s="30"/>
      <c r="S89" s="29">
        <f>SUM('National Affiliated'!LIFE_CALLED)</f>
        <v>1144992</v>
      </c>
      <c r="T89" s="30">
        <f>SUM('National Affiliated'!LIFE_REFUNDED)</f>
        <v>41125</v>
      </c>
      <c r="U89" s="30"/>
      <c r="V89" s="30">
        <f>SUM('National Affiliated'!ALLOC_CALLED)</f>
        <v>35389</v>
      </c>
      <c r="W89" s="30">
        <f>SUM('National Affiliated'!ALLOC_REFUNDED)</f>
        <v>0</v>
      </c>
      <c r="X89" s="30"/>
      <c r="Y89" s="30">
        <f>SUM('National Affiliated'!HEALTH_CALLED)</f>
        <v>606622</v>
      </c>
      <c r="Z89" s="30">
        <f>SUM('National Affiliated'!HEALTH_REFUNDED)</f>
        <v>1257</v>
      </c>
      <c r="AA89" s="30"/>
      <c r="AB89" s="30">
        <f>SUM('National Affiliated'!UNALLOC_CALLED)</f>
        <v>0</v>
      </c>
      <c r="AC89" s="31">
        <f>SUM('National Affiliated'!UNALLOC_REFUNDED)</f>
        <v>0</v>
      </c>
    </row>
    <row r="90" spans="2:29">
      <c r="B90" s="8" t="s">
        <v>511</v>
      </c>
      <c r="C90" s="2" t="s">
        <v>512</v>
      </c>
      <c r="D90" s="2" t="s">
        <v>188</v>
      </c>
      <c r="E90" s="2" t="s">
        <v>513</v>
      </c>
      <c r="F90" s="2" t="s">
        <v>514</v>
      </c>
      <c r="G90" s="2" t="s">
        <v>515</v>
      </c>
      <c r="H90" s="30">
        <f>SUM('Natl American'!LIFE)</f>
        <v>2604.3387856944819</v>
      </c>
      <c r="I90" s="30">
        <f>SUM('Natl American'!ALLOCATED)</f>
        <v>13124792.083000876</v>
      </c>
      <c r="J90" s="30">
        <f>SUM('Natl American'!HEALTH)</f>
        <v>6047.8936443914545</v>
      </c>
      <c r="K90" s="30">
        <f>SUM('Natl American'!UNALLOCATED)</f>
        <v>0</v>
      </c>
      <c r="L90" s="30">
        <f>SUM('Natl American'!LTC)</f>
        <v>0</v>
      </c>
      <c r="M90" s="30">
        <f t="shared" si="6"/>
        <v>13133444.315430962</v>
      </c>
      <c r="N90" s="31"/>
      <c r="O90" s="29">
        <v>13133444.315430963</v>
      </c>
      <c r="P90" s="31">
        <f t="shared" si="7"/>
        <v>0</v>
      </c>
      <c r="Q90" s="30"/>
      <c r="R90" s="30"/>
      <c r="S90" s="29">
        <f>SUM('Natl American'!LIFE_CALLED)</f>
        <v>576171</v>
      </c>
      <c r="T90" s="30">
        <f>SUM('Natl American'!LIFE_REFUNDED)</f>
        <v>185418.76120000001</v>
      </c>
      <c r="U90" s="30"/>
      <c r="V90" s="30">
        <f>SUM('Natl American'!ALLOC_CALLED)</f>
        <v>24494168</v>
      </c>
      <c r="W90" s="30">
        <f>SUM('Natl American'!ALLOC_REFUNDED)</f>
        <v>42107927.9296</v>
      </c>
      <c r="X90" s="30"/>
      <c r="Y90" s="30">
        <f>SUM('Natl American'!HEALTH_CALLED)</f>
        <v>1785577</v>
      </c>
      <c r="Z90" s="30">
        <f>SUM('Natl American'!HEALTH_REFUNDED)</f>
        <v>1644030.4391999999</v>
      </c>
      <c r="AA90" s="30"/>
      <c r="AB90" s="30">
        <f>SUM('Natl American'!UNALLOC_CALLED)</f>
        <v>0</v>
      </c>
      <c r="AC90" s="31">
        <f>SUM('Natl American'!UNALLOC_REFUNDED)</f>
        <v>0</v>
      </c>
    </row>
    <row r="91" spans="2:29">
      <c r="B91" s="8" t="s">
        <v>516</v>
      </c>
      <c r="C91" s="2" t="s">
        <v>517</v>
      </c>
      <c r="D91" s="2" t="s">
        <v>266</v>
      </c>
      <c r="E91" s="2" t="s">
        <v>518</v>
      </c>
      <c r="F91" s="2" t="s">
        <v>519</v>
      </c>
      <c r="G91" s="2" t="s">
        <v>520</v>
      </c>
      <c r="H91" s="30">
        <f>SUM('New Jersey Life'!LIFE)</f>
        <v>81903024.650000021</v>
      </c>
      <c r="I91" s="30">
        <f>SUM('New Jersey Life'!ALLOCATED)</f>
        <v>0</v>
      </c>
      <c r="J91" s="30">
        <f>SUM('New Jersey Life'!HEALTH)</f>
        <v>0</v>
      </c>
      <c r="K91" s="30">
        <f>SUM('New Jersey Life'!UNALLOCATED)</f>
        <v>0</v>
      </c>
      <c r="L91" s="30">
        <f>SUM('New Jersey Life'!LTC)</f>
        <v>0</v>
      </c>
      <c r="M91" s="30">
        <f t="shared" si="6"/>
        <v>81903024.650000021</v>
      </c>
      <c r="N91" s="31"/>
      <c r="O91" s="29">
        <v>81903024.650000021</v>
      </c>
      <c r="P91" s="31">
        <f t="shared" si="7"/>
        <v>0</v>
      </c>
      <c r="Q91" s="30"/>
      <c r="R91" s="30"/>
      <c r="S91" s="29">
        <f>SUM('New Jersey Life'!LIFE_CALLED)</f>
        <v>88482480</v>
      </c>
      <c r="T91" s="30">
        <f>SUM('New Jersey Life'!LIFE_REFUNDED)</f>
        <v>2590816.2341999998</v>
      </c>
      <c r="U91" s="30"/>
      <c r="V91" s="30">
        <f>SUM('New Jersey Life'!ALLOC_CALLED)</f>
        <v>20683</v>
      </c>
      <c r="W91" s="30">
        <f>SUM('New Jersey Life'!ALLOC_REFUNDED)</f>
        <v>26777</v>
      </c>
      <c r="X91" s="30"/>
      <c r="Y91" s="30">
        <f>SUM('New Jersey Life'!HEALTH_CALLED)</f>
        <v>449</v>
      </c>
      <c r="Z91" s="30">
        <f>SUM('New Jersey Life'!HEALTH_REFUNDED)</f>
        <v>22.765800000006497</v>
      </c>
      <c r="AA91" s="30"/>
      <c r="AB91" s="30">
        <f>SUM('New Jersey Life'!UNALLOC_CALLED)</f>
        <v>0</v>
      </c>
      <c r="AC91" s="31">
        <f>SUM('New Jersey Life'!UNALLOC_REFUNDED)</f>
        <v>0</v>
      </c>
    </row>
    <row r="92" spans="2:29">
      <c r="B92" s="8" t="s">
        <v>521</v>
      </c>
      <c r="C92" s="2" t="s">
        <v>522</v>
      </c>
      <c r="D92" s="2" t="s">
        <v>374</v>
      </c>
      <c r="E92" s="2" t="s">
        <v>523</v>
      </c>
      <c r="F92" s="2" t="s">
        <v>524</v>
      </c>
      <c r="G92" s="2" t="s">
        <v>525</v>
      </c>
      <c r="H92" s="30">
        <f>SUM('Old Colony Life'!LIFE)</f>
        <v>525995.35967304953</v>
      </c>
      <c r="I92" s="30">
        <f>SUM('Old Colony Life'!ALLOCATED)</f>
        <v>10650640.260326877</v>
      </c>
      <c r="J92" s="30">
        <f>SUM('Old Colony Life'!HEALTH)</f>
        <v>0</v>
      </c>
      <c r="K92" s="30">
        <f>SUM('Old Colony Life'!UNALLOCATED)</f>
        <v>0</v>
      </c>
      <c r="L92" s="30">
        <f>SUM('Old Colony Life'!LTC)</f>
        <v>0</v>
      </c>
      <c r="M92" s="30">
        <f t="shared" si="6"/>
        <v>11176635.619999927</v>
      </c>
      <c r="N92" s="31"/>
      <c r="O92" s="29">
        <v>11176635.619999927</v>
      </c>
      <c r="P92" s="31">
        <f t="shared" si="7"/>
        <v>0</v>
      </c>
      <c r="Q92" s="30"/>
      <c r="R92" s="30"/>
      <c r="S92" s="29">
        <f>SUM('Old Colony Life'!LIFE_CALLED)</f>
        <v>859210</v>
      </c>
      <c r="T92" s="30">
        <f>SUM('Old Colony Life'!LIFE_REFUNDED)</f>
        <v>42450.53</v>
      </c>
      <c r="U92" s="30"/>
      <c r="V92" s="30">
        <f>SUM('Old Colony Life'!ALLOC_CALLED)</f>
        <v>13560314</v>
      </c>
      <c r="W92" s="30">
        <f>SUM('Old Colony Life'!ALLOC_REFUNDED)</f>
        <v>1359248.82</v>
      </c>
      <c r="X92" s="30"/>
      <c r="Y92" s="30">
        <f>SUM('Old Colony Life'!HEALTH_CALLED)</f>
        <v>53013</v>
      </c>
      <c r="Z92" s="30">
        <f>SUM('Old Colony Life'!HEALTH_REFUNDED)</f>
        <v>1</v>
      </c>
      <c r="AA92" s="30"/>
      <c r="AB92" s="30">
        <f>SUM('Old Colony Life'!UNALLOC_CALLED)</f>
        <v>0</v>
      </c>
      <c r="AC92" s="31">
        <f>SUM('Old Colony Life'!UNALLOC_REFUNDED)</f>
        <v>0</v>
      </c>
    </row>
    <row r="93" spans="2:29">
      <c r="B93" s="8" t="s">
        <v>526</v>
      </c>
      <c r="C93" s="2" t="s">
        <v>527</v>
      </c>
      <c r="D93" s="2" t="s">
        <v>528</v>
      </c>
      <c r="E93" s="2" t="s">
        <v>529</v>
      </c>
      <c r="F93" s="2" t="s">
        <v>530</v>
      </c>
      <c r="G93" s="2" t="s">
        <v>531</v>
      </c>
      <c r="H93" s="30">
        <f>SUM('Old Faithful'!LIFE)</f>
        <v>649599.83585779928</v>
      </c>
      <c r="I93" s="30">
        <f>SUM('Old Faithful'!ALLOCATED)</f>
        <v>760326.7090813081</v>
      </c>
      <c r="J93" s="30">
        <f>SUM('Old Faithful'!HEALTH)</f>
        <v>64157.024160892492</v>
      </c>
      <c r="K93" s="30">
        <f>SUM('Old Faithful'!UNALLOCATED)</f>
        <v>0</v>
      </c>
      <c r="L93" s="30">
        <f>SUM('Old Faithful'!LTC)</f>
        <v>0</v>
      </c>
      <c r="M93" s="30">
        <f t="shared" si="6"/>
        <v>1474083.5690999997</v>
      </c>
      <c r="N93" s="31"/>
      <c r="O93" s="29">
        <v>1474083.5691</v>
      </c>
      <c r="P93" s="31">
        <f t="shared" si="7"/>
        <v>0</v>
      </c>
      <c r="Q93" s="30"/>
      <c r="R93" s="30"/>
      <c r="S93" s="29">
        <f>SUM('Old Faithful'!LIFE_CALLED)</f>
        <v>1985301</v>
      </c>
      <c r="T93" s="30">
        <f>SUM('Old Faithful'!LIFE_REFUNDED)</f>
        <v>0</v>
      </c>
      <c r="U93" s="30"/>
      <c r="V93" s="30">
        <f>SUM('Old Faithful'!ALLOC_CALLED)</f>
        <v>3071552</v>
      </c>
      <c r="W93" s="30">
        <f>SUM('Old Faithful'!ALLOC_REFUNDED)</f>
        <v>0</v>
      </c>
      <c r="X93" s="30"/>
      <c r="Y93" s="30">
        <f>SUM('Old Faithful'!HEALTH_CALLED)</f>
        <v>35000</v>
      </c>
      <c r="Z93" s="30">
        <f>SUM('Old Faithful'!HEALTH_REFUNDED)</f>
        <v>0</v>
      </c>
      <c r="AA93" s="30"/>
      <c r="AB93" s="30">
        <f>SUM('Old Faithful'!UNALLOC_CALLED)</f>
        <v>0</v>
      </c>
      <c r="AC93" s="31">
        <f>SUM('Old Faithful'!UNALLOC_REFUNDED)</f>
        <v>0</v>
      </c>
    </row>
    <row r="94" spans="2:29">
      <c r="B94" s="8" t="s">
        <v>532</v>
      </c>
      <c r="C94" s="2" t="s">
        <v>533</v>
      </c>
      <c r="D94" s="2" t="s">
        <v>193</v>
      </c>
      <c r="E94" s="2" t="s">
        <v>534</v>
      </c>
      <c r="F94" s="2" t="s">
        <v>535</v>
      </c>
      <c r="G94" s="2" t="s">
        <v>536</v>
      </c>
      <c r="H94" s="30">
        <f>SUM('Pacific Standard'!LIFE)</f>
        <v>12334766.906116879</v>
      </c>
      <c r="I94" s="30">
        <f>SUM('Pacific Standard'!ALLOCATED)</f>
        <v>16088740.853883121</v>
      </c>
      <c r="J94" s="30">
        <f>SUM('Pacific Standard'!HEALTH)</f>
        <v>0</v>
      </c>
      <c r="K94" s="30">
        <f>SUM('Pacific Standard'!UNALLOCATED)</f>
        <v>0</v>
      </c>
      <c r="L94" s="30">
        <f>SUM('Pacific Standard'!LTC)</f>
        <v>0</v>
      </c>
      <c r="M94" s="30">
        <f t="shared" si="6"/>
        <v>28423507.759999998</v>
      </c>
      <c r="N94" s="31"/>
      <c r="O94" s="29">
        <v>28423507.759999994</v>
      </c>
      <c r="P94" s="31">
        <f t="shared" si="7"/>
        <v>0</v>
      </c>
      <c r="Q94" s="30"/>
      <c r="R94" s="30"/>
      <c r="S94" s="29">
        <f>SUM('Pacific Standard'!LIFE_CALLED)</f>
        <v>19125582</v>
      </c>
      <c r="T94" s="30">
        <f>SUM('Pacific Standard'!LIFE_REFUNDED)</f>
        <v>1724917.1957</v>
      </c>
      <c r="U94" s="30"/>
      <c r="V94" s="30">
        <f>SUM('Pacific Standard'!ALLOC_CALLED)</f>
        <v>14801323</v>
      </c>
      <c r="W94" s="30">
        <f>SUM('Pacific Standard'!ALLOC_REFUNDED)</f>
        <v>323011.6201</v>
      </c>
      <c r="X94" s="30"/>
      <c r="Y94" s="30">
        <f>SUM('Pacific Standard'!HEALTH_CALLED)</f>
        <v>30659</v>
      </c>
      <c r="Z94" s="30">
        <f>SUM('Pacific Standard'!HEALTH_REFUNDED)</f>
        <v>3117.0942000000005</v>
      </c>
      <c r="AA94" s="30"/>
      <c r="AB94" s="30">
        <f>SUM('Pacific Standard'!UNALLOC_CALLED)</f>
        <v>0</v>
      </c>
      <c r="AC94" s="31">
        <f>SUM('Pacific Standard'!UNALLOC_REFUNDED)</f>
        <v>0</v>
      </c>
    </row>
    <row r="95" spans="2:29">
      <c r="B95" s="8" t="s">
        <v>537</v>
      </c>
      <c r="C95" s="2" t="s">
        <v>538</v>
      </c>
      <c r="D95" s="2" t="s">
        <v>193</v>
      </c>
      <c r="E95" s="2" t="s">
        <v>539</v>
      </c>
      <c r="F95" s="2" t="s">
        <v>540</v>
      </c>
      <c r="G95" s="2" t="s">
        <v>407</v>
      </c>
      <c r="H95" s="30">
        <f>SUM(SeeChange!LIFE)</f>
        <v>0</v>
      </c>
      <c r="I95" s="30">
        <f>SUM(SeeChange!ALLOCATED)</f>
        <v>0</v>
      </c>
      <c r="J95" s="30">
        <f>SUM(SeeChange!HEALTH)</f>
        <v>12380466.671347052</v>
      </c>
      <c r="K95" s="30">
        <f>SUM(SeeChange!UNALLOCATED)</f>
        <v>0</v>
      </c>
      <c r="L95" s="30">
        <f>SUM(SeeChange!LTC)</f>
        <v>0</v>
      </c>
      <c r="M95" s="30">
        <f t="shared" si="6"/>
        <v>12380466.671347052</v>
      </c>
      <c r="N95" s="31"/>
      <c r="O95" s="29">
        <v>12371592.671347054</v>
      </c>
      <c r="P95" s="31">
        <f t="shared" si="7"/>
        <v>8873.9999999981374</v>
      </c>
      <c r="Q95" s="30"/>
      <c r="R95" s="30"/>
      <c r="S95" s="29">
        <f>SUM(SeeChange!LIFE_CALLED)</f>
        <v>0</v>
      </c>
      <c r="T95" s="30">
        <f>SUM(SeeChange!LIFE_REFUNDED)</f>
        <v>0</v>
      </c>
      <c r="U95" s="30"/>
      <c r="V95" s="30">
        <f>SUM(SeeChange!ALLOC_CALLED)</f>
        <v>0</v>
      </c>
      <c r="W95" s="30">
        <f>SUM(SeeChange!ALLOC_REFUNDED)</f>
        <v>0</v>
      </c>
      <c r="X95" s="30"/>
      <c r="Y95" s="30">
        <f>SUM(SeeChange!HEALTH_CALLED)</f>
        <v>14005894</v>
      </c>
      <c r="Z95" s="30">
        <f>SUM(SeeChange!HEALTH_REFUNDED)</f>
        <v>500000</v>
      </c>
      <c r="AA95" s="30"/>
      <c r="AB95" s="30">
        <f>SUM(SeeChange!UNALLOC_CALLED)</f>
        <v>0</v>
      </c>
      <c r="AC95" s="31">
        <f>SUM(SeeChange!UNALLOC_REFUNDED)</f>
        <v>0</v>
      </c>
    </row>
    <row r="96" spans="2:29">
      <c r="B96" s="8" t="s">
        <v>541</v>
      </c>
      <c r="C96" s="2" t="s">
        <v>542</v>
      </c>
      <c r="D96" s="2" t="s">
        <v>202</v>
      </c>
      <c r="E96" s="2" t="s">
        <v>543</v>
      </c>
      <c r="F96" s="2" t="s">
        <v>544</v>
      </c>
      <c r="G96" s="2" t="s">
        <v>545</v>
      </c>
      <c r="H96" s="30">
        <f>SUM('States General'!LIFE)</f>
        <v>2000</v>
      </c>
      <c r="I96" s="30">
        <f>SUM('States General'!ALLOCATED)</f>
        <v>0</v>
      </c>
      <c r="J96" s="30">
        <f>SUM('States General'!HEALTH)</f>
        <v>4936099.3900000006</v>
      </c>
      <c r="K96" s="30">
        <f>SUM('States General'!UNALLOCATED)</f>
        <v>0</v>
      </c>
      <c r="L96" s="30">
        <f>SUM('States General'!LTC)</f>
        <v>0</v>
      </c>
      <c r="M96" s="30">
        <f t="shared" si="6"/>
        <v>4938099.3900000006</v>
      </c>
      <c r="N96" s="31"/>
      <c r="O96" s="29">
        <v>4938099.3900000006</v>
      </c>
      <c r="P96" s="31">
        <f t="shared" si="7"/>
        <v>0</v>
      </c>
      <c r="Q96" s="30"/>
      <c r="R96" s="30"/>
      <c r="S96" s="29">
        <f>SUM('States General'!LIFE_CALLED)</f>
        <v>226286</v>
      </c>
      <c r="T96" s="30">
        <f>SUM('States General'!LIFE_REFUNDED)</f>
        <v>0</v>
      </c>
      <c r="U96" s="30"/>
      <c r="V96" s="30">
        <f>SUM('States General'!ALLOC_CALLED)</f>
        <v>0</v>
      </c>
      <c r="W96" s="30">
        <f>SUM('States General'!ALLOC_REFUNDED)</f>
        <v>0</v>
      </c>
      <c r="X96" s="30"/>
      <c r="Y96" s="30">
        <f>SUM('States General'!HEALTH_CALLED)</f>
        <v>3959304</v>
      </c>
      <c r="Z96" s="30">
        <f>SUM('States General'!HEALTH_REFUNDED)</f>
        <v>0</v>
      </c>
      <c r="AA96" s="30"/>
      <c r="AB96" s="30">
        <f>SUM('States General'!UNALLOC_CALLED)</f>
        <v>0</v>
      </c>
      <c r="AC96" s="31">
        <f>SUM('States General'!UNALLOC_REFUNDED)</f>
        <v>0</v>
      </c>
    </row>
    <row r="97" spans="2:29">
      <c r="B97" s="8" t="s">
        <v>546</v>
      </c>
      <c r="C97" s="2" t="s">
        <v>547</v>
      </c>
      <c r="D97" s="2" t="s">
        <v>202</v>
      </c>
      <c r="E97" s="2" t="s">
        <v>548</v>
      </c>
      <c r="F97" s="2" t="s">
        <v>549</v>
      </c>
      <c r="G97" s="2" t="s">
        <v>550</v>
      </c>
      <c r="H97" s="30">
        <f>SUM(Statesman!LIFE)</f>
        <v>0</v>
      </c>
      <c r="I97" s="30">
        <f>SUM(Statesman!ALLOCATED)</f>
        <v>0</v>
      </c>
      <c r="J97" s="30">
        <f>SUM(Statesman!HEALTH)</f>
        <v>4051414.9099999983</v>
      </c>
      <c r="K97" s="30">
        <f>SUM(Statesman!UNALLOCATED)</f>
        <v>0</v>
      </c>
      <c r="L97" s="30">
        <f>SUM(Statesman!LTC)</f>
        <v>0</v>
      </c>
      <c r="M97" s="30">
        <f t="shared" si="6"/>
        <v>4051414.9099999983</v>
      </c>
      <c r="N97" s="31"/>
      <c r="O97" s="29">
        <v>4051414.9099999983</v>
      </c>
      <c r="P97" s="31">
        <f t="shared" si="7"/>
        <v>0</v>
      </c>
      <c r="Q97" s="30"/>
      <c r="R97" s="30"/>
      <c r="S97" s="29">
        <f>SUM(Statesman!LIFE_CALLED)</f>
        <v>645876</v>
      </c>
      <c r="T97" s="30">
        <f>SUM(Statesman!LIFE_REFUNDED)</f>
        <v>211787</v>
      </c>
      <c r="U97" s="30"/>
      <c r="V97" s="30">
        <f>SUM(Statesman!ALLOC_CALLED)</f>
        <v>0</v>
      </c>
      <c r="W97" s="30">
        <f>SUM(Statesman!ALLOC_REFUNDED)</f>
        <v>0</v>
      </c>
      <c r="X97" s="30"/>
      <c r="Y97" s="30">
        <f>SUM(Statesman!HEALTH_CALLED)</f>
        <v>11548200</v>
      </c>
      <c r="Z97" s="30">
        <f>SUM(Statesman!HEALTH_REFUNDED)</f>
        <v>2534083</v>
      </c>
      <c r="AA97" s="30"/>
      <c r="AB97" s="30">
        <f>SUM(Statesman!UNALLOC_CALLED)</f>
        <v>0</v>
      </c>
      <c r="AC97" s="31">
        <f>SUM(Statesman!UNALLOC_REFUNDED)</f>
        <v>0</v>
      </c>
    </row>
    <row r="98" spans="2:29">
      <c r="B98" s="8" t="s">
        <v>551</v>
      </c>
      <c r="C98" s="2" t="s">
        <v>552</v>
      </c>
      <c r="D98" s="2" t="s">
        <v>188</v>
      </c>
      <c r="E98" s="2" t="s">
        <v>553</v>
      </c>
      <c r="F98" s="2" t="s">
        <v>554</v>
      </c>
      <c r="G98" s="2" t="s">
        <v>555</v>
      </c>
      <c r="H98" s="30">
        <f>SUM('Summit National'!LIFE)</f>
        <v>3768842.6602135198</v>
      </c>
      <c r="I98" s="30">
        <f>SUM('Summit National'!ALLOCATED)</f>
        <v>815376.26978646184</v>
      </c>
      <c r="J98" s="30">
        <f>SUM('Summit National'!HEALTH)</f>
        <v>73031.100000000006</v>
      </c>
      <c r="K98" s="30">
        <f>SUM('Summit National'!UNALLOCATED)</f>
        <v>0</v>
      </c>
      <c r="L98" s="30">
        <f>SUM('Summit National'!LTC)</f>
        <v>0</v>
      </c>
      <c r="M98" s="30">
        <f t="shared" si="6"/>
        <v>4657250.0299999816</v>
      </c>
      <c r="N98" s="31"/>
      <c r="O98" s="29">
        <v>4657250.0299999816</v>
      </c>
      <c r="P98" s="31">
        <f t="shared" si="7"/>
        <v>0</v>
      </c>
      <c r="Q98" s="30"/>
      <c r="R98" s="30"/>
      <c r="S98" s="29">
        <f>SUM('Summit National'!LIFE_CALLED)</f>
        <v>71046715</v>
      </c>
      <c r="T98" s="30">
        <f>SUM('Summit National'!LIFE_REFUNDED)</f>
        <v>40054374.341363996</v>
      </c>
      <c r="U98" s="30"/>
      <c r="V98" s="30">
        <f>SUM('Summit National'!ALLOC_CALLED)</f>
        <v>31672495</v>
      </c>
      <c r="W98" s="30">
        <f>SUM('Summit National'!ALLOC_REFUNDED)</f>
        <v>12506699.048636001</v>
      </c>
      <c r="X98" s="30"/>
      <c r="Y98" s="30">
        <f>SUM('Summit National'!HEALTH_CALLED)</f>
        <v>79818</v>
      </c>
      <c r="Z98" s="30">
        <f>SUM('Summit National'!HEALTH_REFUNDED)</f>
        <v>111672</v>
      </c>
      <c r="AA98" s="30"/>
      <c r="AB98" s="30">
        <f>SUM('Summit National'!UNALLOC_CALLED)</f>
        <v>0</v>
      </c>
      <c r="AC98" s="31">
        <f>SUM('Summit National'!UNALLOC_REFUNDED)</f>
        <v>0</v>
      </c>
    </row>
    <row r="99" spans="2:29">
      <c r="B99" s="8" t="s">
        <v>556</v>
      </c>
      <c r="C99" s="2" t="s">
        <v>557</v>
      </c>
      <c r="D99" s="2" t="s">
        <v>275</v>
      </c>
      <c r="E99" s="2"/>
      <c r="F99" s="2" t="s">
        <v>558</v>
      </c>
      <c r="G99" s="2" t="s">
        <v>559</v>
      </c>
      <c r="H99" s="30">
        <f>SUM(Supreme!LIFE)</f>
        <v>27905.711253215781</v>
      </c>
      <c r="I99" s="30">
        <f>SUM(Supreme!ALLOCATED)</f>
        <v>0</v>
      </c>
      <c r="J99" s="30">
        <f>SUM(Supreme!HEALTH)</f>
        <v>9624.5187467842243</v>
      </c>
      <c r="K99" s="30">
        <f>SUM(Supreme!UNALLOCATED)</f>
        <v>0</v>
      </c>
      <c r="L99" s="30">
        <f>SUM(Supreme!LTC)</f>
        <v>0</v>
      </c>
      <c r="M99" s="30">
        <f t="shared" si="6"/>
        <v>37530.230000000003</v>
      </c>
      <c r="N99" s="31"/>
      <c r="O99" s="29">
        <v>37530.230000000003</v>
      </c>
      <c r="P99" s="31">
        <f t="shared" si="7"/>
        <v>0</v>
      </c>
      <c r="Q99" s="30"/>
      <c r="R99" s="30"/>
      <c r="S99" s="29">
        <f>SUM(Supreme!LIFE_CALLED)</f>
        <v>80000</v>
      </c>
      <c r="T99" s="30">
        <f>SUM(Supreme!LIFE_REFUNDED)</f>
        <v>54000</v>
      </c>
      <c r="U99" s="30"/>
      <c r="V99" s="30">
        <f>SUM(Supreme!ALLOC_CALLED)</f>
        <v>0</v>
      </c>
      <c r="W99" s="30">
        <f>SUM(Supreme!ALLOC_REFUNDED)</f>
        <v>0</v>
      </c>
      <c r="X99" s="30"/>
      <c r="Y99" s="30">
        <f>SUM(Supreme!HEALTH_CALLED)</f>
        <v>20000</v>
      </c>
      <c r="Z99" s="30">
        <f>SUM(Supreme!HEALTH_REFUNDED)</f>
        <v>24000</v>
      </c>
      <c r="AA99" s="30"/>
      <c r="AB99" s="30">
        <f>SUM(Supreme!UNALLOC_CALLED)</f>
        <v>0</v>
      </c>
      <c r="AC99" s="31">
        <f>SUM(Supreme!UNALLOC_REFUNDED)</f>
        <v>0</v>
      </c>
    </row>
    <row r="100" spans="2:29">
      <c r="B100" s="8" t="s">
        <v>560</v>
      </c>
      <c r="C100" s="2" t="s">
        <v>561</v>
      </c>
      <c r="D100" s="2" t="s">
        <v>562</v>
      </c>
      <c r="E100" s="2" t="s">
        <v>563</v>
      </c>
      <c r="F100" s="2" t="s">
        <v>564</v>
      </c>
      <c r="G100" s="2" t="s">
        <v>565</v>
      </c>
      <c r="H100" s="30">
        <f>SUM(Underwriters!LIFE)</f>
        <v>0</v>
      </c>
      <c r="I100" s="30">
        <f>SUM(Underwriters!ALLOCATED)</f>
        <v>0</v>
      </c>
      <c r="J100" s="30">
        <f>SUM(Underwriters!HEALTH)</f>
        <v>8106994</v>
      </c>
      <c r="K100" s="30">
        <f>SUM(Underwriters!UNALLOCATED)</f>
        <v>0</v>
      </c>
      <c r="L100" s="30">
        <f>SUM(Underwriters!LTC)</f>
        <v>0</v>
      </c>
      <c r="M100" s="30">
        <f t="shared" si="6"/>
        <v>8106994</v>
      </c>
      <c r="N100" s="31"/>
      <c r="O100" s="29">
        <v>8106994</v>
      </c>
      <c r="P100" s="31">
        <f t="shared" si="7"/>
        <v>0</v>
      </c>
      <c r="Q100" s="30"/>
      <c r="R100" s="30"/>
      <c r="S100" s="29">
        <f>SUM(Underwriters!LIFE_CALLED)</f>
        <v>136845</v>
      </c>
      <c r="T100" s="30">
        <f>SUM(Underwriters!LIFE_REFUNDED)</f>
        <v>48177.093999999997</v>
      </c>
      <c r="U100" s="30"/>
      <c r="V100" s="30">
        <f>SUM(Underwriters!ALLOC_CALLED)</f>
        <v>514100</v>
      </c>
      <c r="W100" s="30">
        <f>SUM(Underwriters!ALLOC_REFUNDED)</f>
        <v>0</v>
      </c>
      <c r="X100" s="30"/>
      <c r="Y100" s="30">
        <f>SUM(Underwriters!HEALTH_CALLED)</f>
        <v>7083431</v>
      </c>
      <c r="Z100" s="30">
        <f>SUM(Underwriters!HEALTH_REFUNDED)</f>
        <v>1408959.2960000001</v>
      </c>
      <c r="AA100" s="30"/>
      <c r="AB100" s="30">
        <f>SUM(Underwriters!UNALLOC_CALLED)</f>
        <v>0</v>
      </c>
      <c r="AC100" s="31">
        <f>SUM(Underwriters!UNALLOC_REFUNDED)</f>
        <v>0</v>
      </c>
    </row>
    <row r="101" spans="2:29">
      <c r="B101" s="8" t="s">
        <v>566</v>
      </c>
      <c r="C101" s="2" t="s">
        <v>567</v>
      </c>
      <c r="D101" s="2" t="s">
        <v>257</v>
      </c>
      <c r="E101" s="2" t="s">
        <v>568</v>
      </c>
      <c r="F101" s="2" t="s">
        <v>474</v>
      </c>
      <c r="G101" s="2" t="s">
        <v>354</v>
      </c>
      <c r="H101" s="30">
        <f>SUM(Unison!LIFE)</f>
        <v>3344192.9688403099</v>
      </c>
      <c r="I101" s="30">
        <f>SUM(Unison!ALLOCATED)</f>
        <v>10066575.645620819</v>
      </c>
      <c r="J101" s="30">
        <f>SUM(Unison!HEALTH)</f>
        <v>4151.474452420307</v>
      </c>
      <c r="K101" s="30">
        <f>SUM(Unison!UNALLOCATED)</f>
        <v>0</v>
      </c>
      <c r="L101" s="30">
        <f>SUM(Unison!LTC)</f>
        <v>0</v>
      </c>
      <c r="M101" s="30">
        <f t="shared" si="6"/>
        <v>13414920.088913551</v>
      </c>
      <c r="N101" s="31"/>
      <c r="O101" s="29">
        <v>13414920.088913549</v>
      </c>
      <c r="P101" s="31">
        <f t="shared" si="7"/>
        <v>0</v>
      </c>
      <c r="Q101" s="30"/>
      <c r="R101" s="30"/>
      <c r="S101" s="29">
        <f>SUM(Unison!LIFE_CALLED)</f>
        <v>12164294</v>
      </c>
      <c r="T101" s="30">
        <f>SUM(Unison!LIFE_REFUNDED)</f>
        <v>4473210.9462700002</v>
      </c>
      <c r="U101" s="30"/>
      <c r="V101" s="30">
        <f>SUM(Unison!ALLOC_CALLED)</f>
        <v>9814075</v>
      </c>
      <c r="W101" s="30">
        <f>SUM(Unison!ALLOC_REFUNDED)</f>
        <v>1493192.4337299999</v>
      </c>
      <c r="X101" s="30"/>
      <c r="Y101" s="30">
        <f>SUM(Unison!HEALTH_CALLED)</f>
        <v>81022</v>
      </c>
      <c r="Z101" s="30">
        <f>SUM(Unison!HEALTH_REFUNDED)</f>
        <v>100117</v>
      </c>
      <c r="AA101" s="30"/>
      <c r="AB101" s="30">
        <f>SUM(Unison!UNALLOC_CALLED)</f>
        <v>0</v>
      </c>
      <c r="AC101" s="31">
        <f>SUM(Unison!UNALLOC_REFUNDED)</f>
        <v>0</v>
      </c>
    </row>
    <row r="102" spans="2:29">
      <c r="B102" s="8" t="s">
        <v>569</v>
      </c>
      <c r="C102" s="2" t="s">
        <v>570</v>
      </c>
      <c r="D102" s="2" t="s">
        <v>341</v>
      </c>
      <c r="E102" s="2" t="s">
        <v>571</v>
      </c>
      <c r="F102" s="2" t="s">
        <v>572</v>
      </c>
      <c r="G102" s="2" t="s">
        <v>573</v>
      </c>
      <c r="H102" s="30">
        <f>SUM('United Republic'!LIFE)</f>
        <v>13024.421721024919</v>
      </c>
      <c r="I102" s="30">
        <f>SUM('United Republic'!ALLOCATED)</f>
        <v>198.8324883999733</v>
      </c>
      <c r="J102" s="30">
        <f>SUM('United Republic'!HEALTH)</f>
        <v>0</v>
      </c>
      <c r="K102" s="30">
        <f>SUM('United Republic'!UNALLOCATED)</f>
        <v>27443.965790575112</v>
      </c>
      <c r="L102" s="30">
        <f>SUM('United Republic'!LTC)</f>
        <v>0</v>
      </c>
      <c r="M102" s="30">
        <f t="shared" si="6"/>
        <v>40667.22</v>
      </c>
      <c r="N102" s="31"/>
      <c r="O102" s="29">
        <v>40667.22</v>
      </c>
      <c r="P102" s="31">
        <f t="shared" si="7"/>
        <v>0</v>
      </c>
      <c r="Q102" s="30"/>
      <c r="R102" s="30"/>
      <c r="S102" s="29">
        <f>SUM('United Republic'!LIFE_CALLED)</f>
        <v>57000</v>
      </c>
      <c r="T102" s="30">
        <f>SUM('United Republic'!LIFE_REFUNDED)</f>
        <v>0</v>
      </c>
      <c r="U102" s="30"/>
      <c r="V102" s="30">
        <f>SUM('United Republic'!ALLOC_CALLED)</f>
        <v>0</v>
      </c>
      <c r="W102" s="30">
        <f>SUM('United Republic'!ALLOC_REFUNDED)</f>
        <v>0</v>
      </c>
      <c r="X102" s="30"/>
      <c r="Y102" s="30">
        <f>SUM('United Republic'!HEALTH_CALLED)</f>
        <v>0</v>
      </c>
      <c r="Z102" s="30">
        <f>SUM('United Republic'!HEALTH_REFUNDED)</f>
        <v>0</v>
      </c>
      <c r="AA102" s="30"/>
      <c r="AB102" s="30">
        <f>SUM('United Republic'!UNALLOC_CALLED)</f>
        <v>0</v>
      </c>
      <c r="AC102" s="31">
        <f>SUM('United Republic'!UNALLOC_REFUNDED)</f>
        <v>0</v>
      </c>
    </row>
    <row r="103" spans="2:29">
      <c r="B103" s="8" t="s">
        <v>574</v>
      </c>
      <c r="C103" s="2" t="s">
        <v>575</v>
      </c>
      <c r="D103" s="2" t="s">
        <v>312</v>
      </c>
      <c r="E103" s="2" t="s">
        <v>576</v>
      </c>
      <c r="F103" s="2" t="s">
        <v>364</v>
      </c>
      <c r="G103" s="2" t="s">
        <v>365</v>
      </c>
      <c r="H103" s="30">
        <f>SUM('Universal Life'!LIFE)</f>
        <v>3291707.1471393816</v>
      </c>
      <c r="I103" s="30">
        <f>SUM('Universal Life'!ALLOCATED)</f>
        <v>0</v>
      </c>
      <c r="J103" s="30">
        <f>SUM('Universal Life'!HEALTH)</f>
        <v>-13150.443161269061</v>
      </c>
      <c r="K103" s="30">
        <f>SUM('Universal Life'!UNALLOCATED)</f>
        <v>0</v>
      </c>
      <c r="L103" s="30">
        <f>SUM('Universal Life'!LTC)</f>
        <v>0</v>
      </c>
      <c r="M103" s="30">
        <f t="shared" si="6"/>
        <v>3278556.7039781124</v>
      </c>
      <c r="N103" s="31"/>
      <c r="O103" s="29">
        <v>3054569.4599928707</v>
      </c>
      <c r="P103" s="31">
        <f t="shared" si="7"/>
        <v>223987.24398524174</v>
      </c>
      <c r="Q103" s="30"/>
      <c r="R103" s="30"/>
      <c r="S103" s="29">
        <f>SUM('Universal Life'!LIFE_CALLED)</f>
        <v>324994</v>
      </c>
      <c r="T103" s="30">
        <f>SUM('Universal Life'!LIFE_REFUNDED)</f>
        <v>0</v>
      </c>
      <c r="U103" s="30"/>
      <c r="V103" s="30">
        <f>SUM('Universal Life'!ALLOC_CALLED)</f>
        <v>0</v>
      </c>
      <c r="W103" s="30">
        <f>SUM('Universal Life'!ALLOC_REFUNDED)</f>
        <v>0</v>
      </c>
      <c r="X103" s="30"/>
      <c r="Y103" s="30">
        <f>SUM('Universal Life'!HEALTH_CALLED)</f>
        <v>0</v>
      </c>
      <c r="Z103" s="30">
        <f>SUM('Universal Life'!HEALTH_REFUNDED)</f>
        <v>0</v>
      </c>
      <c r="AA103" s="30"/>
      <c r="AB103" s="30">
        <f>SUM('Universal Life'!UNALLOC_CALLED)</f>
        <v>0</v>
      </c>
      <c r="AC103" s="31">
        <f>SUM('Universal Life'!UNALLOC_REFUNDED)</f>
        <v>0</v>
      </c>
    </row>
    <row r="104" spans="2:29">
      <c r="B104" s="8" t="s">
        <v>577</v>
      </c>
      <c r="C104" s="2" t="s">
        <v>578</v>
      </c>
      <c r="D104" s="2" t="s">
        <v>579</v>
      </c>
      <c r="E104" s="2" t="s">
        <v>580</v>
      </c>
      <c r="F104" s="2" t="s">
        <v>581</v>
      </c>
      <c r="G104" s="2" t="s">
        <v>582</v>
      </c>
      <c r="H104" s="30">
        <f>SUM(Universe!LIFE)</f>
        <v>0</v>
      </c>
      <c r="I104" s="30">
        <f>SUM(Universe!ALLOCATED)</f>
        <v>0</v>
      </c>
      <c r="J104" s="30">
        <f>SUM(Universe!HEALTH)</f>
        <v>10397891.84</v>
      </c>
      <c r="K104" s="30">
        <f>SUM(Universe!UNALLOCATED)</f>
        <v>0</v>
      </c>
      <c r="L104" s="30">
        <f>SUM(Universe!LTC)</f>
        <v>0</v>
      </c>
      <c r="M104" s="30">
        <f t="shared" si="6"/>
        <v>10397891.84</v>
      </c>
      <c r="N104" s="31"/>
      <c r="O104" s="29">
        <v>10397891.84</v>
      </c>
      <c r="P104" s="31">
        <f t="shared" si="7"/>
        <v>0</v>
      </c>
      <c r="Q104" s="30"/>
      <c r="R104" s="30"/>
      <c r="S104" s="29">
        <f>SUM(Universe!LIFE_CALLED)</f>
        <v>122316</v>
      </c>
      <c r="T104" s="30">
        <f>SUM(Universe!LIFE_REFUNDED)</f>
        <v>718.197</v>
      </c>
      <c r="U104" s="30"/>
      <c r="V104" s="30">
        <f>SUM(Universe!ALLOC_CALLED)</f>
        <v>5000</v>
      </c>
      <c r="W104" s="30">
        <f>SUM(Universe!ALLOC_REFUNDED)</f>
        <v>0</v>
      </c>
      <c r="X104" s="30"/>
      <c r="Y104" s="30">
        <f>SUM(Universe!HEALTH_CALLED)</f>
        <v>7662381</v>
      </c>
      <c r="Z104" s="30">
        <f>SUM(Universe!HEALTH_REFUNDED)</f>
        <v>851691.65300000005</v>
      </c>
      <c r="AA104" s="30"/>
      <c r="AB104" s="30">
        <f>SUM(Universe!UNALLOC_CALLED)</f>
        <v>0</v>
      </c>
      <c r="AC104" s="31">
        <f>SUM(Universe!UNALLOC_REFUNDED)</f>
        <v>0</v>
      </c>
    </row>
    <row r="105" spans="2:29">
      <c r="B105" s="8" t="s">
        <v>583</v>
      </c>
      <c r="C105" s="2" t="s">
        <v>584</v>
      </c>
      <c r="D105" s="2" t="s">
        <v>188</v>
      </c>
      <c r="E105" s="2" t="s">
        <v>479</v>
      </c>
      <c r="F105" s="2" t="s">
        <v>480</v>
      </c>
      <c r="G105" s="2" t="s">
        <v>481</v>
      </c>
      <c r="H105" s="30">
        <f>SUM(Villanova!LIFE)</f>
        <v>0</v>
      </c>
      <c r="I105" s="30">
        <f>SUM(Villanova!ALLOCATED)</f>
        <v>0</v>
      </c>
      <c r="J105" s="30">
        <f>SUM(Villanova!HEALTH)</f>
        <v>0</v>
      </c>
      <c r="K105" s="30">
        <f>SUM(Villanova!UNALLOCATED)</f>
        <v>0</v>
      </c>
      <c r="L105" s="30">
        <f>SUM(Villanova!LTC)</f>
        <v>0</v>
      </c>
      <c r="M105" s="30">
        <f t="shared" si="6"/>
        <v>0</v>
      </c>
      <c r="N105" s="31"/>
      <c r="O105" s="29">
        <v>0</v>
      </c>
      <c r="P105" s="31">
        <f t="shared" si="7"/>
        <v>0</v>
      </c>
      <c r="Q105" s="30"/>
      <c r="R105" s="30"/>
      <c r="S105" s="29">
        <f>SUM(Villanova!LIFE_CALLED)</f>
        <v>0</v>
      </c>
      <c r="T105" s="30">
        <f>SUM(Villanova!LIFE_REFUNDED)</f>
        <v>170000</v>
      </c>
      <c r="U105" s="30"/>
      <c r="V105" s="30">
        <f>SUM(Villanova!ALLOC_CALLED)</f>
        <v>0</v>
      </c>
      <c r="W105" s="30">
        <f>SUM(Villanova!ALLOC_REFUNDED)</f>
        <v>0</v>
      </c>
      <c r="X105" s="30"/>
      <c r="Y105" s="30">
        <f>SUM(Villanova!HEALTH_CALLED)</f>
        <v>400000</v>
      </c>
      <c r="Z105" s="30">
        <f>SUM(Villanova!HEALTH_REFUNDED)</f>
        <v>0</v>
      </c>
      <c r="AA105" s="30"/>
      <c r="AB105" s="30">
        <f>SUM(Villanova!UNALLOC_CALLED)</f>
        <v>0</v>
      </c>
      <c r="AC105" s="31">
        <f>SUM(Villanova!UNALLOC_REFUNDED)</f>
        <v>0</v>
      </c>
    </row>
    <row r="106" spans="2:29" ht="6.95" customHeight="1" thickBot="1">
      <c r="B106" s="10"/>
      <c r="C106" s="17"/>
      <c r="D106" s="17"/>
      <c r="E106" s="17"/>
      <c r="F106" s="17"/>
      <c r="G106" s="17"/>
      <c r="H106" s="38"/>
      <c r="I106" s="38"/>
      <c r="J106" s="38"/>
      <c r="K106" s="38"/>
      <c r="L106" s="38"/>
      <c r="M106" s="38"/>
      <c r="N106" s="39"/>
      <c r="O106" s="40"/>
      <c r="P106" s="39"/>
      <c r="Q106" s="30"/>
      <c r="R106" s="30"/>
      <c r="S106" s="40"/>
      <c r="T106" s="38"/>
      <c r="U106" s="38"/>
      <c r="V106" s="38"/>
      <c r="W106" s="38"/>
      <c r="X106" s="38"/>
      <c r="Y106" s="38"/>
      <c r="Z106" s="38"/>
      <c r="AA106" s="38"/>
      <c r="AB106" s="38"/>
      <c r="AC106" s="39"/>
    </row>
    <row r="107" spans="2:29" ht="15.75" thickBot="1">
      <c r="B107" s="27" t="s">
        <v>585</v>
      </c>
      <c r="C107" s="28"/>
      <c r="D107" s="28"/>
      <c r="E107" s="28"/>
      <c r="F107" s="28"/>
      <c r="G107" s="28"/>
      <c r="H107" s="41">
        <f>SUM(EC_LIFE)</f>
        <v>290527157.48123705</v>
      </c>
      <c r="I107" s="41">
        <f>SUM(EC_ALLOCATED)</f>
        <v>608898588.9439261</v>
      </c>
      <c r="J107" s="41">
        <f>SUM(EC_HEALTH)</f>
        <v>183413866.54002938</v>
      </c>
      <c r="K107" s="41">
        <f>SUM(EC_UNALLOCATED)</f>
        <v>22452017.039440565</v>
      </c>
      <c r="L107" s="41">
        <f>SUM(EC_LTC)</f>
        <v>0</v>
      </c>
      <c r="M107" s="41">
        <f>SUM(EC_TOTAL)</f>
        <v>1105291630.0046325</v>
      </c>
      <c r="N107" s="42"/>
      <c r="O107" s="43">
        <f>SUM(EC_TOTAL_PREV)</f>
        <v>1107146202.6414986</v>
      </c>
      <c r="P107" s="42">
        <f>SUM(EC_CHANGE)</f>
        <v>-1854572.6368660198</v>
      </c>
      <c r="Q107" s="30"/>
      <c r="R107" s="30"/>
      <c r="S107" s="43">
        <f>SUM(EC_LIFE_CALLED)</f>
        <v>871736133</v>
      </c>
      <c r="T107" s="41">
        <f>SUM(EC_LIFE_REFUNDED)</f>
        <v>320007857.68782747</v>
      </c>
      <c r="U107" s="41"/>
      <c r="V107" s="41">
        <f>SUM(EC_ALLOC_CALLED)</f>
        <v>888306678</v>
      </c>
      <c r="W107" s="41">
        <f>SUM(EC_ALLOC_REFUNDED)</f>
        <v>247257223.96241039</v>
      </c>
      <c r="X107" s="41"/>
      <c r="Y107" s="41">
        <f>SUM(EC_HEALTH_CALLED)</f>
        <v>379361636.5</v>
      </c>
      <c r="Z107" s="41">
        <f>SUM(EC_HEALTH_REFUNDED)</f>
        <v>107274028.93976203</v>
      </c>
      <c r="AA107" s="41"/>
      <c r="AB107" s="41">
        <f>SUM(EC_UNALLOC_CALLED)</f>
        <v>229325938</v>
      </c>
      <c r="AC107" s="42">
        <f>SUM(EC_UNALLOC_REFUNDED)</f>
        <v>98513911.999999985</v>
      </c>
    </row>
    <row r="108" spans="2:29" ht="15.75" thickBot="1">
      <c r="C108" s="2"/>
      <c r="D108" s="2"/>
      <c r="E108" s="2"/>
      <c r="F108" s="2"/>
      <c r="G108" s="2"/>
      <c r="H108" s="30"/>
      <c r="I108" s="30"/>
      <c r="J108" s="30"/>
      <c r="K108" s="30"/>
      <c r="L108" s="30"/>
      <c r="M108" s="30"/>
      <c r="N108" s="30"/>
      <c r="O108" s="30"/>
      <c r="P108" s="30"/>
      <c r="Q108" s="30"/>
      <c r="R108" s="30"/>
      <c r="S108" s="30"/>
      <c r="T108" s="30"/>
      <c r="U108" s="30"/>
      <c r="V108" s="30"/>
      <c r="W108" s="30"/>
      <c r="X108" s="30"/>
      <c r="Y108" s="30"/>
      <c r="Z108" s="30"/>
      <c r="AA108" s="30"/>
      <c r="AB108" s="30"/>
      <c r="AC108" s="30"/>
    </row>
    <row r="109" spans="2:29" ht="30">
      <c r="B109" s="23" t="s">
        <v>586</v>
      </c>
      <c r="C109" s="6"/>
      <c r="D109" s="6"/>
      <c r="E109" s="6"/>
      <c r="F109" s="6"/>
      <c r="G109" s="6"/>
      <c r="H109" s="44"/>
      <c r="I109" s="44"/>
      <c r="J109" s="44"/>
      <c r="K109" s="44"/>
      <c r="L109" s="44"/>
      <c r="M109" s="44"/>
      <c r="N109" s="45"/>
      <c r="O109" s="46"/>
      <c r="P109" s="45"/>
      <c r="Q109" s="30"/>
      <c r="R109" s="30"/>
      <c r="S109" s="46"/>
      <c r="T109" s="44"/>
      <c r="U109" s="44"/>
      <c r="V109" s="44"/>
      <c r="W109" s="44"/>
      <c r="X109" s="44"/>
      <c r="Y109" s="44"/>
      <c r="Z109" s="44"/>
      <c r="AA109" s="44"/>
      <c r="AB109" s="44"/>
      <c r="AC109" s="45"/>
    </row>
    <row r="110" spans="2:29" ht="6.95" customHeight="1">
      <c r="B110" s="8"/>
      <c r="C110" s="2"/>
      <c r="D110" s="2"/>
      <c r="E110" s="2"/>
      <c r="F110" s="2"/>
      <c r="G110" s="2"/>
      <c r="H110" s="30"/>
      <c r="I110" s="30"/>
      <c r="J110" s="30"/>
      <c r="K110" s="30"/>
      <c r="L110" s="30"/>
      <c r="M110" s="30"/>
      <c r="N110" s="31"/>
      <c r="O110" s="29"/>
      <c r="P110" s="31"/>
      <c r="Q110" s="30"/>
      <c r="R110" s="30"/>
      <c r="S110" s="29"/>
      <c r="T110" s="30"/>
      <c r="U110" s="30"/>
      <c r="V110" s="30"/>
      <c r="W110" s="30"/>
      <c r="X110" s="30"/>
      <c r="Y110" s="30"/>
      <c r="Z110" s="30"/>
      <c r="AA110" s="30"/>
      <c r="AB110" s="30"/>
      <c r="AC110" s="31"/>
    </row>
    <row r="111" spans="2:29">
      <c r="B111" s="47" t="s">
        <v>587</v>
      </c>
      <c r="C111" s="14" t="s">
        <v>588</v>
      </c>
      <c r="D111" s="14" t="s">
        <v>239</v>
      </c>
      <c r="E111" s="14" t="s">
        <v>589</v>
      </c>
      <c r="F111" s="14"/>
      <c r="G111" s="14"/>
      <c r="H111" s="48">
        <f>SUM('American Community'!LIFE)</f>
        <v>3248.7721903966681</v>
      </c>
      <c r="I111" s="48">
        <f>SUM('American Community'!ALLOCATED)</f>
        <v>0</v>
      </c>
      <c r="J111" s="48">
        <f>SUM('American Community'!HEALTH)</f>
        <v>269964.59780960332</v>
      </c>
      <c r="K111" s="48">
        <f>SUM('American Community'!UNALLOCATED)</f>
        <v>0</v>
      </c>
      <c r="L111" s="48">
        <f>SUM('American Community'!LTC)</f>
        <v>0</v>
      </c>
      <c r="M111" s="48">
        <f t="shared" ref="M111:M117" si="8">SUM(H111:L111)</f>
        <v>273213.37</v>
      </c>
      <c r="N111" s="49"/>
      <c r="O111" s="50">
        <v>273213.37</v>
      </c>
      <c r="P111" s="49">
        <f t="shared" ref="P111:P117" si="9">+M111-O111</f>
        <v>0</v>
      </c>
      <c r="Q111" s="48"/>
      <c r="R111" s="48"/>
      <c r="S111" s="50">
        <f>SUM('American Community'!LIFE_CALLED)</f>
        <v>0</v>
      </c>
      <c r="T111" s="48">
        <f>SUM('American Community'!LIFE_REFUNDED)</f>
        <v>0</v>
      </c>
      <c r="U111" s="48"/>
      <c r="V111" s="48">
        <f>SUM('American Community'!ALLOC_CALLED)</f>
        <v>0</v>
      </c>
      <c r="W111" s="48">
        <f>SUM('American Community'!ALLOC_REFUNDED)</f>
        <v>0</v>
      </c>
      <c r="X111" s="48"/>
      <c r="Y111" s="48">
        <f>SUM('American Community'!HEALTH_CALLED)</f>
        <v>0</v>
      </c>
      <c r="Z111" s="48">
        <f>SUM('American Community'!HEALTH_REFUNDED)</f>
        <v>0</v>
      </c>
      <c r="AA111" s="48"/>
      <c r="AB111" s="48">
        <f>SUM('American Community'!UNALLOC_CALLED)</f>
        <v>0</v>
      </c>
      <c r="AC111" s="49">
        <f>SUM('American Community'!UNALLOC_REFUNDED)</f>
        <v>0</v>
      </c>
    </row>
    <row r="112" spans="2:29">
      <c r="B112" s="47" t="s">
        <v>590</v>
      </c>
      <c r="C112" s="14" t="s">
        <v>591</v>
      </c>
      <c r="D112" s="14" t="s">
        <v>374</v>
      </c>
      <c r="E112" s="14" t="s">
        <v>592</v>
      </c>
      <c r="F112" s="143" t="s">
        <v>593</v>
      </c>
      <c r="G112" s="143"/>
      <c r="H112" s="48">
        <f>SUM('Confed Life &amp; Annty (CLIAC)'!LIFE)</f>
        <v>0</v>
      </c>
      <c r="I112" s="48">
        <f>SUM('Confed Life &amp; Annty (CLIAC)'!ALLOCATED)</f>
        <v>0</v>
      </c>
      <c r="J112" s="48">
        <f>SUM('Confed Life &amp; Annty (CLIAC)'!HEALTH)</f>
        <v>0</v>
      </c>
      <c r="K112" s="48">
        <f>SUM('Confed Life &amp; Annty (CLIAC)'!UNALLOCATED)</f>
        <v>0</v>
      </c>
      <c r="L112" s="48">
        <f>SUM('Confed Life &amp; Annty (CLIAC)'!LTC)</f>
        <v>0</v>
      </c>
      <c r="M112" s="48">
        <f t="shared" si="8"/>
        <v>0</v>
      </c>
      <c r="N112" s="49"/>
      <c r="O112" s="50">
        <v>0</v>
      </c>
      <c r="P112" s="49">
        <f t="shared" si="9"/>
        <v>0</v>
      </c>
      <c r="Q112" s="48"/>
      <c r="R112" s="48"/>
      <c r="S112" s="50">
        <f>SUM('Confed Life &amp; Annty (CLIAC)'!LIFE_CALLED)</f>
        <v>0</v>
      </c>
      <c r="T112" s="48">
        <f>SUM('Confed Life &amp; Annty (CLIAC)'!LIFE_REFUNDED)</f>
        <v>0</v>
      </c>
      <c r="U112" s="48"/>
      <c r="V112" s="48">
        <f>SUM('Confed Life &amp; Annty (CLIAC)'!ALLOC_CALLED)</f>
        <v>0</v>
      </c>
      <c r="W112" s="48">
        <f>SUM('Confed Life &amp; Annty (CLIAC)'!ALLOC_REFUNDED)</f>
        <v>0</v>
      </c>
      <c r="X112" s="48"/>
      <c r="Y112" s="48">
        <f>SUM('Confed Life &amp; Annty (CLIAC)'!HEALTH_CALLED)</f>
        <v>0</v>
      </c>
      <c r="Z112" s="48">
        <f>SUM('Confed Life &amp; Annty (CLIAC)'!HEALTH_REFUNDED)</f>
        <v>0</v>
      </c>
      <c r="AA112" s="48"/>
      <c r="AB112" s="48">
        <f>SUM('Confed Life &amp; Annty (CLIAC)'!UNALLOC_CALLED)</f>
        <v>0</v>
      </c>
      <c r="AC112" s="49">
        <f>SUM('Confed Life &amp; Annty (CLIAC)'!UNALLOC_REFUNDED)</f>
        <v>0</v>
      </c>
    </row>
    <row r="113" spans="2:29">
      <c r="B113" s="47" t="s">
        <v>594</v>
      </c>
      <c r="C113" s="14" t="s">
        <v>595</v>
      </c>
      <c r="D113" s="14" t="s">
        <v>188</v>
      </c>
      <c r="E113" s="14" t="s">
        <v>596</v>
      </c>
      <c r="F113" s="143" t="s">
        <v>597</v>
      </c>
      <c r="G113" s="143"/>
      <c r="H113" s="48">
        <f>SUM('Fidelity Mutual'!LIFE)</f>
        <v>1134134.3122653055</v>
      </c>
      <c r="I113" s="48">
        <f>SUM('Fidelity Mutual'!ALLOCATED)</f>
        <v>114162.15182068512</v>
      </c>
      <c r="J113" s="48">
        <f>SUM('Fidelity Mutual'!HEALTH)</f>
        <v>0</v>
      </c>
      <c r="K113" s="48">
        <f>SUM('Fidelity Mutual'!UNALLOCATED)</f>
        <v>28074.675914009502</v>
      </c>
      <c r="L113" s="48">
        <f>SUM('Fidelity Mutual'!LTC)</f>
        <v>0</v>
      </c>
      <c r="M113" s="48">
        <f t="shared" si="8"/>
        <v>1276371.1400000001</v>
      </c>
      <c r="N113" s="49"/>
      <c r="O113" s="50">
        <v>1276371.1400000013</v>
      </c>
      <c r="P113" s="49">
        <f t="shared" si="9"/>
        <v>0</v>
      </c>
      <c r="Q113" s="48"/>
      <c r="R113" s="48"/>
      <c r="S113" s="50">
        <f>SUM('Fidelity Mutual'!LIFE_CALLED)</f>
        <v>41049</v>
      </c>
      <c r="T113" s="48">
        <f>SUM('Fidelity Mutual'!LIFE_REFUNDED)</f>
        <v>0</v>
      </c>
      <c r="U113" s="48"/>
      <c r="V113" s="48">
        <f>SUM('Fidelity Mutual'!ALLOC_CALLED)</f>
        <v>3876</v>
      </c>
      <c r="W113" s="48">
        <f>SUM('Fidelity Mutual'!ALLOC_REFUNDED)</f>
        <v>0</v>
      </c>
      <c r="X113" s="48"/>
      <c r="Y113" s="48">
        <f>SUM('Fidelity Mutual'!HEALTH_CALLED)</f>
        <v>0</v>
      </c>
      <c r="Z113" s="48">
        <f>SUM('Fidelity Mutual'!HEALTH_REFUNDED)</f>
        <v>0</v>
      </c>
      <c r="AA113" s="48"/>
      <c r="AB113" s="48">
        <f>SUM('Fidelity Mutual'!UNALLOC_CALLED)</f>
        <v>0</v>
      </c>
      <c r="AC113" s="49">
        <f>SUM('Fidelity Mutual'!UNALLOC_REFUNDED)</f>
        <v>0</v>
      </c>
    </row>
    <row r="114" spans="2:29">
      <c r="B114" s="47" t="s">
        <v>598</v>
      </c>
      <c r="C114" s="14" t="s">
        <v>599</v>
      </c>
      <c r="D114" s="14" t="s">
        <v>193</v>
      </c>
      <c r="E114" s="14" t="s">
        <v>600</v>
      </c>
      <c r="F114" s="14"/>
      <c r="G114" s="14" t="s">
        <v>601</v>
      </c>
      <c r="H114" s="48">
        <f>SUM('First Capital'!LIFE)</f>
        <v>43288.647479271953</v>
      </c>
      <c r="I114" s="48">
        <f>SUM('First Capital'!ALLOCATED)</f>
        <v>4041.0925207280943</v>
      </c>
      <c r="J114" s="48">
        <f>SUM('First Capital'!HEALTH)</f>
        <v>0</v>
      </c>
      <c r="K114" s="48">
        <f>SUM('First Capital'!UNALLOCATED)</f>
        <v>0</v>
      </c>
      <c r="L114" s="48">
        <f>SUM('First Capital'!LTC)</f>
        <v>0</v>
      </c>
      <c r="M114" s="48">
        <f t="shared" si="8"/>
        <v>47329.740000000049</v>
      </c>
      <c r="N114" s="49"/>
      <c r="O114" s="50">
        <v>47329.740000000042</v>
      </c>
      <c r="P114" s="49">
        <f t="shared" si="9"/>
        <v>0</v>
      </c>
      <c r="Q114" s="48"/>
      <c r="R114" s="48"/>
      <c r="S114" s="50">
        <f>SUM('First Capital'!LIFE_CALLED)</f>
        <v>611924</v>
      </c>
      <c r="T114" s="48">
        <f>SUM('First Capital'!LIFE_REFUNDED)</f>
        <v>17671</v>
      </c>
      <c r="U114" s="48"/>
      <c r="V114" s="48">
        <f>SUM('First Capital'!ALLOC_CALLED)</f>
        <v>712595</v>
      </c>
      <c r="W114" s="48">
        <f>SUM('First Capital'!ALLOC_REFUNDED)</f>
        <v>2463</v>
      </c>
      <c r="X114" s="48"/>
      <c r="Y114" s="48">
        <f>SUM('First Capital'!HEALTH_CALLED)</f>
        <v>10</v>
      </c>
      <c r="Z114" s="48">
        <f>SUM('First Capital'!HEALTH_REFUNDED)</f>
        <v>0</v>
      </c>
      <c r="AA114" s="48"/>
      <c r="AB114" s="48">
        <f>SUM('First Capital'!UNALLOC_CALLED)</f>
        <v>0</v>
      </c>
      <c r="AC114" s="49">
        <f>SUM('First Capital'!UNALLOC_REFUNDED)</f>
        <v>0</v>
      </c>
    </row>
    <row r="115" spans="2:29">
      <c r="B115" s="47" t="s">
        <v>602</v>
      </c>
      <c r="C115" s="14" t="s">
        <v>603</v>
      </c>
      <c r="D115" s="14" t="s">
        <v>257</v>
      </c>
      <c r="E115" s="14" t="s">
        <v>604</v>
      </c>
      <c r="F115" s="143" t="s">
        <v>597</v>
      </c>
      <c r="G115" s="143"/>
      <c r="H115" s="48">
        <f>SUM(Midcontinent!LIFE)</f>
        <v>366333.17945871997</v>
      </c>
      <c r="I115" s="48">
        <f>SUM(Midcontinent!ALLOCATED)</f>
        <v>1431.9459078688583</v>
      </c>
      <c r="J115" s="48">
        <f>SUM(Midcontinent!HEALTH)</f>
        <v>405.66463341108988</v>
      </c>
      <c r="K115" s="48">
        <f>SUM(Midcontinent!UNALLOCATED)</f>
        <v>0</v>
      </c>
      <c r="L115" s="48">
        <f>SUM(Midcontinent!LTC)</f>
        <v>0</v>
      </c>
      <c r="M115" s="48">
        <f t="shared" si="8"/>
        <v>368170.78999999992</v>
      </c>
      <c r="N115" s="49"/>
      <c r="O115" s="50">
        <v>368170.78999999992</v>
      </c>
      <c r="P115" s="49">
        <f t="shared" si="9"/>
        <v>0</v>
      </c>
      <c r="Q115" s="48"/>
      <c r="R115" s="48"/>
      <c r="S115" s="50">
        <f>SUM(Midcontinent!LIFE_CALLED)</f>
        <v>9571</v>
      </c>
      <c r="T115" s="48">
        <f>SUM(Midcontinent!LIFE_REFUNDED)</f>
        <v>0</v>
      </c>
      <c r="U115" s="48"/>
      <c r="V115" s="48">
        <f>SUM(Midcontinent!ALLOC_CALLED)</f>
        <v>0</v>
      </c>
      <c r="W115" s="48">
        <f>SUM(Midcontinent!ALLOC_REFUNDED)</f>
        <v>0</v>
      </c>
      <c r="X115" s="48"/>
      <c r="Y115" s="48">
        <f>SUM(Midcontinent!HEALTH_CALLED)</f>
        <v>0</v>
      </c>
      <c r="Z115" s="48">
        <f>SUM(Midcontinent!HEALTH_REFUNDED)</f>
        <v>0</v>
      </c>
      <c r="AA115" s="48"/>
      <c r="AB115" s="48">
        <f>SUM(Midcontinent!UNALLOC_CALLED)</f>
        <v>0</v>
      </c>
      <c r="AC115" s="49">
        <f>SUM(Midcontinent!UNALLOC_REFUNDED)</f>
        <v>0</v>
      </c>
    </row>
    <row r="116" spans="2:29">
      <c r="B116" s="47" t="s">
        <v>605</v>
      </c>
      <c r="C116" s="14" t="s">
        <v>606</v>
      </c>
      <c r="D116" s="14" t="s">
        <v>410</v>
      </c>
      <c r="E116" s="14" t="s">
        <v>607</v>
      </c>
      <c r="F116" s="143" t="s">
        <v>597</v>
      </c>
      <c r="G116" s="143"/>
      <c r="H116" s="48">
        <f>SUM(Settlers!LIFE)</f>
        <v>101244.24722669797</v>
      </c>
      <c r="I116" s="48">
        <f>SUM(Settlers!ALLOCATED)</f>
        <v>0</v>
      </c>
      <c r="J116" s="48">
        <f>SUM(Settlers!HEALTH)</f>
        <v>26320.752773302029</v>
      </c>
      <c r="K116" s="48">
        <f>SUM(Settlers!UNALLOCATED)</f>
        <v>0</v>
      </c>
      <c r="L116" s="48">
        <f>SUM(Settlers!LTC)</f>
        <v>0</v>
      </c>
      <c r="M116" s="48">
        <f t="shared" si="8"/>
        <v>127565</v>
      </c>
      <c r="N116" s="49"/>
      <c r="O116" s="50">
        <v>127564.99999999999</v>
      </c>
      <c r="P116" s="49">
        <f t="shared" si="9"/>
        <v>0</v>
      </c>
      <c r="Q116" s="48"/>
      <c r="R116" s="48"/>
      <c r="S116" s="50">
        <f>SUM(Settlers!LIFE_CALLED)</f>
        <v>97500</v>
      </c>
      <c r="T116" s="48">
        <f>SUM(Settlers!LIFE_REFUNDED)</f>
        <v>0</v>
      </c>
      <c r="U116" s="48"/>
      <c r="V116" s="48">
        <f>SUM(Settlers!ALLOC_CALLED)</f>
        <v>0</v>
      </c>
      <c r="W116" s="48">
        <f>SUM(Settlers!ALLOC_REFUNDED)</f>
        <v>0</v>
      </c>
      <c r="X116" s="48"/>
      <c r="Y116" s="48">
        <f>SUM(Settlers!HEALTH_CALLED)</f>
        <v>15000</v>
      </c>
      <c r="Z116" s="48">
        <f>SUM(Settlers!HEALTH_REFUNDED)</f>
        <v>0</v>
      </c>
      <c r="AA116" s="48"/>
      <c r="AB116" s="48">
        <f>SUM(Settlers!UNALLOC_CALLED)</f>
        <v>0</v>
      </c>
      <c r="AC116" s="49">
        <f>SUM(Settlers!UNALLOC_REFUNDED)</f>
        <v>0</v>
      </c>
    </row>
    <row r="117" spans="2:29">
      <c r="B117" s="47" t="s">
        <v>608</v>
      </c>
      <c r="C117" s="14" t="s">
        <v>609</v>
      </c>
      <c r="D117" s="14" t="s">
        <v>410</v>
      </c>
      <c r="E117" s="14" t="s">
        <v>610</v>
      </c>
      <c r="F117" s="14"/>
      <c r="G117" s="14"/>
      <c r="H117" s="48">
        <f>SUM(Shenandoah!LIFE)</f>
        <v>228565.34642946458</v>
      </c>
      <c r="I117" s="48">
        <f>SUM(Shenandoah!ALLOCATED)</f>
        <v>186292.59836527158</v>
      </c>
      <c r="J117" s="48">
        <f>SUM(Shenandoah!HEALTH)</f>
        <v>151601.61520526381</v>
      </c>
      <c r="K117" s="48">
        <f>SUM(Shenandoah!UNALLOCATED)</f>
        <v>0</v>
      </c>
      <c r="L117" s="48">
        <f>SUM(Shenandoah!LTC)</f>
        <v>0</v>
      </c>
      <c r="M117" s="48">
        <f t="shared" si="8"/>
        <v>566459.55999999994</v>
      </c>
      <c r="N117" s="49"/>
      <c r="O117" s="50">
        <v>566459.56000000006</v>
      </c>
      <c r="P117" s="49">
        <f t="shared" si="9"/>
        <v>0</v>
      </c>
      <c r="Q117" s="48"/>
      <c r="R117" s="48"/>
      <c r="S117" s="50">
        <f>SUM(Shenandoah!LIFE_CALLED)</f>
        <v>63000</v>
      </c>
      <c r="T117" s="48">
        <f>SUM(Shenandoah!LIFE_REFUNDED)</f>
        <v>0</v>
      </c>
      <c r="U117" s="48"/>
      <c r="V117" s="48">
        <f>SUM(Shenandoah!ALLOC_CALLED)</f>
        <v>40500</v>
      </c>
      <c r="W117" s="48">
        <f>SUM(Shenandoah!ALLOC_REFUNDED)</f>
        <v>0</v>
      </c>
      <c r="X117" s="48"/>
      <c r="Y117" s="48">
        <f>SUM(Shenandoah!HEALTH_CALLED)</f>
        <v>46500</v>
      </c>
      <c r="Z117" s="48">
        <f>SUM(Shenandoah!HEALTH_REFUNDED)</f>
        <v>0</v>
      </c>
      <c r="AA117" s="48"/>
      <c r="AB117" s="48">
        <f>SUM(Shenandoah!UNALLOC_CALLED)</f>
        <v>0</v>
      </c>
      <c r="AC117" s="49">
        <f>SUM(Shenandoah!UNALLOC_REFUNDED)</f>
        <v>0</v>
      </c>
    </row>
    <row r="118" spans="2:29" ht="6.95" customHeight="1" thickBot="1">
      <c r="B118" s="10"/>
      <c r="C118" s="17"/>
      <c r="D118" s="17"/>
      <c r="E118" s="17"/>
      <c r="F118" s="17"/>
      <c r="G118" s="17"/>
      <c r="H118" s="38"/>
      <c r="I118" s="38"/>
      <c r="J118" s="38"/>
      <c r="K118" s="38"/>
      <c r="L118" s="38"/>
      <c r="M118" s="38"/>
      <c r="N118" s="39"/>
      <c r="O118" s="40"/>
      <c r="P118" s="39"/>
      <c r="Q118" s="30"/>
      <c r="R118" s="30"/>
      <c r="S118" s="40"/>
      <c r="T118" s="38"/>
      <c r="U118" s="38"/>
      <c r="V118" s="38"/>
      <c r="W118" s="38"/>
      <c r="X118" s="38"/>
      <c r="Y118" s="38"/>
      <c r="Z118" s="38"/>
      <c r="AA118" s="38"/>
      <c r="AB118" s="38"/>
      <c r="AC118" s="39"/>
    </row>
    <row r="119" spans="2:29" ht="15.75" thickBot="1">
      <c r="B119" s="27" t="s">
        <v>611</v>
      </c>
      <c r="C119" s="28"/>
      <c r="D119" s="28"/>
      <c r="E119" s="28"/>
      <c r="F119" s="28"/>
      <c r="G119" s="28"/>
      <c r="H119" s="41">
        <f>SUM(RE_LIFE)</f>
        <v>1876814.5050498566</v>
      </c>
      <c r="I119" s="41">
        <f>SUM(RE_ALLOCATED)</f>
        <v>305927.78861455363</v>
      </c>
      <c r="J119" s="41">
        <f>SUM(RE_HEALTH)</f>
        <v>448292.63042158028</v>
      </c>
      <c r="K119" s="41">
        <f>SUM(RE_UNALLOCATED)</f>
        <v>28074.675914009502</v>
      </c>
      <c r="L119" s="41">
        <f>SUM(RE_LTC)</f>
        <v>0</v>
      </c>
      <c r="M119" s="41">
        <f>SUM(RE_TOTAL)</f>
        <v>2659109.6</v>
      </c>
      <c r="N119" s="42"/>
      <c r="O119" s="43">
        <f>SUM(RE_TOTAL_PREV)</f>
        <v>2659109.600000001</v>
      </c>
      <c r="P119" s="42">
        <f>SUM(RE_CHANGE)</f>
        <v>0</v>
      </c>
      <c r="Q119" s="30"/>
      <c r="R119" s="30"/>
      <c r="S119" s="43">
        <f>SUM(RE_LIFE_CALLED)</f>
        <v>823044</v>
      </c>
      <c r="T119" s="41">
        <f>SUM(RE_LIFE_REFUNDED)</f>
        <v>17671</v>
      </c>
      <c r="U119" s="41"/>
      <c r="V119" s="41">
        <f>SUM(RE_ALLOC_CALLED)</f>
        <v>756971</v>
      </c>
      <c r="W119" s="41">
        <f>SUM(RE_ALLOC_REFUNDED)</f>
        <v>2463</v>
      </c>
      <c r="X119" s="41"/>
      <c r="Y119" s="41">
        <f>SUM(RE_HEALTH_CALLED)</f>
        <v>61510</v>
      </c>
      <c r="Z119" s="41">
        <f>SUM(RE_HEALTH_REFUNDED)</f>
        <v>0</v>
      </c>
      <c r="AA119" s="41"/>
      <c r="AB119" s="41">
        <f>SUM(RE_UNALLOC_CALLED)</f>
        <v>0</v>
      </c>
      <c r="AC119" s="42">
        <f>SUM(RE_UNALLOC_REFUNDED)</f>
        <v>0</v>
      </c>
    </row>
    <row r="120" spans="2:29" ht="15.75" thickBot="1">
      <c r="H120" s="30"/>
      <c r="I120" s="30"/>
      <c r="J120" s="30"/>
      <c r="K120" s="30"/>
      <c r="L120" s="30"/>
      <c r="M120" s="30"/>
      <c r="N120" s="30"/>
      <c r="O120" s="30"/>
      <c r="P120" s="30"/>
      <c r="Q120" s="30"/>
      <c r="R120" s="30"/>
      <c r="S120" s="30"/>
      <c r="T120" s="30"/>
      <c r="U120" s="30"/>
      <c r="V120" s="30"/>
      <c r="W120" s="30"/>
      <c r="X120" s="30"/>
      <c r="Y120" s="30"/>
      <c r="Z120" s="30"/>
      <c r="AA120" s="30"/>
      <c r="AB120" s="30"/>
      <c r="AC120" s="30"/>
    </row>
    <row r="121" spans="2:29" ht="15.75" thickBot="1">
      <c r="B121" s="27" t="s">
        <v>612</v>
      </c>
      <c r="C121" s="26"/>
      <c r="D121" s="26"/>
      <c r="E121" s="26"/>
      <c r="F121" s="26"/>
      <c r="G121" s="26"/>
      <c r="H121" s="41">
        <f>SUM(PL_LIFE)+SUM(OP_LIFE)+SUM(CL_LIFE)+SUM(EC_LIFE)+SUM(RE_LIFE)</f>
        <v>1766017105.7755387</v>
      </c>
      <c r="I121" s="41">
        <f>SUM(PL_ALLOCATED)+SUM(OP_ALLOCATED)+SUM(CL_ALLOCATED)+SUM(EC_ALLOCATED)+SUM(RE_ALLOCATED)</f>
        <v>3243901018.3238769</v>
      </c>
      <c r="J121" s="41">
        <f>SUM(PL_HEALTH)+SUM(OP_HEALTH)+SUM(CL_HEALTH)+SUM(EC_HEALTH)+SUM(RE_HEALTH)</f>
        <v>3340043731.7368588</v>
      </c>
      <c r="K121" s="41">
        <f>SUM(PL_UNALLOCATED)+SUM(OP_UNALLOCATED)+SUM(CL_UNALLOCATED)+SUM(EC_UNALLOCATED)+SUM(RE_UNALLOCATED)</f>
        <v>54352163.42838525</v>
      </c>
      <c r="L121" s="41">
        <f>SUM(PL_LTC)+SUM(OP_LTC)+SUM(CL_LTC)+SUM(EC_LTC)+SUM(RE_LTC)</f>
        <v>18056536.368295141</v>
      </c>
      <c r="M121" s="41">
        <f>SUM(PL_TOTAL)+SUM(OP_TOTAL)+SUM(CL_TOTAL)+SUM(EC_TOTAL)+SUM(RE_TOTAL)</f>
        <v>8422370555.6329556</v>
      </c>
      <c r="N121" s="42"/>
      <c r="O121" s="43">
        <f>SUM(PL_TOTAL_PREV)+SUM(OP_TOTAL_PREV)+SUM(CL_TOTAL_PREV)+SUM(EC_TOTAL_PREV)+SUM(RE_TOTAL_PREV)</f>
        <v>8530695021.1787577</v>
      </c>
      <c r="P121" s="42">
        <f>SUM(PL_CHANGE)+SUM(OP_CHANGE)+SUM(CL_CHANGE)+SUM(EC_CHANGE)+SUM(RE_CHANGE)</f>
        <v>-108324465.54580379</v>
      </c>
      <c r="Q121" s="30"/>
      <c r="R121" s="30"/>
      <c r="S121" s="43">
        <f>SUM(PL_LIFE_CALLED)+SUM(OP_LIFE_CALLED)+SUM(CL_LIFE_CALLED)+SUM(EC_LIFE_CALLED)+SUM(RE_LIFE_CALLED)</f>
        <v>2978496204</v>
      </c>
      <c r="T121" s="41">
        <f>SUM(PL_LIFE_REFUNDED)+SUM(OP_LIFE_REFUNDED)+SUM(CL_LIFE_REFUNDED)+SUM(EC_LIFE_REFUNDED)+SUM(RE_LIFE_REFUNDED)</f>
        <v>332098058.17595947</v>
      </c>
      <c r="U121" s="41"/>
      <c r="V121" s="41">
        <f>SUM(PL_ALLOC_CALLED)+SUM(OP_ALLOC_CALLED)+SUM(CL_ALLOC_CALLED)+SUM(EC_ALLOC_CALLED)+SUM(RE_ALLOC_CALLED)</f>
        <v>2893789902</v>
      </c>
      <c r="W121" s="41">
        <f>SUM(PL_ALLOC_REFUNDED)+SUM(OP_ALLOC_REFUNDED)+SUM(CL_ALLOC_REFUNDED)+SUM(EC_ALLOC_REFUNDED)+SUM(RE_ALLOC_REFUNDED)</f>
        <v>336323793.18427837</v>
      </c>
      <c r="X121" s="41"/>
      <c r="Y121" s="41">
        <f>SUM(PL_HEALTH_CALLED)+SUM(OP_HEALTH_CALLED)+SUM(CL_HEALTH_CALLED)+SUM(EC_HEALTH_CALLED)+SUM(RE_HEALTH_CALLED)</f>
        <v>3099081987.5</v>
      </c>
      <c r="Z121" s="41">
        <f>SUM(PL_HEALTH_REFUNDED)+SUM(OP_HEALTH_REFUNDED)+SUM(CL_HEALTH_REFUNDED)+SUM(EC_HEALTH_REFUNDED)+SUM(RE_HEALTH_REFUNDED)</f>
        <v>174536719.93976203</v>
      </c>
      <c r="AA121" s="41"/>
      <c r="AB121" s="41">
        <f>SUM(PL_UNALLOC_CALLED)+SUM(OP_UNALLOC_CALLED)+SUM(CL_UNALLOC_CALLED)+SUM(EC_UNALLOC_CALLED)+SUM(RE_UNALLOC_CALLED)</f>
        <v>278013015</v>
      </c>
      <c r="AC121" s="42">
        <f>SUM(PL_UNALLOC_REFUNDED)+SUM(OP_UNALLOC_REFUNDED)+SUM(CL_UNALLOC_REFUNDED)+SUM(EC_UNALLOC_REFUNDED)+SUM(RE_UNALLOC_REFUNDED)</f>
        <v>121683438.81999999</v>
      </c>
    </row>
  </sheetData>
  <mergeCells count="10">
    <mergeCell ref="F112:G112"/>
    <mergeCell ref="F113:G113"/>
    <mergeCell ref="F115:G115"/>
    <mergeCell ref="F116:G116"/>
    <mergeCell ref="B2:P2"/>
    <mergeCell ref="S2:AC2"/>
    <mergeCell ref="S3:T3"/>
    <mergeCell ref="V3:W3"/>
    <mergeCell ref="Y3:Z3"/>
    <mergeCell ref="AB3:AC3"/>
  </mergeCells>
  <pageMargins left="0.15" right="0.15" top="0.5" bottom="0.5" header="0.3" footer="0.3"/>
  <pageSetup paperSize="3" scale="60"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rowBreaks count="1" manualBreakCount="1">
    <brk id="47" max="16383" man="1"/>
  </rowBreaks>
  <colBreaks count="1" manualBreakCount="1">
    <brk id="1" max="1048575" man="1"/>
  </colBreak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pageSetUpPr fitToPage="1"/>
  </sheetPr>
  <dimension ref="A1:J61"/>
  <sheetViews>
    <sheetView zoomScale="75" workbookViewId="0">
      <selection activeCell="G27" sqref="G27"/>
    </sheetView>
  </sheetViews>
  <sheetFormatPr defaultRowHeight="15"/>
  <cols>
    <col min="1" max="1" width="20" style="1" customWidth="1"/>
    <col min="2" max="7" width="15" style="1" customWidth="1"/>
    <col min="8" max="8" width="9.140625" style="1" customWidth="1"/>
    <col min="9" max="9" width="40" style="1" customWidth="1"/>
    <col min="10" max="10" width="15" style="1" customWidth="1"/>
    <col min="11" max="11" width="9.140625" style="1" customWidth="1"/>
    <col min="12" max="16384" width="9.140625" style="1"/>
  </cols>
  <sheetData>
    <row r="1" spans="1:10">
      <c r="A1" s="144" t="s">
        <v>613</v>
      </c>
      <c r="B1" s="144"/>
      <c r="C1" s="144"/>
      <c r="D1" s="144"/>
      <c r="E1" s="144"/>
      <c r="F1" s="144"/>
      <c r="G1" s="144"/>
    </row>
    <row r="3" spans="1:10">
      <c r="B3" s="3"/>
      <c r="C3" s="3" t="s">
        <v>614</v>
      </c>
      <c r="D3" s="3"/>
      <c r="E3" s="3" t="s">
        <v>615</v>
      </c>
      <c r="F3" s="3"/>
      <c r="G3" s="3"/>
    </row>
    <row r="4" spans="1:10">
      <c r="B4" s="3" t="s">
        <v>3</v>
      </c>
      <c r="C4" s="3" t="s">
        <v>616</v>
      </c>
      <c r="D4" s="3" t="s">
        <v>5</v>
      </c>
      <c r="E4" s="3" t="s">
        <v>616</v>
      </c>
      <c r="F4" s="3" t="s">
        <v>7</v>
      </c>
      <c r="G4" s="3" t="s">
        <v>8</v>
      </c>
    </row>
    <row r="6" spans="1:10">
      <c r="A6" s="1" t="s">
        <v>11</v>
      </c>
      <c r="B6" s="30">
        <f>+'Monarch Life'!B6</f>
        <v>716.85757678409254</v>
      </c>
      <c r="C6" s="30">
        <f>+'Monarch Life'!C6</f>
        <v>712.41637412866589</v>
      </c>
      <c r="D6" s="30">
        <f>+'Monarch Life'!D6</f>
        <v>278.153237583595</v>
      </c>
      <c r="E6" s="30">
        <f>+'Monarch Life'!E6</f>
        <v>0</v>
      </c>
      <c r="F6" s="30">
        <f>+'Monarch Life'!F6</f>
        <v>0</v>
      </c>
      <c r="G6" s="30">
        <f t="shared" ref="G6:G37" si="0">SUM(B6:F6)</f>
        <v>1707.4271884963534</v>
      </c>
      <c r="H6" s="30"/>
      <c r="I6" s="30" t="s">
        <v>180</v>
      </c>
      <c r="J6" s="30">
        <f>Summary!TOTAL_66265</f>
        <v>510037.1399999999</v>
      </c>
    </row>
    <row r="7" spans="1:10">
      <c r="A7" s="1" t="s">
        <v>12</v>
      </c>
      <c r="B7" s="30">
        <f>+'Monarch Life'!B7</f>
        <v>614.19234833766143</v>
      </c>
      <c r="C7" s="30">
        <f>+'Monarch Life'!C7</f>
        <v>2.6652368420856729</v>
      </c>
      <c r="D7" s="30">
        <f>+'Monarch Life'!D7</f>
        <v>76.815677703275156</v>
      </c>
      <c r="E7" s="30">
        <f>+'Monarch Life'!E7</f>
        <v>0</v>
      </c>
      <c r="F7" s="30">
        <f>+'Monarch Life'!F7</f>
        <v>0</v>
      </c>
      <c r="G7" s="30">
        <f t="shared" si="0"/>
        <v>693.67326288302218</v>
      </c>
      <c r="H7" s="30"/>
      <c r="I7" s="30"/>
      <c r="J7" s="30"/>
    </row>
    <row r="8" spans="1:10">
      <c r="A8" s="1" t="s">
        <v>13</v>
      </c>
      <c r="B8" s="30">
        <f>+'Monarch Life'!B8</f>
        <v>4518.7443822261394</v>
      </c>
      <c r="C8" s="30">
        <f>+'Monarch Life'!C8</f>
        <v>2000.3773726108168</v>
      </c>
      <c r="D8" s="30">
        <f>+'Monarch Life'!D8</f>
        <v>2079.4538195001646</v>
      </c>
      <c r="E8" s="30">
        <f>+'Monarch Life'!E8</f>
        <v>0</v>
      </c>
      <c r="F8" s="30">
        <f>+'Monarch Life'!F8</f>
        <v>0</v>
      </c>
      <c r="G8" s="30">
        <f t="shared" si="0"/>
        <v>8598.575574337121</v>
      </c>
      <c r="H8" s="30"/>
      <c r="I8" s="30" t="s">
        <v>8</v>
      </c>
      <c r="J8" s="30">
        <f>SUM(REC_TOTAL)</f>
        <v>510037.1399999999</v>
      </c>
    </row>
    <row r="9" spans="1:10">
      <c r="A9" s="1" t="s">
        <v>15</v>
      </c>
      <c r="B9" s="30">
        <f>+'Monarch Life'!B9</f>
        <v>829.13334191259196</v>
      </c>
      <c r="C9" s="30">
        <f>+'Monarch Life'!C9</f>
        <v>314.78659604115273</v>
      </c>
      <c r="D9" s="30">
        <f>+'Monarch Life'!D9</f>
        <v>400.98951466715789</v>
      </c>
      <c r="E9" s="30">
        <f>+'Monarch Life'!E9</f>
        <v>0</v>
      </c>
      <c r="F9" s="30">
        <f>+'Monarch Life'!F9</f>
        <v>0</v>
      </c>
      <c r="G9" s="30">
        <f t="shared" si="0"/>
        <v>1544.9094526209026</v>
      </c>
      <c r="H9" s="30"/>
      <c r="I9" s="30" t="s">
        <v>617</v>
      </c>
      <c r="J9" s="30">
        <f>SUM(TOTAL)</f>
        <v>510037.13999999984</v>
      </c>
    </row>
    <row r="10" spans="1:10">
      <c r="A10" s="1" t="s">
        <v>16</v>
      </c>
      <c r="B10" s="30">
        <f>+'Monarch Life'!B10</f>
        <v>23883.763473535946</v>
      </c>
      <c r="C10" s="30">
        <f>+'Monarch Life'!C10</f>
        <v>4014.352235427657</v>
      </c>
      <c r="D10" s="30">
        <f>+'Monarch Life'!D10</f>
        <v>23026.420442887309</v>
      </c>
      <c r="E10" s="30">
        <f>+'Monarch Life'!E10</f>
        <v>0</v>
      </c>
      <c r="F10" s="30">
        <f>+'Monarch Life'!F10</f>
        <v>0</v>
      </c>
      <c r="G10" s="30">
        <f t="shared" si="0"/>
        <v>50924.536151850916</v>
      </c>
      <c r="H10" s="30"/>
      <c r="I10" s="30"/>
      <c r="J10" s="30">
        <f>SUM(TOTAL)-SUM(REC_TOTAL)</f>
        <v>0</v>
      </c>
    </row>
    <row r="11" spans="1:10">
      <c r="A11" s="1" t="s">
        <v>18</v>
      </c>
      <c r="B11" s="30">
        <f>+'Monarch Life'!B11</f>
        <v>4521.9305862352239</v>
      </c>
      <c r="C11" s="30">
        <f>+'Monarch Life'!C11</f>
        <v>1090.1352740976226</v>
      </c>
      <c r="D11" s="30">
        <f>+'Monarch Life'!D11</f>
        <v>2622.826731892746</v>
      </c>
      <c r="E11" s="30">
        <f>+'Monarch Life'!E11</f>
        <v>0</v>
      </c>
      <c r="F11" s="30">
        <f>+'Monarch Life'!F11</f>
        <v>0</v>
      </c>
      <c r="G11" s="30">
        <f t="shared" si="0"/>
        <v>8234.892592225593</v>
      </c>
      <c r="H11" s="30"/>
      <c r="I11" s="30"/>
      <c r="J11" s="30"/>
    </row>
    <row r="12" spans="1:10">
      <c r="A12" s="1" t="s">
        <v>19</v>
      </c>
      <c r="B12" s="30">
        <f>+'Monarch Life'!B12</f>
        <v>5583.9690469360812</v>
      </c>
      <c r="C12" s="30">
        <f>+'Monarch Life'!C12</f>
        <v>1580.1623546498879</v>
      </c>
      <c r="D12" s="30">
        <f>+'Monarch Life'!D12</f>
        <v>6715.2796268991888</v>
      </c>
      <c r="E12" s="30">
        <f>+'Monarch Life'!E12</f>
        <v>0</v>
      </c>
      <c r="F12" s="30">
        <f>+'Monarch Life'!F12</f>
        <v>0</v>
      </c>
      <c r="G12" s="30">
        <f t="shared" si="0"/>
        <v>13879.411028485158</v>
      </c>
      <c r="H12" s="30"/>
      <c r="I12" s="30"/>
      <c r="J12" s="30"/>
    </row>
    <row r="13" spans="1:10">
      <c r="A13" s="1" t="s">
        <v>21</v>
      </c>
      <c r="B13" s="30">
        <f>+'Monarch Life'!B13</f>
        <v>383.91796300817265</v>
      </c>
      <c r="C13" s="30">
        <f>+'Monarch Life'!C13</f>
        <v>153.75012122624136</v>
      </c>
      <c r="D13" s="30">
        <f>+'Monarch Life'!D13</f>
        <v>337.35118880231272</v>
      </c>
      <c r="E13" s="30">
        <f>+'Monarch Life'!E13</f>
        <v>0</v>
      </c>
      <c r="F13" s="30">
        <f>+'Monarch Life'!F13</f>
        <v>0</v>
      </c>
      <c r="G13" s="30">
        <f t="shared" si="0"/>
        <v>875.01927303672664</v>
      </c>
      <c r="H13" s="30"/>
      <c r="I13" s="30"/>
      <c r="J13" s="30"/>
    </row>
    <row r="14" spans="1:10">
      <c r="A14" s="1" t="s">
        <v>23</v>
      </c>
      <c r="B14" s="30">
        <f>+'Monarch Life'!B14</f>
        <v>671.32080736114619</v>
      </c>
      <c r="C14" s="30">
        <f>+'Monarch Life'!C14</f>
        <v>146.81545525405431</v>
      </c>
      <c r="D14" s="30">
        <f>+'Monarch Life'!D14</f>
        <v>543.44525624376058</v>
      </c>
      <c r="E14" s="30">
        <f>+'Monarch Life'!E14</f>
        <v>0</v>
      </c>
      <c r="F14" s="30">
        <f>+'Monarch Life'!F14</f>
        <v>0</v>
      </c>
      <c r="G14" s="30">
        <f t="shared" si="0"/>
        <v>1361.5815188589611</v>
      </c>
      <c r="H14" s="30"/>
      <c r="I14" s="30"/>
      <c r="J14" s="30"/>
    </row>
    <row r="15" spans="1:10">
      <c r="A15" s="1" t="s">
        <v>25</v>
      </c>
      <c r="B15" s="30">
        <f>+'Monarch Life'!B15</f>
        <v>14566.853465609074</v>
      </c>
      <c r="C15" s="30">
        <f>+'Monarch Life'!C15</f>
        <v>5962.8901926315448</v>
      </c>
      <c r="D15" s="30">
        <f>+'Monarch Life'!D15</f>
        <v>9471.6249614500994</v>
      </c>
      <c r="E15" s="30">
        <f>+'Monarch Life'!E15</f>
        <v>0</v>
      </c>
      <c r="F15" s="30">
        <f>+'Monarch Life'!F15</f>
        <v>0</v>
      </c>
      <c r="G15" s="30">
        <f t="shared" si="0"/>
        <v>30001.368619690718</v>
      </c>
      <c r="H15" s="30"/>
      <c r="I15" s="30"/>
      <c r="J15" s="30"/>
    </row>
    <row r="16" spans="1:10">
      <c r="A16" s="1" t="s">
        <v>27</v>
      </c>
      <c r="B16" s="30">
        <f>+'Monarch Life'!B16</f>
        <v>1895.6418554509248</v>
      </c>
      <c r="C16" s="30">
        <f>+'Monarch Life'!C16</f>
        <v>1776.5641991231032</v>
      </c>
      <c r="D16" s="30">
        <f>+'Monarch Life'!D16</f>
        <v>1307.3770111219535</v>
      </c>
      <c r="E16" s="30">
        <f>+'Monarch Life'!E16</f>
        <v>0</v>
      </c>
      <c r="F16" s="30">
        <f>+'Monarch Life'!F16</f>
        <v>0</v>
      </c>
      <c r="G16" s="30">
        <f t="shared" si="0"/>
        <v>4979.5830656959815</v>
      </c>
      <c r="H16" s="30"/>
      <c r="I16" s="30"/>
      <c r="J16" s="30"/>
    </row>
    <row r="17" spans="1:10">
      <c r="A17" s="1" t="s">
        <v>29</v>
      </c>
      <c r="B17" s="30">
        <f>+'Monarch Life'!B17</f>
        <v>1388.6676065905997</v>
      </c>
      <c r="C17" s="30">
        <f>+'Monarch Life'!C17</f>
        <v>209.24930700136284</v>
      </c>
      <c r="D17" s="30">
        <f>+'Monarch Life'!D17</f>
        <v>220.49799696567447</v>
      </c>
      <c r="E17" s="30">
        <f>+'Monarch Life'!E17</f>
        <v>0</v>
      </c>
      <c r="F17" s="30">
        <f>+'Monarch Life'!F17</f>
        <v>0</v>
      </c>
      <c r="G17" s="30">
        <f t="shared" si="0"/>
        <v>1818.4149105576371</v>
      </c>
      <c r="H17" s="30"/>
      <c r="I17" s="30"/>
      <c r="J17" s="30"/>
    </row>
    <row r="18" spans="1:10">
      <c r="A18" s="1" t="s">
        <v>30</v>
      </c>
      <c r="B18" s="30">
        <f>+'Monarch Life'!B18</f>
        <v>521.05674832049124</v>
      </c>
      <c r="C18" s="30">
        <f>+'Monarch Life'!C18</f>
        <v>0.55641094367877197</v>
      </c>
      <c r="D18" s="30">
        <f>+'Monarch Life'!D18</f>
        <v>129.44874604175246</v>
      </c>
      <c r="E18" s="30">
        <f>+'Monarch Life'!E18</f>
        <v>0</v>
      </c>
      <c r="F18" s="30">
        <f>+'Monarch Life'!F18</f>
        <v>0</v>
      </c>
      <c r="G18" s="30">
        <f t="shared" si="0"/>
        <v>651.06190530592244</v>
      </c>
      <c r="H18" s="30"/>
      <c r="I18" s="30"/>
      <c r="J18" s="30"/>
    </row>
    <row r="19" spans="1:10">
      <c r="A19" s="1" t="s">
        <v>32</v>
      </c>
      <c r="B19" s="30">
        <f>+'Monarch Life'!B19</f>
        <v>7363.2739786566799</v>
      </c>
      <c r="C19" s="30">
        <f>+'Monarch Life'!C19</f>
        <v>2761.7794534840332</v>
      </c>
      <c r="D19" s="30">
        <f>+'Monarch Life'!D19</f>
        <v>6102.9370721055375</v>
      </c>
      <c r="E19" s="30">
        <f>+'Monarch Life'!E19</f>
        <v>0</v>
      </c>
      <c r="F19" s="30">
        <f>+'Monarch Life'!F19</f>
        <v>0</v>
      </c>
      <c r="G19" s="30">
        <f t="shared" si="0"/>
        <v>16227.990504246252</v>
      </c>
      <c r="H19" s="30"/>
      <c r="I19" s="30"/>
      <c r="J19" s="30"/>
    </row>
    <row r="20" spans="1:10">
      <c r="A20" s="1" t="s">
        <v>34</v>
      </c>
      <c r="B20" s="30">
        <f>+'Monarch Life'!B20</f>
        <v>2353.927933405193</v>
      </c>
      <c r="C20" s="30">
        <f>+'Monarch Life'!C20</f>
        <v>968.4202807223802</v>
      </c>
      <c r="D20" s="30">
        <f>+'Monarch Life'!D20</f>
        <v>1906.9572262062966</v>
      </c>
      <c r="E20" s="30">
        <f>+'Monarch Life'!E20</f>
        <v>0</v>
      </c>
      <c r="F20" s="30">
        <f>+'Monarch Life'!F20</f>
        <v>0</v>
      </c>
      <c r="G20" s="30">
        <f t="shared" si="0"/>
        <v>5229.3054403338701</v>
      </c>
      <c r="H20" s="30"/>
      <c r="I20" s="30"/>
      <c r="J20" s="30"/>
    </row>
    <row r="21" spans="1:10">
      <c r="A21" s="1" t="s">
        <v>36</v>
      </c>
      <c r="B21" s="30">
        <f>+'Monarch Life'!B21</f>
        <v>3139.1115154991403</v>
      </c>
      <c r="C21" s="30">
        <f>+'Monarch Life'!C21</f>
        <v>1001.3569817393825</v>
      </c>
      <c r="D21" s="30">
        <f>+'Monarch Life'!D21</f>
        <v>1870.7058065449257</v>
      </c>
      <c r="E21" s="30">
        <f>+'Monarch Life'!E21</f>
        <v>0</v>
      </c>
      <c r="F21" s="30">
        <f>+'Monarch Life'!F21</f>
        <v>0</v>
      </c>
      <c r="G21" s="30">
        <f t="shared" si="0"/>
        <v>6011.1743037834485</v>
      </c>
      <c r="H21" s="30"/>
      <c r="I21" s="30"/>
      <c r="J21" s="30"/>
    </row>
    <row r="22" spans="1:10">
      <c r="A22" s="1" t="s">
        <v>38</v>
      </c>
      <c r="B22" s="30">
        <f>+'Monarch Life'!B22</f>
        <v>2913.3905262885833</v>
      </c>
      <c r="C22" s="30">
        <f>+'Monarch Life'!C22</f>
        <v>970.02712226240965</v>
      </c>
      <c r="D22" s="30">
        <f>+'Monarch Life'!D22</f>
        <v>4392.1043776434626</v>
      </c>
      <c r="E22" s="30">
        <f>+'Monarch Life'!E22</f>
        <v>0</v>
      </c>
      <c r="F22" s="30">
        <f>+'Monarch Life'!F22</f>
        <v>0</v>
      </c>
      <c r="G22" s="30">
        <f t="shared" si="0"/>
        <v>8275.522026194456</v>
      </c>
      <c r="H22" s="30"/>
      <c r="I22" s="30"/>
      <c r="J22" s="30"/>
    </row>
    <row r="23" spans="1:10">
      <c r="A23" s="1" t="s">
        <v>40</v>
      </c>
      <c r="B23" s="30">
        <f>+'Monarch Life'!B23</f>
        <v>658.70472017318787</v>
      </c>
      <c r="C23" s="30">
        <f>+'Monarch Life'!C23</f>
        <v>835.61283235898532</v>
      </c>
      <c r="D23" s="30">
        <f>+'Monarch Life'!D23</f>
        <v>1197.1347074539535</v>
      </c>
      <c r="E23" s="30">
        <f>+'Monarch Life'!E23</f>
        <v>0</v>
      </c>
      <c r="F23" s="30">
        <f>+'Monarch Life'!F23</f>
        <v>0</v>
      </c>
      <c r="G23" s="30">
        <f t="shared" si="0"/>
        <v>2691.4522599861266</v>
      </c>
      <c r="H23" s="30"/>
      <c r="I23" s="30"/>
      <c r="J23" s="30"/>
    </row>
    <row r="24" spans="1:10">
      <c r="A24" s="1" t="s">
        <v>42</v>
      </c>
      <c r="B24" s="30">
        <f>+'Monarch Life'!B24</f>
        <v>0</v>
      </c>
      <c r="C24" s="30">
        <f>+'Monarch Life'!C24</f>
        <v>0</v>
      </c>
      <c r="D24" s="30">
        <f>+'Monarch Life'!D24</f>
        <v>0</v>
      </c>
      <c r="E24" s="30">
        <f>+'Monarch Life'!E24</f>
        <v>0</v>
      </c>
      <c r="F24" s="30">
        <f>+'Monarch Life'!F24</f>
        <v>0</v>
      </c>
      <c r="G24" s="30">
        <f t="shared" si="0"/>
        <v>0</v>
      </c>
      <c r="H24" s="30"/>
      <c r="I24" s="30"/>
      <c r="J24" s="30"/>
    </row>
    <row r="25" spans="1:10">
      <c r="A25" s="1" t="s">
        <v>44</v>
      </c>
      <c r="B25" s="30">
        <f>+'Monarch Life'!B25</f>
        <v>1136.691056486432</v>
      </c>
      <c r="C25" s="30">
        <f>+'Monarch Life'!C25</f>
        <v>766.36476210422688</v>
      </c>
      <c r="D25" s="30">
        <f>+'Monarch Life'!D25</f>
        <v>666.50813948887946</v>
      </c>
      <c r="E25" s="30">
        <f>+'Monarch Life'!E25</f>
        <v>0</v>
      </c>
      <c r="F25" s="30">
        <f>+'Monarch Life'!F25</f>
        <v>0</v>
      </c>
      <c r="G25" s="30">
        <f t="shared" si="0"/>
        <v>2569.5639580795382</v>
      </c>
      <c r="H25" s="30"/>
      <c r="I25" s="30"/>
      <c r="J25" s="30"/>
    </row>
    <row r="26" spans="1:10">
      <c r="A26" s="1" t="s">
        <v>45</v>
      </c>
      <c r="B26" s="30">
        <f>+'Monarch Life'!B26</f>
        <v>4494.5535051173647</v>
      </c>
      <c r="C26" s="30">
        <f>+'Monarch Life'!C26</f>
        <v>1277.8759987904484</v>
      </c>
      <c r="D26" s="30">
        <f>+'Monarch Life'!D26</f>
        <v>8041.5780455055183</v>
      </c>
      <c r="E26" s="30">
        <f>+'Monarch Life'!E26</f>
        <v>0</v>
      </c>
      <c r="F26" s="30">
        <f>+'Monarch Life'!F26</f>
        <v>0</v>
      </c>
      <c r="G26" s="30">
        <f t="shared" si="0"/>
        <v>13814.007549413331</v>
      </c>
      <c r="H26" s="30"/>
      <c r="I26" s="30"/>
      <c r="J26" s="30"/>
    </row>
    <row r="27" spans="1:10">
      <c r="A27" s="1" t="s">
        <v>47</v>
      </c>
      <c r="B27" s="30">
        <f>+'Monarch Life'!B27</f>
        <v>9857.7795683310542</v>
      </c>
      <c r="C27" s="30">
        <f>+'Monarch Life'!C27</f>
        <v>17501.327264501575</v>
      </c>
      <c r="D27" s="30">
        <f>+'Monarch Life'!D27</f>
        <v>6997.5389159593542</v>
      </c>
      <c r="E27" s="30">
        <f>+'Monarch Life'!E27</f>
        <v>0</v>
      </c>
      <c r="F27" s="30">
        <f>+'Monarch Life'!F27</f>
        <v>0</v>
      </c>
      <c r="G27" s="30">
        <f t="shared" si="0"/>
        <v>34356.645748791983</v>
      </c>
      <c r="H27" s="30"/>
      <c r="I27" s="30"/>
      <c r="J27" s="30"/>
    </row>
    <row r="28" spans="1:10">
      <c r="A28" s="1" t="s">
        <v>49</v>
      </c>
      <c r="B28" s="30">
        <f>+'Monarch Life'!B28</f>
        <v>10457.470096850535</v>
      </c>
      <c r="C28" s="30">
        <f>+'Monarch Life'!C28</f>
        <v>2309.8049924249908</v>
      </c>
      <c r="D28" s="30">
        <f>+'Monarch Life'!D28</f>
        <v>8637.4998796863056</v>
      </c>
      <c r="E28" s="30">
        <f>+'Monarch Life'!E28</f>
        <v>0</v>
      </c>
      <c r="F28" s="30">
        <f>+'Monarch Life'!F28</f>
        <v>0</v>
      </c>
      <c r="G28" s="30">
        <f t="shared" si="0"/>
        <v>21404.774968961829</v>
      </c>
      <c r="H28" s="30"/>
      <c r="I28" s="30"/>
      <c r="J28" s="30"/>
    </row>
    <row r="29" spans="1:10">
      <c r="A29" s="1" t="s">
        <v>50</v>
      </c>
      <c r="B29" s="30">
        <f>+'Monarch Life'!B29</f>
        <v>3776.0875114241239</v>
      </c>
      <c r="C29" s="30">
        <f>+'Monarch Life'!C29</f>
        <v>1818.4939890555024</v>
      </c>
      <c r="D29" s="30">
        <f>+'Monarch Life'!D29</f>
        <v>5249.5135219902486</v>
      </c>
      <c r="E29" s="30">
        <f>+'Monarch Life'!E29</f>
        <v>0</v>
      </c>
      <c r="F29" s="30">
        <f>+'Monarch Life'!F29</f>
        <v>0</v>
      </c>
      <c r="G29" s="30">
        <f t="shared" si="0"/>
        <v>10844.095022469875</v>
      </c>
      <c r="H29" s="30"/>
      <c r="I29" s="30"/>
      <c r="J29" s="30"/>
    </row>
    <row r="30" spans="1:10">
      <c r="A30" s="1" t="s">
        <v>51</v>
      </c>
      <c r="B30" s="30">
        <f>+'Monarch Life'!B30</f>
        <v>298.47532124556477</v>
      </c>
      <c r="C30" s="30">
        <f>+'Monarch Life'!C30</f>
        <v>510.52113930868143</v>
      </c>
      <c r="D30" s="30">
        <f>+'Monarch Life'!D30</f>
        <v>295.92595103799653</v>
      </c>
      <c r="E30" s="30">
        <f>+'Monarch Life'!E30</f>
        <v>0</v>
      </c>
      <c r="F30" s="30">
        <f>+'Monarch Life'!F30</f>
        <v>0</v>
      </c>
      <c r="G30" s="30">
        <f t="shared" si="0"/>
        <v>1104.9224115922427</v>
      </c>
      <c r="H30" s="30"/>
      <c r="I30" s="30"/>
      <c r="J30" s="30"/>
    </row>
    <row r="31" spans="1:10">
      <c r="A31" s="1" t="s">
        <v>52</v>
      </c>
      <c r="B31" s="30">
        <f>+'Monarch Life'!B31</f>
        <v>3720.541933113615</v>
      </c>
      <c r="C31" s="30">
        <f>+'Monarch Life'!C31</f>
        <v>780.1814965584698</v>
      </c>
      <c r="D31" s="30">
        <f>+'Monarch Life'!D31</f>
        <v>3168.3299724017866</v>
      </c>
      <c r="E31" s="30">
        <f>+'Monarch Life'!E31</f>
        <v>0</v>
      </c>
      <c r="F31" s="30">
        <f>+'Monarch Life'!F31</f>
        <v>0</v>
      </c>
      <c r="G31" s="30">
        <f t="shared" si="0"/>
        <v>7669.0534020738705</v>
      </c>
      <c r="H31" s="30"/>
      <c r="I31" s="30"/>
      <c r="J31" s="30"/>
    </row>
    <row r="32" spans="1:10">
      <c r="A32" s="1" t="s">
        <v>53</v>
      </c>
      <c r="B32" s="30">
        <f>+'Monarch Life'!B32</f>
        <v>527.25423789615263</v>
      </c>
      <c r="C32" s="30">
        <f>+'Monarch Life'!C32</f>
        <v>239.75033886654504</v>
      </c>
      <c r="D32" s="30">
        <f>+'Monarch Life'!D32</f>
        <v>256.65896689181966</v>
      </c>
      <c r="E32" s="30">
        <f>+'Monarch Life'!E32</f>
        <v>0</v>
      </c>
      <c r="F32" s="30">
        <f>+'Monarch Life'!F32</f>
        <v>0</v>
      </c>
      <c r="G32" s="30">
        <f t="shared" si="0"/>
        <v>1023.6635436545173</v>
      </c>
      <c r="H32" s="30"/>
      <c r="I32" s="30"/>
      <c r="J32" s="30"/>
    </row>
    <row r="33" spans="1:10">
      <c r="A33" s="1" t="s">
        <v>54</v>
      </c>
      <c r="B33" s="30">
        <f>+'Monarch Life'!B33</f>
        <v>1973.5387042535958</v>
      </c>
      <c r="C33" s="30">
        <f>+'Monarch Life'!C33</f>
        <v>582.80721493537726</v>
      </c>
      <c r="D33" s="30">
        <f>+'Monarch Life'!D33</f>
        <v>900.12885357671519</v>
      </c>
      <c r="E33" s="30">
        <f>+'Monarch Life'!E33</f>
        <v>0</v>
      </c>
      <c r="F33" s="30">
        <f>+'Monarch Life'!F33</f>
        <v>0</v>
      </c>
      <c r="G33" s="30">
        <f t="shared" si="0"/>
        <v>3456.4747727656886</v>
      </c>
      <c r="H33" s="30"/>
      <c r="I33" s="30"/>
      <c r="J33" s="30"/>
    </row>
    <row r="34" spans="1:10">
      <c r="A34" s="1" t="s">
        <v>55</v>
      </c>
      <c r="B34" s="30">
        <f>+'Monarch Life'!B34</f>
        <v>1604.4208968434129</v>
      </c>
      <c r="C34" s="30">
        <f>+'Monarch Life'!C34</f>
        <v>456.49758240572999</v>
      </c>
      <c r="D34" s="30">
        <f>+'Monarch Life'!D34</f>
        <v>607.74165924225588</v>
      </c>
      <c r="E34" s="30">
        <f>+'Monarch Life'!E34</f>
        <v>0</v>
      </c>
      <c r="F34" s="30">
        <f>+'Monarch Life'!F34</f>
        <v>0</v>
      </c>
      <c r="G34" s="30">
        <f t="shared" si="0"/>
        <v>2668.6601384913988</v>
      </c>
      <c r="H34" s="30"/>
      <c r="I34" s="30"/>
      <c r="J34" s="30"/>
    </row>
    <row r="35" spans="1:10">
      <c r="A35" s="1" t="s">
        <v>56</v>
      </c>
      <c r="B35" s="30">
        <f>+'Monarch Life'!B35</f>
        <v>1548.9440017210175</v>
      </c>
      <c r="C35" s="30">
        <f>+'Monarch Life'!C35</f>
        <v>396.61592752390476</v>
      </c>
      <c r="D35" s="30">
        <f>+'Monarch Life'!D35</f>
        <v>884.62698331780905</v>
      </c>
      <c r="E35" s="30">
        <f>+'Monarch Life'!E35</f>
        <v>0</v>
      </c>
      <c r="F35" s="30">
        <f>+'Monarch Life'!F35</f>
        <v>0</v>
      </c>
      <c r="G35" s="30">
        <f t="shared" si="0"/>
        <v>2830.1869125627313</v>
      </c>
      <c r="H35" s="30"/>
      <c r="I35" s="30"/>
      <c r="J35" s="30"/>
    </row>
    <row r="36" spans="1:10">
      <c r="A36" s="1" t="s">
        <v>57</v>
      </c>
      <c r="B36" s="30">
        <f>+'Monarch Life'!B36</f>
        <v>6365.9907327746796</v>
      </c>
      <c r="C36" s="30">
        <f>+'Monarch Life'!C36</f>
        <v>4756.088166164368</v>
      </c>
      <c r="D36" s="30">
        <f>+'Monarch Life'!D36</f>
        <v>23797.433154592301</v>
      </c>
      <c r="E36" s="30">
        <f>+'Monarch Life'!E36</f>
        <v>0</v>
      </c>
      <c r="F36" s="30">
        <f>+'Monarch Life'!F36</f>
        <v>0</v>
      </c>
      <c r="G36" s="30">
        <f t="shared" si="0"/>
        <v>34919.512053531347</v>
      </c>
      <c r="H36" s="30"/>
      <c r="I36" s="30"/>
      <c r="J36" s="30"/>
    </row>
    <row r="37" spans="1:10">
      <c r="A37" s="1" t="s">
        <v>58</v>
      </c>
      <c r="B37" s="30">
        <f>+'Monarch Life'!B37</f>
        <v>1826.6295723365595</v>
      </c>
      <c r="C37" s="30">
        <f>+'Monarch Life'!C37</f>
        <v>354.97298805928648</v>
      </c>
      <c r="D37" s="30">
        <f>+'Monarch Life'!D37</f>
        <v>330.48561304481331</v>
      </c>
      <c r="E37" s="30">
        <f>+'Monarch Life'!E37</f>
        <v>0</v>
      </c>
      <c r="F37" s="30">
        <f>+'Monarch Life'!F37</f>
        <v>0</v>
      </c>
      <c r="G37" s="30">
        <f t="shared" si="0"/>
        <v>2512.0881734406594</v>
      </c>
      <c r="H37" s="30"/>
      <c r="I37" s="30"/>
      <c r="J37" s="30"/>
    </row>
    <row r="38" spans="1:10">
      <c r="A38" s="1" t="s">
        <v>59</v>
      </c>
      <c r="B38" s="30">
        <f>+'Monarch Life'!B38</f>
        <v>26925.403090403644</v>
      </c>
      <c r="C38" s="30">
        <f>+'Monarch Life'!C38</f>
        <v>16158.977306434506</v>
      </c>
      <c r="D38" s="30">
        <f>+'Monarch Life'!D38</f>
        <v>39705.52352825056</v>
      </c>
      <c r="E38" s="30">
        <f>+'Monarch Life'!E38</f>
        <v>0</v>
      </c>
      <c r="F38" s="30">
        <f>+'Monarch Life'!F38</f>
        <v>0</v>
      </c>
      <c r="G38" s="30">
        <f t="shared" ref="G38:G58" si="1">SUM(B38:F38)</f>
        <v>82789.903925088714</v>
      </c>
      <c r="H38" s="30"/>
      <c r="I38" s="30"/>
      <c r="J38" s="30"/>
    </row>
    <row r="39" spans="1:10">
      <c r="A39" s="1" t="s">
        <v>60</v>
      </c>
      <c r="B39" s="30">
        <f>+'Monarch Life'!B39</f>
        <v>3093.0978282277169</v>
      </c>
      <c r="C39" s="30">
        <f>+'Monarch Life'!C39</f>
        <v>1424.5005956819582</v>
      </c>
      <c r="D39" s="30">
        <f>+'Monarch Life'!D39</f>
        <v>6077.7651857264336</v>
      </c>
      <c r="E39" s="30">
        <f>+'Monarch Life'!E39</f>
        <v>0</v>
      </c>
      <c r="F39" s="30">
        <f>+'Monarch Life'!F39</f>
        <v>0</v>
      </c>
      <c r="G39" s="30">
        <f t="shared" si="1"/>
        <v>10595.363609636108</v>
      </c>
      <c r="H39" s="30"/>
      <c r="I39" s="30"/>
      <c r="J39" s="30"/>
    </row>
    <row r="40" spans="1:10">
      <c r="A40" s="1" t="s">
        <v>61</v>
      </c>
      <c r="B40" s="30">
        <f>+'Monarch Life'!B40</f>
        <v>106.08736032296417</v>
      </c>
      <c r="C40" s="30">
        <f>+'Monarch Life'!C40</f>
        <v>593.56342817047346</v>
      </c>
      <c r="D40" s="30">
        <f>+'Monarch Life'!D40</f>
        <v>27.715175729617304</v>
      </c>
      <c r="E40" s="30">
        <f>+'Monarch Life'!E40</f>
        <v>0</v>
      </c>
      <c r="F40" s="30">
        <f>+'Monarch Life'!F40</f>
        <v>0</v>
      </c>
      <c r="G40" s="30">
        <f t="shared" si="1"/>
        <v>727.3659642230549</v>
      </c>
      <c r="H40" s="30"/>
      <c r="I40" s="30"/>
      <c r="J40" s="30"/>
    </row>
    <row r="41" spans="1:10">
      <c r="A41" s="1" t="s">
        <v>62</v>
      </c>
      <c r="B41" s="30">
        <f>+'Monarch Life'!B41</f>
        <v>6789.3631624933532</v>
      </c>
      <c r="C41" s="30">
        <f>+'Monarch Life'!C41</f>
        <v>1851.70365903469</v>
      </c>
      <c r="D41" s="30">
        <f>+'Monarch Life'!D41</f>
        <v>4702.2338709289515</v>
      </c>
      <c r="E41" s="30">
        <f>+'Monarch Life'!E41</f>
        <v>0</v>
      </c>
      <c r="F41" s="30">
        <f>+'Monarch Life'!F41</f>
        <v>0</v>
      </c>
      <c r="G41" s="30">
        <f t="shared" si="1"/>
        <v>13343.300692456996</v>
      </c>
      <c r="H41" s="30"/>
      <c r="I41" s="30"/>
      <c r="J41" s="30"/>
    </row>
    <row r="42" spans="1:10">
      <c r="A42" s="1" t="s">
        <v>63</v>
      </c>
      <c r="B42" s="30">
        <f>+'Monarch Life'!B42</f>
        <v>1190.9563868047865</v>
      </c>
      <c r="C42" s="30">
        <f>+'Monarch Life'!C42</f>
        <v>746.81641021838982</v>
      </c>
      <c r="D42" s="30">
        <f>+'Monarch Life'!D42</f>
        <v>367.20435935669508</v>
      </c>
      <c r="E42" s="30">
        <f>+'Monarch Life'!E42</f>
        <v>0</v>
      </c>
      <c r="F42" s="30">
        <f>+'Monarch Life'!F42</f>
        <v>0</v>
      </c>
      <c r="G42" s="30">
        <f t="shared" si="1"/>
        <v>2304.9771563798713</v>
      </c>
      <c r="H42" s="30"/>
      <c r="I42" s="30"/>
      <c r="J42" s="30"/>
    </row>
    <row r="43" spans="1:10">
      <c r="A43" s="1" t="s">
        <v>64</v>
      </c>
      <c r="B43" s="30">
        <f>+'Monarch Life'!B43</f>
        <v>2156.103113465389</v>
      </c>
      <c r="C43" s="30">
        <f>+'Monarch Life'!C43</f>
        <v>860.46040138871649</v>
      </c>
      <c r="D43" s="30">
        <f>+'Monarch Life'!D43</f>
        <v>1571.5896382150283</v>
      </c>
      <c r="E43" s="30">
        <f>+'Monarch Life'!E43</f>
        <v>0</v>
      </c>
      <c r="F43" s="30">
        <f>+'Monarch Life'!F43</f>
        <v>0</v>
      </c>
      <c r="G43" s="30">
        <f t="shared" si="1"/>
        <v>4588.1531530691336</v>
      </c>
      <c r="H43" s="30"/>
      <c r="I43" s="30"/>
      <c r="J43" s="30"/>
    </row>
    <row r="44" spans="1:10">
      <c r="A44" s="1" t="s">
        <v>65</v>
      </c>
      <c r="B44" s="30">
        <f>+'Monarch Life'!B44</f>
        <v>12328.186156564565</v>
      </c>
      <c r="C44" s="30">
        <f>+'Monarch Life'!C44</f>
        <v>3148.8298100653569</v>
      </c>
      <c r="D44" s="30">
        <f>+'Monarch Life'!D44</f>
        <v>8353.6334988142517</v>
      </c>
      <c r="E44" s="30">
        <f>+'Monarch Life'!E44</f>
        <v>0</v>
      </c>
      <c r="F44" s="30">
        <f>+'Monarch Life'!F44</f>
        <v>0</v>
      </c>
      <c r="G44" s="30">
        <f t="shared" si="1"/>
        <v>23830.649465444174</v>
      </c>
      <c r="H44" s="30"/>
      <c r="I44" s="30"/>
      <c r="J44" s="30"/>
    </row>
    <row r="45" spans="1:10">
      <c r="A45" s="1" t="s">
        <v>66</v>
      </c>
      <c r="B45" s="30">
        <f>+'Monarch Life'!B45</f>
        <v>0</v>
      </c>
      <c r="C45" s="30">
        <f>+'Monarch Life'!C45</f>
        <v>0</v>
      </c>
      <c r="D45" s="30">
        <f>+'Monarch Life'!D45</f>
        <v>0</v>
      </c>
      <c r="E45" s="30">
        <f>+'Monarch Life'!E45</f>
        <v>0</v>
      </c>
      <c r="F45" s="30">
        <f>+'Monarch Life'!F45</f>
        <v>0</v>
      </c>
      <c r="G45" s="30">
        <f t="shared" si="1"/>
        <v>0</v>
      </c>
      <c r="H45" s="30"/>
      <c r="I45" s="30"/>
      <c r="J45" s="30"/>
    </row>
    <row r="46" spans="1:10">
      <c r="A46" s="1" t="s">
        <v>67</v>
      </c>
      <c r="B46" s="30">
        <f>+'Monarch Life'!B46</f>
        <v>745.60491000693912</v>
      </c>
      <c r="C46" s="30">
        <f>+'Monarch Life'!C46</f>
        <v>471.91536211676117</v>
      </c>
      <c r="D46" s="30">
        <f>+'Monarch Life'!D46</f>
        <v>1406.5465851823617</v>
      </c>
      <c r="E46" s="30">
        <f>+'Monarch Life'!E46</f>
        <v>0</v>
      </c>
      <c r="F46" s="30">
        <f>+'Monarch Life'!F46</f>
        <v>0</v>
      </c>
      <c r="G46" s="30">
        <f t="shared" si="1"/>
        <v>2624.066857306062</v>
      </c>
      <c r="H46" s="30"/>
      <c r="I46" s="30"/>
      <c r="J46" s="30"/>
    </row>
    <row r="47" spans="1:10">
      <c r="A47" s="1" t="s">
        <v>68</v>
      </c>
      <c r="B47" s="30">
        <f>+'Monarch Life'!B47</f>
        <v>1320.5504032556123</v>
      </c>
      <c r="C47" s="30">
        <f>+'Monarch Life'!C47</f>
        <v>951.67192843508712</v>
      </c>
      <c r="D47" s="30">
        <f>+'Monarch Life'!D47</f>
        <v>4130.3818847195971</v>
      </c>
      <c r="E47" s="30">
        <f>+'Monarch Life'!E47</f>
        <v>0</v>
      </c>
      <c r="F47" s="30">
        <f>+'Monarch Life'!F47</f>
        <v>0</v>
      </c>
      <c r="G47" s="30">
        <f t="shared" si="1"/>
        <v>6402.6042164102964</v>
      </c>
      <c r="H47" s="30"/>
      <c r="I47" s="30"/>
      <c r="J47" s="30"/>
    </row>
    <row r="48" spans="1:10">
      <c r="A48" s="1" t="s">
        <v>69</v>
      </c>
      <c r="B48" s="30">
        <f>+'Monarch Life'!B48</f>
        <v>848.21420279562165</v>
      </c>
      <c r="C48" s="30">
        <f>+'Monarch Life'!C48</f>
        <v>361.34419852114661</v>
      </c>
      <c r="D48" s="30">
        <f>+'Monarch Life'!D48</f>
        <v>376.97144707711567</v>
      </c>
      <c r="E48" s="30">
        <f>+'Monarch Life'!E48</f>
        <v>0</v>
      </c>
      <c r="F48" s="30">
        <f>+'Monarch Life'!F48</f>
        <v>0</v>
      </c>
      <c r="G48" s="30">
        <f t="shared" si="1"/>
        <v>1586.5298483938839</v>
      </c>
      <c r="H48" s="30"/>
      <c r="I48" s="30"/>
      <c r="J48" s="30"/>
    </row>
    <row r="49" spans="1:10">
      <c r="A49" s="1" t="s">
        <v>70</v>
      </c>
      <c r="B49" s="30">
        <f>+'Monarch Life'!B49</f>
        <v>1231.7101468785718</v>
      </c>
      <c r="C49" s="30">
        <f>+'Monarch Life'!C49</f>
        <v>1073.2042848413312</v>
      </c>
      <c r="D49" s="30">
        <f>+'Monarch Life'!D49</f>
        <v>1156.5151500663787</v>
      </c>
      <c r="E49" s="30">
        <f>+'Monarch Life'!E49</f>
        <v>0</v>
      </c>
      <c r="F49" s="30">
        <f>+'Monarch Life'!F49</f>
        <v>0</v>
      </c>
      <c r="G49" s="30">
        <f t="shared" si="1"/>
        <v>3461.4295817862817</v>
      </c>
      <c r="H49" s="30"/>
      <c r="I49" s="30"/>
      <c r="J49" s="30"/>
    </row>
    <row r="50" spans="1:10">
      <c r="A50" s="1" t="s">
        <v>71</v>
      </c>
      <c r="B50" s="30">
        <f>+'Monarch Life'!B50</f>
        <v>11261.306160715478</v>
      </c>
      <c r="C50" s="30">
        <f>+'Monarch Life'!C50</f>
        <v>2379.1294007823108</v>
      </c>
      <c r="D50" s="30">
        <f>+'Monarch Life'!D50</f>
        <v>3567.6161670217584</v>
      </c>
      <c r="E50" s="30">
        <f>+'Monarch Life'!E50</f>
        <v>0</v>
      </c>
      <c r="F50" s="30">
        <f>+'Monarch Life'!F50</f>
        <v>0</v>
      </c>
      <c r="G50" s="30">
        <f t="shared" si="1"/>
        <v>17208.051728519546</v>
      </c>
      <c r="H50" s="30"/>
      <c r="I50" s="30"/>
      <c r="J50" s="30"/>
    </row>
    <row r="51" spans="1:10">
      <c r="A51" s="1" t="s">
        <v>72</v>
      </c>
      <c r="B51" s="30">
        <f>+'Monarch Life'!B51</f>
        <v>1442.3431330245105</v>
      </c>
      <c r="C51" s="30">
        <f>+'Monarch Life'!C51</f>
        <v>516.7041961946677</v>
      </c>
      <c r="D51" s="30">
        <f>+'Monarch Life'!D51</f>
        <v>193.32170932642842</v>
      </c>
      <c r="E51" s="30">
        <f>+'Monarch Life'!E51</f>
        <v>0</v>
      </c>
      <c r="F51" s="30">
        <f>+'Monarch Life'!F51</f>
        <v>0</v>
      </c>
      <c r="G51" s="30">
        <f t="shared" si="1"/>
        <v>2152.3690385456066</v>
      </c>
      <c r="H51" s="30"/>
      <c r="I51" s="30"/>
      <c r="J51" s="30"/>
    </row>
    <row r="52" spans="1:10">
      <c r="A52" s="1" t="s">
        <v>73</v>
      </c>
      <c r="B52" s="30">
        <f>+'Monarch Life'!B52</f>
        <v>566.77002892529231</v>
      </c>
      <c r="C52" s="30">
        <f>+'Monarch Life'!C52</f>
        <v>107.99133571914219</v>
      </c>
      <c r="D52" s="30">
        <f>+'Monarch Life'!D52</f>
        <v>538.17588359673596</v>
      </c>
      <c r="E52" s="30">
        <f>+'Monarch Life'!E52</f>
        <v>0</v>
      </c>
      <c r="F52" s="30">
        <f>+'Monarch Life'!F52</f>
        <v>0</v>
      </c>
      <c r="G52" s="30">
        <f t="shared" si="1"/>
        <v>1212.9372482411704</v>
      </c>
      <c r="H52" s="30"/>
      <c r="I52" s="30"/>
      <c r="J52" s="30"/>
    </row>
    <row r="53" spans="1:10">
      <c r="A53" s="1" t="s">
        <v>74</v>
      </c>
      <c r="B53" s="30">
        <f>+'Monarch Life'!B53</f>
        <v>2558.0776924849124</v>
      </c>
      <c r="C53" s="30">
        <f>+'Monarch Life'!C53</f>
        <v>1195.7997292158043</v>
      </c>
      <c r="D53" s="30">
        <f>+'Monarch Life'!D53</f>
        <v>1991.719118578945</v>
      </c>
      <c r="E53" s="30">
        <f>+'Monarch Life'!E53</f>
        <v>0</v>
      </c>
      <c r="F53" s="30">
        <f>+'Monarch Life'!F53</f>
        <v>0</v>
      </c>
      <c r="G53" s="30">
        <f t="shared" si="1"/>
        <v>5745.5965402796619</v>
      </c>
      <c r="H53" s="30"/>
      <c r="I53" s="30"/>
      <c r="J53" s="30"/>
    </row>
    <row r="54" spans="1:10">
      <c r="A54" s="1" t="s">
        <v>75</v>
      </c>
      <c r="B54" s="30">
        <f>+'Monarch Life'!B54</f>
        <v>7371.8552720731832</v>
      </c>
      <c r="C54" s="30">
        <f>+'Monarch Life'!C54</f>
        <v>1663.7469866272638</v>
      </c>
      <c r="D54" s="30">
        <f>+'Monarch Life'!D54</f>
        <v>4958.760339062469</v>
      </c>
      <c r="E54" s="30">
        <f>+'Monarch Life'!E54</f>
        <v>0</v>
      </c>
      <c r="F54" s="30">
        <f>+'Monarch Life'!F54</f>
        <v>0</v>
      </c>
      <c r="G54" s="30">
        <f t="shared" si="1"/>
        <v>13994.362597762916</v>
      </c>
      <c r="H54" s="30"/>
      <c r="I54" s="30"/>
      <c r="J54" s="30"/>
    </row>
    <row r="55" spans="1:10">
      <c r="A55" s="1" t="s">
        <v>76</v>
      </c>
      <c r="B55" s="30">
        <f>+'Monarch Life'!B55</f>
        <v>602.65907063569477</v>
      </c>
      <c r="C55" s="30">
        <f>+'Monarch Life'!C55</f>
        <v>326.41167360363619</v>
      </c>
      <c r="D55" s="30">
        <f>+'Monarch Life'!D55</f>
        <v>766.46490260759924</v>
      </c>
      <c r="E55" s="30">
        <f>+'Monarch Life'!E55</f>
        <v>0</v>
      </c>
      <c r="F55" s="30">
        <f>+'Monarch Life'!F55</f>
        <v>0</v>
      </c>
      <c r="G55" s="30">
        <f t="shared" si="1"/>
        <v>1695.5356468469301</v>
      </c>
      <c r="H55" s="30"/>
      <c r="I55" s="30"/>
      <c r="J55" s="30"/>
    </row>
    <row r="56" spans="1:10">
      <c r="A56" s="1" t="s">
        <v>77</v>
      </c>
      <c r="B56" s="30">
        <f>+'Monarch Life'!B56</f>
        <v>5378.3101664235464</v>
      </c>
      <c r="C56" s="30">
        <f>+'Monarch Life'!C56</f>
        <v>3030.4374310674975</v>
      </c>
      <c r="D56" s="30">
        <f>+'Monarch Life'!D56</f>
        <v>4485.6473977002233</v>
      </c>
      <c r="E56" s="30">
        <f>+'Monarch Life'!E56</f>
        <v>0</v>
      </c>
      <c r="F56" s="30">
        <f>+'Monarch Life'!F56</f>
        <v>0</v>
      </c>
      <c r="G56" s="30">
        <f t="shared" si="1"/>
        <v>12894.394995191269</v>
      </c>
      <c r="H56" s="30"/>
      <c r="I56" s="30"/>
      <c r="J56" s="30"/>
    </row>
    <row r="57" spans="1:10">
      <c r="A57" s="1" t="s">
        <v>78</v>
      </c>
      <c r="B57" s="30">
        <f>+'Monarch Life'!B57</f>
        <v>0</v>
      </c>
      <c r="C57" s="30">
        <f>+'Monarch Life'!C57</f>
        <v>0</v>
      </c>
      <c r="D57" s="30">
        <f>+'Monarch Life'!D57</f>
        <v>0</v>
      </c>
      <c r="E57" s="30">
        <f>+'Monarch Life'!E57</f>
        <v>0</v>
      </c>
      <c r="F57" s="30">
        <f>+'Monarch Life'!F57</f>
        <v>0</v>
      </c>
      <c r="G57" s="30">
        <f t="shared" si="1"/>
        <v>0</v>
      </c>
      <c r="H57" s="30"/>
      <c r="I57" s="30"/>
      <c r="J57" s="30"/>
    </row>
    <row r="58" spans="1:10">
      <c r="A58" s="1" t="s">
        <v>79</v>
      </c>
      <c r="B58" s="30">
        <f>+'Monarch Life'!B58</f>
        <v>0</v>
      </c>
      <c r="C58" s="30">
        <f>+'Monarch Life'!C58</f>
        <v>0</v>
      </c>
      <c r="D58" s="30">
        <f>+'Monarch Life'!D58</f>
        <v>0</v>
      </c>
      <c r="E58" s="30">
        <f>+'Monarch Life'!E58</f>
        <v>0</v>
      </c>
      <c r="F58" s="30">
        <f>+'Monarch Life'!F58</f>
        <v>0</v>
      </c>
      <c r="G58" s="30">
        <f t="shared" si="1"/>
        <v>0</v>
      </c>
      <c r="H58" s="30"/>
      <c r="I58" s="30"/>
      <c r="J58" s="30"/>
    </row>
    <row r="59" spans="1:10">
      <c r="B59" s="30"/>
      <c r="C59" s="30"/>
      <c r="D59" s="30"/>
      <c r="E59" s="30"/>
      <c r="F59" s="30"/>
      <c r="G59" s="30"/>
      <c r="H59" s="30"/>
      <c r="I59" s="30"/>
      <c r="J59" s="30"/>
    </row>
    <row r="60" spans="1:10">
      <c r="B60" s="30"/>
      <c r="C60" s="30"/>
      <c r="D60" s="30"/>
      <c r="E60" s="30"/>
      <c r="F60" s="30"/>
      <c r="G60" s="30"/>
      <c r="H60" s="30"/>
      <c r="I60" s="30"/>
      <c r="J60" s="30"/>
    </row>
    <row r="61" spans="1:10">
      <c r="A61" s="1" t="s">
        <v>8</v>
      </c>
      <c r="B61" s="30">
        <f>SUM(LIFE)</f>
        <v>210029.4333002269</v>
      </c>
      <c r="C61" s="30">
        <f>SUM(ALLOCATED)</f>
        <v>93116.427799362893</v>
      </c>
      <c r="D61" s="30">
        <f>SUM(HEALTH)</f>
        <v>206891.27890041014</v>
      </c>
      <c r="E61" s="30">
        <f>SUM(UNALLOCATED)</f>
        <v>0</v>
      </c>
      <c r="F61" s="30">
        <f>SUM(LTC)</f>
        <v>0</v>
      </c>
      <c r="G61" s="30">
        <f>SUM(TOTAL)</f>
        <v>510037.13999999984</v>
      </c>
      <c r="H61" s="30"/>
      <c r="I61" s="30"/>
      <c r="J61" s="30"/>
    </row>
  </sheetData>
  <mergeCells count="1">
    <mergeCell ref="A1:G1"/>
  </mergeCells>
  <pageMargins left="0.25" right="0.25" top="0.5" bottom="0.5" header="0.3" footer="0.3"/>
  <pageSetup paperSize="5" scale="60"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pageSetUpPr fitToPage="1"/>
  </sheetPr>
  <dimension ref="A1:J62"/>
  <sheetViews>
    <sheetView tabSelected="1" zoomScale="75" workbookViewId="0">
      <selection activeCell="G39" sqref="G38:G39"/>
    </sheetView>
  </sheetViews>
  <sheetFormatPr defaultRowHeight="15"/>
  <cols>
    <col min="1" max="1" width="20" style="1" customWidth="1"/>
    <col min="2" max="7" width="15" style="1" customWidth="1"/>
    <col min="8" max="8" width="9.140625" style="1" customWidth="1"/>
    <col min="9" max="9" width="40" style="1" customWidth="1"/>
    <col min="10" max="10" width="15" style="1" customWidth="1"/>
    <col min="11" max="11" width="9.140625" style="1" customWidth="1"/>
    <col min="12" max="16384" width="9.140625" style="1"/>
  </cols>
  <sheetData>
    <row r="1" spans="1:10">
      <c r="A1" s="144" t="s">
        <v>618</v>
      </c>
      <c r="B1" s="144"/>
      <c r="C1" s="144"/>
      <c r="D1" s="144"/>
      <c r="E1" s="144"/>
      <c r="F1" s="144"/>
      <c r="G1" s="144"/>
    </row>
    <row r="3" spans="1:10">
      <c r="B3" s="3"/>
      <c r="C3" s="3" t="s">
        <v>614</v>
      </c>
      <c r="D3" s="3"/>
      <c r="E3" s="3" t="s">
        <v>615</v>
      </c>
      <c r="F3" s="3"/>
      <c r="G3" s="4"/>
    </row>
    <row r="4" spans="1:10">
      <c r="B4" s="3" t="s">
        <v>3</v>
      </c>
      <c r="C4" s="3" t="s">
        <v>616</v>
      </c>
      <c r="D4" s="3" t="s">
        <v>5</v>
      </c>
      <c r="E4" s="3" t="s">
        <v>616</v>
      </c>
      <c r="F4" s="3" t="s">
        <v>7</v>
      </c>
      <c r="G4" s="4" t="s">
        <v>8</v>
      </c>
    </row>
    <row r="6" spans="1:10">
      <c r="A6" s="1" t="s">
        <v>11</v>
      </c>
      <c r="B6" s="30">
        <f>+'American Network'!B6+'Executive Life'!B6+'Life Health America'!B6+'Lincoln Memorial'!B6+'National States'!B6+'Pen  Treaty'!B6+'Senior American'!B6</f>
        <v>10691644.743208036</v>
      </c>
      <c r="C6" s="30">
        <f>+'American Network'!C6+'Executive Life'!C6+'Life Health America'!C6+'Lincoln Memorial'!C6+'National States'!C6+'Pen  Treaty'!C6+'Senior American'!C6</f>
        <v>21126289.728310484</v>
      </c>
      <c r="D6" s="30">
        <f>+'American Network'!D6+'Executive Life'!D6+'Life Health America'!D6+'Lincoln Memorial'!D6+'National States'!D6+'Pen  Treaty'!D6+'Senior American'!D6</f>
        <v>8139653.2417755723</v>
      </c>
      <c r="E6" s="30">
        <f>+'American Network'!E6+'Executive Life'!E6+'Life Health America'!E6+'Lincoln Memorial'!E6+'National States'!E6+'Pen  Treaty'!E6+'Senior American'!E6</f>
        <v>0</v>
      </c>
      <c r="F6" s="30">
        <f>+'American Network'!F6+'Executive Life'!F6+'Life Health America'!F6+'Lincoln Memorial'!F6+'National States'!F6+'Pen  Treaty'!F6+'Senior American'!F6</f>
        <v>0</v>
      </c>
      <c r="G6" s="30">
        <f t="shared" ref="G6:G37" si="0">SUM(B6:F6)</f>
        <v>39957587.713294089</v>
      </c>
      <c r="H6" s="30"/>
      <c r="I6" s="30" t="s">
        <v>186</v>
      </c>
      <c r="J6" s="30">
        <f>Summary!TOTAL_81078</f>
        <v>306082298.14412159</v>
      </c>
    </row>
    <row r="7" spans="1:10">
      <c r="A7" s="1" t="s">
        <v>12</v>
      </c>
      <c r="B7" s="30">
        <f>+'American Network'!B7+'Executive Life'!B7+'Life Health America'!B7+'Lincoln Memorial'!B7+'National States'!B7+'Pen  Treaty'!B7+'Senior American'!B7</f>
        <v>541263.73093862797</v>
      </c>
      <c r="C7" s="30">
        <f>+'American Network'!C7+'Executive Life'!C7+'Life Health America'!C7+'Lincoln Memorial'!C7+'National States'!C7+'Pen  Treaty'!C7+'Senior American'!C7</f>
        <v>5517109.8032477107</v>
      </c>
      <c r="D7" s="30">
        <f>+'American Network'!D7+'Executive Life'!D7+'Life Health America'!D7+'Lincoln Memorial'!D7+'National States'!D7+'Pen  Treaty'!D7+'Senior American'!D7</f>
        <v>1206623.411858181</v>
      </c>
      <c r="E7" s="30">
        <f>+'American Network'!E7+'Executive Life'!E7+'Life Health America'!E7+'Lincoln Memorial'!E7+'National States'!E7+'Pen  Treaty'!E7+'Senior American'!E7</f>
        <v>0</v>
      </c>
      <c r="F7" s="30">
        <f>+'American Network'!F7+'Executive Life'!F7+'Life Health America'!F7+'Lincoln Memorial'!F7+'National States'!F7+'Pen  Treaty'!F7+'Senior American'!F7</f>
        <v>0</v>
      </c>
      <c r="G7" s="30">
        <f t="shared" si="0"/>
        <v>7264996.9460445195</v>
      </c>
      <c r="H7" s="30"/>
      <c r="I7" s="30" t="s">
        <v>191</v>
      </c>
      <c r="J7" s="30">
        <f>Summary!TOTAL_63010</f>
        <v>2856225155.9134827</v>
      </c>
    </row>
    <row r="8" spans="1:10">
      <c r="A8" s="1" t="s">
        <v>13</v>
      </c>
      <c r="B8" s="30">
        <f>+'American Network'!B8+'Executive Life'!B8+'Life Health America'!B8+'Lincoln Memorial'!B8+'National States'!B8+'Pen  Treaty'!B8+'Senior American'!B8</f>
        <v>20466313.357678663</v>
      </c>
      <c r="C8" s="30">
        <f>+'American Network'!C8+'Executive Life'!C8+'Life Health America'!C8+'Lincoln Memorial'!C8+'National States'!C8+'Pen  Treaty'!C8+'Senior American'!C8</f>
        <v>23095598.393719699</v>
      </c>
      <c r="D8" s="30">
        <f>+'American Network'!D8+'Executive Life'!D8+'Life Health America'!D8+'Lincoln Memorial'!D8+'National States'!D8+'Pen  Treaty'!D8+'Senior American'!D8</f>
        <v>128341308.63890763</v>
      </c>
      <c r="E8" s="30">
        <f>+'American Network'!E8+'Executive Life'!E8+'Life Health America'!E8+'Lincoln Memorial'!E8+'National States'!E8+'Pen  Treaty'!E8+'Senior American'!E8</f>
        <v>0</v>
      </c>
      <c r="F8" s="30">
        <f>+'American Network'!F8+'Executive Life'!F8+'Life Health America'!F8+'Lincoln Memorial'!F8+'National States'!F8+'Pen  Treaty'!F8+'Senior American'!F8</f>
        <v>2575103.9057906424</v>
      </c>
      <c r="G8" s="30">
        <f t="shared" si="0"/>
        <v>174478324.29609665</v>
      </c>
      <c r="H8" s="30"/>
      <c r="I8" s="30" t="s">
        <v>196</v>
      </c>
      <c r="J8" s="30">
        <f>Summary!TOTAL_77887</f>
        <v>37500181.970116474</v>
      </c>
    </row>
    <row r="9" spans="1:10">
      <c r="A9" s="1" t="s">
        <v>15</v>
      </c>
      <c r="B9" s="30">
        <f>+'American Network'!B9+'Executive Life'!B9+'Life Health America'!B9+'Lincoln Memorial'!B9+'National States'!B9+'Pen  Treaty'!B9+'Senior American'!B9</f>
        <v>12836293.586034181</v>
      </c>
      <c r="C9" s="30">
        <f>+'American Network'!C9+'Executive Life'!C9+'Life Health America'!C9+'Lincoln Memorial'!C9+'National States'!C9+'Pen  Treaty'!C9+'Senior American'!C9</f>
        <v>6074950.6667792592</v>
      </c>
      <c r="D9" s="30">
        <f>+'American Network'!D9+'Executive Life'!D9+'Life Health America'!D9+'Lincoln Memorial'!D9+'National States'!D9+'Pen  Treaty'!D9+'Senior American'!D9</f>
        <v>4596559.7746902173</v>
      </c>
      <c r="E9" s="30">
        <f>+'American Network'!E9+'Executive Life'!E9+'Life Health America'!E9+'Lincoln Memorial'!E9+'National States'!E9+'Pen  Treaty'!E9+'Senior American'!E9</f>
        <v>52674.176698017596</v>
      </c>
      <c r="F9" s="30">
        <f>+'American Network'!F9+'Executive Life'!F9+'Life Health America'!F9+'Lincoln Memorial'!F9+'National States'!F9+'Pen  Treaty'!F9+'Senior American'!F9</f>
        <v>0</v>
      </c>
      <c r="G9" s="30">
        <f t="shared" si="0"/>
        <v>23560478.204201676</v>
      </c>
      <c r="H9" s="30"/>
      <c r="I9" s="30" t="s">
        <v>200</v>
      </c>
      <c r="J9" s="30">
        <f>Summary!TOTAL_69833</f>
        <v>216114660.57462007</v>
      </c>
    </row>
    <row r="10" spans="1:10">
      <c r="A10" s="1" t="s">
        <v>16</v>
      </c>
      <c r="B10" s="30">
        <f>+'American Network'!B10+'Executive Life'!B10+'Life Health America'!B10+'Lincoln Memorial'!B10+'National States'!B10+'Pen  Treaty'!B10+'Senior American'!B10</f>
        <v>273416999.32599533</v>
      </c>
      <c r="C10" s="30">
        <f>+'American Network'!C10+'Executive Life'!C10+'Life Health America'!C10+'Lincoln Memorial'!C10+'National States'!C10+'Pen  Treaty'!C10+'Senior American'!C10</f>
        <v>435965536.80068499</v>
      </c>
      <c r="D10" s="30">
        <f>+'American Network'!D10+'Executive Life'!D10+'Life Health America'!D10+'Lincoln Memorial'!D10+'National States'!D10+'Pen  Treaty'!D10+'Senior American'!D10</f>
        <v>412138699.31629688</v>
      </c>
      <c r="E10" s="30">
        <f>+'American Network'!E10+'Executive Life'!E10+'Life Health America'!E10+'Lincoln Memorial'!E10+'National States'!E10+'Pen  Treaty'!E10+'Senior American'!E10</f>
        <v>0</v>
      </c>
      <c r="F10" s="30">
        <f>+'American Network'!F10+'Executive Life'!F10+'Life Health America'!F10+'Lincoln Memorial'!F10+'National States'!F10+'Pen  Treaty'!F10+'Senior American'!F10</f>
        <v>0</v>
      </c>
      <c r="G10" s="30">
        <f t="shared" si="0"/>
        <v>1121521235.4429772</v>
      </c>
      <c r="H10" s="30"/>
      <c r="I10" s="30" t="s">
        <v>205</v>
      </c>
      <c r="J10" s="30">
        <f>Summary!TOTAL_60593</f>
        <v>132101235.11805962</v>
      </c>
    </row>
    <row r="11" spans="1:10">
      <c r="A11" s="1" t="s">
        <v>18</v>
      </c>
      <c r="B11" s="30">
        <f>+'American Network'!B11+'Executive Life'!B11+'Life Health America'!B11+'Lincoln Memorial'!B11+'National States'!B11+'Pen  Treaty'!B11+'Senior American'!B11</f>
        <v>482415.83326022036</v>
      </c>
      <c r="C11" s="30">
        <f>+'American Network'!C11+'Executive Life'!C11+'Life Health America'!C11+'Lincoln Memorial'!C11+'National States'!C11+'Pen  Treaty'!C11+'Senior American'!C11</f>
        <v>0</v>
      </c>
      <c r="D11" s="30">
        <f>+'American Network'!D11+'Executive Life'!D11+'Life Health America'!D11+'Lincoln Memorial'!D11+'National States'!D11+'Pen  Treaty'!D11+'Senior American'!D11</f>
        <v>64335480.763337411</v>
      </c>
      <c r="E11" s="30">
        <f>+'American Network'!E11+'Executive Life'!E11+'Life Health America'!E11+'Lincoln Memorial'!E11+'National States'!E11+'Pen  Treaty'!E11+'Senior American'!E11</f>
        <v>0</v>
      </c>
      <c r="F11" s="30">
        <f>+'American Network'!F11+'Executive Life'!F11+'Life Health America'!F11+'Lincoln Memorial'!F11+'National States'!F11+'Pen  Treaty'!F11+'Senior American'!F11</f>
        <v>0</v>
      </c>
      <c r="G11" s="30">
        <f t="shared" si="0"/>
        <v>64817896.596597634</v>
      </c>
      <c r="H11" s="30"/>
      <c r="I11" s="30" t="s">
        <v>210</v>
      </c>
      <c r="J11" s="30">
        <f>Summary!TOTAL_63282</f>
        <v>2451190119.3384461</v>
      </c>
    </row>
    <row r="12" spans="1:10">
      <c r="A12" s="1" t="s">
        <v>19</v>
      </c>
      <c r="B12" s="30">
        <f>+'American Network'!B12+'Executive Life'!B12+'Life Health America'!B12+'Lincoln Memorial'!B12+'National States'!B12+'Pen  Treaty'!B12+'Senior American'!B12</f>
        <v>76156.960251693206</v>
      </c>
      <c r="C12" s="30">
        <f>+'American Network'!C12+'Executive Life'!C12+'Life Health America'!C12+'Lincoln Memorial'!C12+'National States'!C12+'Pen  Treaty'!C12+'Senior American'!C12</f>
        <v>4144.6577939994195</v>
      </c>
      <c r="D12" s="30">
        <f>+'American Network'!D12+'Executive Life'!D12+'Life Health America'!D12+'Lincoln Memorial'!D12+'National States'!D12+'Pen  Treaty'!D12+'Senior American'!D12</f>
        <v>27084491.59257821</v>
      </c>
      <c r="E12" s="30">
        <f>+'American Network'!E12+'Executive Life'!E12+'Life Health America'!E12+'Lincoln Memorial'!E12+'National States'!E12+'Pen  Treaty'!E12+'Senior American'!E12</f>
        <v>0</v>
      </c>
      <c r="F12" s="30">
        <f>+'American Network'!F12+'Executive Life'!F12+'Life Health America'!F12+'Lincoln Memorial'!F12+'National States'!F12+'Pen  Treaty'!F12+'Senior American'!F12</f>
        <v>0</v>
      </c>
      <c r="G12" s="30">
        <f t="shared" si="0"/>
        <v>27164793.210623901</v>
      </c>
      <c r="H12" s="30"/>
      <c r="I12" s="30" t="s">
        <v>212</v>
      </c>
      <c r="J12" s="30">
        <f>Summary!TOTAL_76759</f>
        <v>31076544.805616215</v>
      </c>
    </row>
    <row r="13" spans="1:10">
      <c r="A13" s="1" t="s">
        <v>21</v>
      </c>
      <c r="B13" s="30">
        <f>+'American Network'!B13+'Executive Life'!B13+'Life Health America'!B13+'Lincoln Memorial'!B13+'National States'!B13+'Pen  Treaty'!B13+'Senior American'!B13</f>
        <v>3977873.6166712651</v>
      </c>
      <c r="C13" s="30">
        <f>+'American Network'!C13+'Executive Life'!C13+'Life Health America'!C13+'Lincoln Memorial'!C13+'National States'!C13+'Pen  Treaty'!C13+'Senior American'!C13</f>
        <v>4014853.5576610104</v>
      </c>
      <c r="D13" s="30">
        <f>+'American Network'!D13+'Executive Life'!D13+'Life Health America'!D13+'Lincoln Memorial'!D13+'National States'!D13+'Pen  Treaty'!D13+'Senior American'!D13</f>
        <v>3649883.3399298545</v>
      </c>
      <c r="E13" s="30">
        <f>+'American Network'!E13+'Executive Life'!E13+'Life Health America'!E13+'Lincoln Memorial'!E13+'National States'!E13+'Pen  Treaty'!E13+'Senior American'!E13</f>
        <v>102169.73551819933</v>
      </c>
      <c r="F13" s="30">
        <f>+'American Network'!F13+'Executive Life'!F13+'Life Health America'!F13+'Lincoln Memorial'!F13+'National States'!F13+'Pen  Treaty'!F13+'Senior American'!F13</f>
        <v>0</v>
      </c>
      <c r="G13" s="30">
        <f t="shared" si="0"/>
        <v>11744780.249780329</v>
      </c>
      <c r="H13" s="30"/>
      <c r="I13" s="30"/>
      <c r="J13" s="30"/>
    </row>
    <row r="14" spans="1:10">
      <c r="A14" s="1" t="s">
        <v>23</v>
      </c>
      <c r="B14" s="30">
        <f>+'American Network'!B14+'Executive Life'!B14+'Life Health America'!B14+'Lincoln Memorial'!B14+'National States'!B14+'Pen  Treaty'!B14+'Senior American'!B14</f>
        <v>4398.0660707816078</v>
      </c>
      <c r="C14" s="30">
        <f>+'American Network'!C14+'Executive Life'!C14+'Life Health America'!C14+'Lincoln Memorial'!C14+'National States'!C14+'Pen  Treaty'!C14+'Senior American'!C14</f>
        <v>0</v>
      </c>
      <c r="D14" s="30">
        <f>+'American Network'!D14+'Executive Life'!D14+'Life Health America'!D14+'Lincoln Memorial'!D14+'National States'!D14+'Pen  Treaty'!D14+'Senior American'!D14</f>
        <v>1579161.6940485358</v>
      </c>
      <c r="E14" s="30">
        <f>+'American Network'!E14+'Executive Life'!E14+'Life Health America'!E14+'Lincoln Memorial'!E14+'National States'!E14+'Pen  Treaty'!E14+'Senior American'!E14</f>
        <v>0</v>
      </c>
      <c r="F14" s="30">
        <f>+'American Network'!F14+'Executive Life'!F14+'Life Health America'!F14+'Lincoln Memorial'!F14+'National States'!F14+'Pen  Treaty'!F14+'Senior American'!F14</f>
        <v>0</v>
      </c>
      <c r="G14" s="30">
        <f t="shared" si="0"/>
        <v>1583559.7601193173</v>
      </c>
      <c r="H14" s="30"/>
      <c r="I14" s="30" t="s">
        <v>8</v>
      </c>
      <c r="J14" s="30">
        <f>SUM(REC_TOTAL)</f>
        <v>6030290195.8644638</v>
      </c>
    </row>
    <row r="15" spans="1:10">
      <c r="A15" s="1" t="s">
        <v>25</v>
      </c>
      <c r="B15" s="30">
        <f>+'American Network'!B15+'Executive Life'!B15+'Life Health America'!B15+'Lincoln Memorial'!B15+'National States'!B15+'Pen  Treaty'!B15+'Senior American'!B15</f>
        <v>96439745.927433044</v>
      </c>
      <c r="C15" s="30">
        <f>+'American Network'!C15+'Executive Life'!C15+'Life Health America'!C15+'Lincoln Memorial'!C15+'National States'!C15+'Pen  Treaty'!C15+'Senior American'!C15</f>
        <v>103097553.4076343</v>
      </c>
      <c r="D15" s="30">
        <f>+'American Network'!D15+'Executive Life'!D15+'Life Health America'!D15+'Lincoln Memorial'!D15+'National States'!D15+'Pen  Treaty'!D15+'Senior American'!D15</f>
        <v>425132729.2264179</v>
      </c>
      <c r="E15" s="30">
        <f>+'American Network'!E15+'Executive Life'!E15+'Life Health America'!E15+'Lincoln Memorial'!E15+'National States'!E15+'Pen  Treaty'!E15+'Senior American'!E15</f>
        <v>0</v>
      </c>
      <c r="F15" s="30">
        <f>+'American Network'!F15+'Executive Life'!F15+'Life Health America'!F15+'Lincoln Memorial'!F15+'National States'!F15+'Pen  Treaty'!F15+'Senior American'!F15</f>
        <v>3381030.6127293976</v>
      </c>
      <c r="G15" s="30">
        <f t="shared" si="0"/>
        <v>628051059.17421472</v>
      </c>
      <c r="H15" s="30"/>
      <c r="I15" s="30" t="s">
        <v>617</v>
      </c>
      <c r="J15" s="30">
        <f>SUM(TOTAL)</f>
        <v>6030290195.8644619</v>
      </c>
    </row>
    <row r="16" spans="1:10">
      <c r="A16" s="1" t="s">
        <v>27</v>
      </c>
      <c r="B16" s="30">
        <f>+'American Network'!B16+'Executive Life'!B16+'Life Health America'!B16+'Lincoln Memorial'!B16+'National States'!B16+'Pen  Treaty'!B16+'Senior American'!B16</f>
        <v>27061399.873255216</v>
      </c>
      <c r="C16" s="30">
        <f>+'American Network'!C16+'Executive Life'!C16+'Life Health America'!C16+'Lincoln Memorial'!C16+'National States'!C16+'Pen  Treaty'!C16+'Senior American'!C16</f>
        <v>23579195.550193284</v>
      </c>
      <c r="D16" s="30">
        <f>+'American Network'!D16+'Executive Life'!D16+'Life Health America'!D16+'Lincoln Memorial'!D16+'National States'!D16+'Pen  Treaty'!D16+'Senior American'!D16</f>
        <v>86109274.100407317</v>
      </c>
      <c r="E16" s="30">
        <f>+'American Network'!E16+'Executive Life'!E16+'Life Health America'!E16+'Lincoln Memorial'!E16+'National States'!E16+'Pen  Treaty'!E16+'Senior American'!E16</f>
        <v>2292969.4430552414</v>
      </c>
      <c r="F16" s="30">
        <f>+'American Network'!F16+'Executive Life'!F16+'Life Health America'!F16+'Lincoln Memorial'!F16+'National States'!F16+'Pen  Treaty'!F16+'Senior American'!F16</f>
        <v>0</v>
      </c>
      <c r="G16" s="30">
        <f t="shared" si="0"/>
        <v>139042838.96691105</v>
      </c>
      <c r="H16" s="30"/>
      <c r="I16" s="30"/>
      <c r="J16" s="30">
        <f>SUM(TOTAL)-SUM(REC_TOTAL)</f>
        <v>0</v>
      </c>
    </row>
    <row r="17" spans="1:10">
      <c r="A17" s="1" t="s">
        <v>29</v>
      </c>
      <c r="B17" s="30">
        <f>+'American Network'!B17+'Executive Life'!B17+'Life Health America'!B17+'Lincoln Memorial'!B17+'National States'!B17+'Pen  Treaty'!B17+'Senior American'!B17</f>
        <v>25847190.522749588</v>
      </c>
      <c r="C17" s="30">
        <f>+'American Network'!C17+'Executive Life'!C17+'Life Health America'!C17+'Lincoln Memorial'!C17+'National States'!C17+'Pen  Treaty'!C17+'Senior American'!C17</f>
        <v>16529680.291075416</v>
      </c>
      <c r="D17" s="30">
        <f>+'American Network'!D17+'Executive Life'!D17+'Life Health America'!D17+'Lincoln Memorial'!D17+'National States'!D17+'Pen  Treaty'!D17+'Senior American'!D17</f>
        <v>9569668.7262374926</v>
      </c>
      <c r="E17" s="30">
        <f>+'American Network'!E17+'Executive Life'!E17+'Life Health America'!E17+'Lincoln Memorial'!E17+'National States'!E17+'Pen  Treaty'!E17+'Senior American'!E17</f>
        <v>0</v>
      </c>
      <c r="F17" s="30">
        <f>+'American Network'!F17+'Executive Life'!F17+'Life Health America'!F17+'Lincoln Memorial'!F17+'National States'!F17+'Pen  Treaty'!F17+'Senior American'!F17</f>
        <v>0</v>
      </c>
      <c r="G17" s="30">
        <f t="shared" si="0"/>
        <v>51946539.540062495</v>
      </c>
      <c r="H17" s="30"/>
      <c r="I17" s="30"/>
      <c r="J17" s="30"/>
    </row>
    <row r="18" spans="1:10">
      <c r="A18" s="1" t="s">
        <v>30</v>
      </c>
      <c r="B18" s="30">
        <f>+'American Network'!B18+'Executive Life'!B18+'Life Health America'!B18+'Lincoln Memorial'!B18+'National States'!B18+'Pen  Treaty'!B18+'Senior American'!B18</f>
        <v>7808102.7061245628</v>
      </c>
      <c r="C18" s="30">
        <f>+'American Network'!C18+'Executive Life'!C18+'Life Health America'!C18+'Lincoln Memorial'!C18+'National States'!C18+'Pen  Treaty'!C18+'Senior American'!C18</f>
        <v>8027600.5821463726</v>
      </c>
      <c r="D18" s="30">
        <f>+'American Network'!D18+'Executive Life'!D18+'Life Health America'!D18+'Lincoln Memorial'!D18+'National States'!D18+'Pen  Treaty'!D18+'Senior American'!D18</f>
        <v>8488133.8296417724</v>
      </c>
      <c r="E18" s="30">
        <f>+'American Network'!E18+'Executive Life'!E18+'Life Health America'!E18+'Lincoln Memorial'!E18+'National States'!E18+'Pen  Treaty'!E18+'Senior American'!E18</f>
        <v>0</v>
      </c>
      <c r="F18" s="30">
        <f>+'American Network'!F18+'Executive Life'!F18+'Life Health America'!F18+'Lincoln Memorial'!F18+'National States'!F18+'Pen  Treaty'!F18+'Senior American'!F18</f>
        <v>0</v>
      </c>
      <c r="G18" s="30">
        <f t="shared" si="0"/>
        <v>24323837.11791271</v>
      </c>
      <c r="H18" s="30"/>
      <c r="I18" s="30"/>
      <c r="J18" s="30"/>
    </row>
    <row r="19" spans="1:10">
      <c r="A19" s="1" t="s">
        <v>32</v>
      </c>
      <c r="B19" s="30">
        <f>+'American Network'!B19+'Executive Life'!B19+'Life Health America'!B19+'Lincoln Memorial'!B19+'National States'!B19+'Pen  Treaty'!B19+'Senior American'!B19</f>
        <v>105907670.51437187</v>
      </c>
      <c r="C19" s="30">
        <f>+'American Network'!C19+'Executive Life'!C19+'Life Health America'!C19+'Lincoln Memorial'!C19+'National States'!C19+'Pen  Treaty'!C19+'Senior American'!C19</f>
        <v>103031674.29946616</v>
      </c>
      <c r="D19" s="30">
        <f>+'American Network'!D19+'Executive Life'!D19+'Life Health America'!D19+'Lincoln Memorial'!D19+'National States'!D19+'Pen  Treaty'!D19+'Senior American'!D19</f>
        <v>101618311.31230034</v>
      </c>
      <c r="E19" s="30">
        <f>+'American Network'!E19+'Executive Life'!E19+'Life Health America'!E19+'Lincoln Memorial'!E19+'National States'!E19+'Pen  Treaty'!E19+'Senior American'!E19</f>
        <v>6444516.8561917664</v>
      </c>
      <c r="F19" s="30">
        <f>+'American Network'!F19+'Executive Life'!F19+'Life Health America'!F19+'Lincoln Memorial'!F19+'National States'!F19+'Pen  Treaty'!F19+'Senior American'!F19</f>
        <v>0</v>
      </c>
      <c r="G19" s="30">
        <f t="shared" si="0"/>
        <v>317002172.98233014</v>
      </c>
      <c r="H19" s="30"/>
      <c r="I19" s="30"/>
      <c r="J19" s="30"/>
    </row>
    <row r="20" spans="1:10">
      <c r="A20" s="1" t="s">
        <v>34</v>
      </c>
      <c r="B20" s="30">
        <f>+'American Network'!B20+'Executive Life'!B20+'Life Health America'!B20+'Lincoln Memorial'!B20+'National States'!B20+'Pen  Treaty'!B20+'Senior American'!B20</f>
        <v>22900118.131755095</v>
      </c>
      <c r="C20" s="30">
        <f>+'American Network'!C20+'Executive Life'!C20+'Life Health America'!C20+'Lincoln Memorial'!C20+'National States'!C20+'Pen  Treaty'!C20+'Senior American'!C20</f>
        <v>26560133.49573487</v>
      </c>
      <c r="D20" s="30">
        <f>+'American Network'!D20+'Executive Life'!D20+'Life Health America'!D20+'Lincoln Memorial'!D20+'National States'!D20+'Pen  Treaty'!D20+'Senior American'!D20</f>
        <v>29553373.396895528</v>
      </c>
      <c r="E20" s="30">
        <f>+'American Network'!E20+'Executive Life'!E20+'Life Health America'!E20+'Lincoln Memorial'!E20+'National States'!E20+'Pen  Treaty'!E20+'Senior American'!E20</f>
        <v>13215.421492595508</v>
      </c>
      <c r="F20" s="30">
        <f>+'American Network'!F20+'Executive Life'!F20+'Life Health America'!F20+'Lincoln Memorial'!F20+'National States'!F20+'Pen  Treaty'!F20+'Senior American'!F20</f>
        <v>0</v>
      </c>
      <c r="G20" s="30">
        <f t="shared" si="0"/>
        <v>79026840.445878088</v>
      </c>
      <c r="H20" s="30"/>
      <c r="I20" s="30"/>
      <c r="J20" s="30"/>
    </row>
    <row r="21" spans="1:10">
      <c r="A21" s="1" t="s">
        <v>36</v>
      </c>
      <c r="B21" s="30">
        <f>+'American Network'!B21+'Executive Life'!B21+'Life Health America'!B21+'Lincoln Memorial'!B21+'National States'!B21+'Pen  Treaty'!B21+'Senior American'!B21</f>
        <v>28394698.897022583</v>
      </c>
      <c r="C21" s="30">
        <f>+'American Network'!C21+'Executive Life'!C21+'Life Health America'!C21+'Lincoln Memorial'!C21+'National States'!C21+'Pen  Treaty'!C21+'Senior American'!C21</f>
        <v>20876363.861649819</v>
      </c>
      <c r="D21" s="30">
        <f>+'American Network'!D21+'Executive Life'!D21+'Life Health America'!D21+'Lincoln Memorial'!D21+'National States'!D21+'Pen  Treaty'!D21+'Senior American'!D21</f>
        <v>89133745.631515041</v>
      </c>
      <c r="E21" s="30">
        <f>+'American Network'!E21+'Executive Life'!E21+'Life Health America'!E21+'Lincoln Memorial'!E21+'National States'!E21+'Pen  Treaty'!E21+'Senior American'!E21</f>
        <v>40302.003868075051</v>
      </c>
      <c r="F21" s="30">
        <f>+'American Network'!F21+'Executive Life'!F21+'Life Health America'!F21+'Lincoln Memorial'!F21+'National States'!F21+'Pen  Treaty'!F21+'Senior American'!F21</f>
        <v>0</v>
      </c>
      <c r="G21" s="30">
        <f t="shared" si="0"/>
        <v>138445110.39405552</v>
      </c>
      <c r="H21" s="30"/>
      <c r="I21" s="30"/>
      <c r="J21" s="30"/>
    </row>
    <row r="22" spans="1:10">
      <c r="A22" s="1" t="s">
        <v>38</v>
      </c>
      <c r="B22" s="30">
        <f>+'American Network'!B22+'Executive Life'!B22+'Life Health America'!B22+'Lincoln Memorial'!B22+'National States'!B22+'Pen  Treaty'!B22+'Senior American'!B22</f>
        <v>36983899.381744042</v>
      </c>
      <c r="C22" s="30">
        <f>+'American Network'!C22+'Executive Life'!C22+'Life Health America'!C22+'Lincoln Memorial'!C22+'National States'!C22+'Pen  Treaty'!C22+'Senior American'!C22</f>
        <v>10409406.687752549</v>
      </c>
      <c r="D22" s="30">
        <f>+'American Network'!D22+'Executive Life'!D22+'Life Health America'!D22+'Lincoln Memorial'!D22+'National States'!D22+'Pen  Treaty'!D22+'Senior American'!D22</f>
        <v>12363351.849821147</v>
      </c>
      <c r="E22" s="30">
        <f>+'American Network'!E22+'Executive Life'!E22+'Life Health America'!E22+'Lincoln Memorial'!E22+'National States'!E22+'Pen  Treaty'!E22+'Senior American'!E22</f>
        <v>0</v>
      </c>
      <c r="F22" s="30">
        <f>+'American Network'!F22+'Executive Life'!F22+'Life Health America'!F22+'Lincoln Memorial'!F22+'National States'!F22+'Pen  Treaty'!F22+'Senior American'!F22</f>
        <v>0</v>
      </c>
      <c r="G22" s="30">
        <f t="shared" si="0"/>
        <v>59756657.919317737</v>
      </c>
      <c r="H22" s="30"/>
      <c r="I22" s="30"/>
      <c r="J22" s="30"/>
    </row>
    <row r="23" spans="1:10">
      <c r="A23" s="1" t="s">
        <v>40</v>
      </c>
      <c r="B23" s="30">
        <f>+'American Network'!B23+'Executive Life'!B23+'Life Health America'!B23+'Lincoln Memorial'!B23+'National States'!B23+'Pen  Treaty'!B23+'Senior American'!B23</f>
        <v>19380998.368876006</v>
      </c>
      <c r="C23" s="30">
        <f>+'American Network'!C23+'Executive Life'!C23+'Life Health America'!C23+'Lincoln Memorial'!C23+'National States'!C23+'Pen  Treaty'!C23+'Senior American'!C23</f>
        <v>22043440.052460395</v>
      </c>
      <c r="D23" s="30">
        <f>+'American Network'!D23+'Executive Life'!D23+'Life Health America'!D23+'Lincoln Memorial'!D23+'National States'!D23+'Pen  Treaty'!D23+'Senior American'!D23</f>
        <v>44579695.574695021</v>
      </c>
      <c r="E23" s="30">
        <f>+'American Network'!E23+'Executive Life'!E23+'Life Health America'!E23+'Lincoln Memorial'!E23+'National States'!E23+'Pen  Treaty'!E23+'Senior American'!E23</f>
        <v>0</v>
      </c>
      <c r="F23" s="30">
        <f>+'American Network'!F23+'Executive Life'!F23+'Life Health America'!F23+'Lincoln Memorial'!F23+'National States'!F23+'Pen  Treaty'!F23+'Senior American'!F23</f>
        <v>0</v>
      </c>
      <c r="G23" s="30">
        <f t="shared" si="0"/>
        <v>86004133.996031418</v>
      </c>
      <c r="H23" s="30"/>
      <c r="I23" s="30"/>
      <c r="J23" s="30"/>
    </row>
    <row r="24" spans="1:10">
      <c r="A24" s="1" t="s">
        <v>42</v>
      </c>
      <c r="B24" s="30">
        <f>+'American Network'!B24+'Executive Life'!B24+'Life Health America'!B24+'Lincoln Memorial'!B24+'National States'!B24+'Pen  Treaty'!B24+'Senior American'!B24</f>
        <v>2029859.0316134586</v>
      </c>
      <c r="C24" s="30">
        <f>+'American Network'!C24+'Executive Life'!C24+'Life Health America'!C24+'Lincoln Memorial'!C24+'National States'!C24+'Pen  Treaty'!C24+'Senior American'!C24</f>
        <v>0</v>
      </c>
      <c r="D24" s="30">
        <f>+'American Network'!D24+'Executive Life'!D24+'Life Health America'!D24+'Lincoln Memorial'!D24+'National States'!D24+'Pen  Treaty'!D24+'Senior American'!D24</f>
        <v>11685788.960734166</v>
      </c>
      <c r="E24" s="30">
        <f>+'American Network'!E24+'Executive Life'!E24+'Life Health America'!E24+'Lincoln Memorial'!E24+'National States'!E24+'Pen  Treaty'!E24+'Senior American'!E24</f>
        <v>0</v>
      </c>
      <c r="F24" s="30">
        <f>+'American Network'!F24+'Executive Life'!F24+'Life Health America'!F24+'Lincoln Memorial'!F24+'National States'!F24+'Pen  Treaty'!F24+'Senior American'!F24</f>
        <v>12100401.849775102</v>
      </c>
      <c r="G24" s="30">
        <f t="shared" si="0"/>
        <v>25816049.842122726</v>
      </c>
      <c r="H24" s="30"/>
      <c r="I24" s="30"/>
      <c r="J24" s="30"/>
    </row>
    <row r="25" spans="1:10">
      <c r="A25" s="1" t="s">
        <v>44</v>
      </c>
      <c r="B25" s="30">
        <f>+'American Network'!B25+'Executive Life'!B25+'Life Health America'!B25+'Lincoln Memorial'!B25+'National States'!B25+'Pen  Treaty'!B25+'Senior American'!B25</f>
        <v>11204.920478839638</v>
      </c>
      <c r="C25" s="30">
        <f>+'American Network'!C25+'Executive Life'!C25+'Life Health America'!C25+'Lincoln Memorial'!C25+'National States'!C25+'Pen  Treaty'!C25+'Senior American'!C25</f>
        <v>0</v>
      </c>
      <c r="D25" s="30">
        <f>+'American Network'!D25+'Executive Life'!D25+'Life Health America'!D25+'Lincoln Memorial'!D25+'National States'!D25+'Pen  Treaty'!D25+'Senior American'!D25</f>
        <v>671407.11298962333</v>
      </c>
      <c r="E25" s="30">
        <f>+'American Network'!E25+'Executive Life'!E25+'Life Health America'!E25+'Lincoln Memorial'!E25+'National States'!E25+'Pen  Treaty'!E25+'Senior American'!E25</f>
        <v>0</v>
      </c>
      <c r="F25" s="30">
        <f>+'American Network'!F25+'Executive Life'!F25+'Life Health America'!F25+'Lincoln Memorial'!F25+'National States'!F25+'Pen  Treaty'!F25+'Senior American'!F25</f>
        <v>0</v>
      </c>
      <c r="G25" s="30">
        <f t="shared" si="0"/>
        <v>682612.03346846299</v>
      </c>
      <c r="H25" s="30"/>
      <c r="I25" s="30"/>
      <c r="J25" s="30"/>
    </row>
    <row r="26" spans="1:10">
      <c r="A26" s="1" t="s">
        <v>45</v>
      </c>
      <c r="B26" s="30">
        <f>+'American Network'!B26+'Executive Life'!B26+'Life Health America'!B26+'Lincoln Memorial'!B26+'National States'!B26+'Pen  Treaty'!B26+'Senior American'!B26</f>
        <v>17945566.767857589</v>
      </c>
      <c r="C26" s="30">
        <f>+'American Network'!C26+'Executive Life'!C26+'Life Health America'!C26+'Lincoln Memorial'!C26+'National States'!C26+'Pen  Treaty'!C26+'Senior American'!C26</f>
        <v>20105564.656242289</v>
      </c>
      <c r="D26" s="30">
        <f>+'American Network'!D26+'Executive Life'!D26+'Life Health America'!D26+'Lincoln Memorial'!D26+'National States'!D26+'Pen  Treaty'!D26+'Senior American'!D26</f>
        <v>33443570.349307798</v>
      </c>
      <c r="E26" s="30">
        <f>+'American Network'!E26+'Executive Life'!E26+'Life Health America'!E26+'Lincoln Memorial'!E26+'National States'!E26+'Pen  Treaty'!E26+'Senior American'!E26</f>
        <v>5662914.0970862703</v>
      </c>
      <c r="F26" s="30">
        <f>+'American Network'!F26+'Executive Life'!F26+'Life Health America'!F26+'Lincoln Memorial'!F26+'National States'!F26+'Pen  Treaty'!F26+'Senior American'!F26</f>
        <v>0</v>
      </c>
      <c r="G26" s="30">
        <f t="shared" si="0"/>
        <v>77157615.870493934</v>
      </c>
      <c r="H26" s="30"/>
      <c r="I26" s="30"/>
      <c r="J26" s="30"/>
    </row>
    <row r="27" spans="1:10">
      <c r="A27" s="1" t="s">
        <v>47</v>
      </c>
      <c r="B27" s="30">
        <f>+'American Network'!B27+'Executive Life'!B27+'Life Health America'!B27+'Lincoln Memorial'!B27+'National States'!B27+'Pen  Treaty'!B27+'Senior American'!B27</f>
        <v>40525076.658712797</v>
      </c>
      <c r="C27" s="30">
        <f>+'American Network'!C27+'Executive Life'!C27+'Life Health America'!C27+'Lincoln Memorial'!C27+'National States'!C27+'Pen  Treaty'!C27+'Senior American'!C27</f>
        <v>41612223.252706192</v>
      </c>
      <c r="D27" s="30">
        <f>+'American Network'!D27+'Executive Life'!D27+'Life Health America'!D27+'Lincoln Memorial'!D27+'National States'!D27+'Pen  Treaty'!D27+'Senior American'!D27</f>
        <v>2289366.7173534115</v>
      </c>
      <c r="E27" s="30">
        <f>+'American Network'!E27+'Executive Life'!E27+'Life Health America'!E27+'Lincoln Memorial'!E27+'National States'!E27+'Pen  Treaty'!E27+'Senior American'!E27</f>
        <v>0</v>
      </c>
      <c r="F27" s="30">
        <f>+'American Network'!F27+'Executive Life'!F27+'Life Health America'!F27+'Lincoln Memorial'!F27+'National States'!F27+'Pen  Treaty'!F27+'Senior American'!F27</f>
        <v>0</v>
      </c>
      <c r="G27" s="30">
        <f t="shared" si="0"/>
        <v>84426666.628772408</v>
      </c>
      <c r="H27" s="30"/>
      <c r="I27" s="30"/>
      <c r="J27" s="30"/>
    </row>
    <row r="28" spans="1:10">
      <c r="A28" s="1" t="s">
        <v>49</v>
      </c>
      <c r="B28" s="30">
        <f>+'American Network'!B28+'Executive Life'!B28+'Life Health America'!B28+'Lincoln Memorial'!B28+'National States'!B28+'Pen  Treaty'!B28+'Senior American'!B28</f>
        <v>292811.1851922886</v>
      </c>
      <c r="C28" s="30">
        <f>+'American Network'!C28+'Executive Life'!C28+'Life Health America'!C28+'Lincoln Memorial'!C28+'National States'!C28+'Pen  Treaty'!C28+'Senior American'!C28</f>
        <v>0</v>
      </c>
      <c r="D28" s="30">
        <f>+'American Network'!D28+'Executive Life'!D28+'Life Health America'!D28+'Lincoln Memorial'!D28+'National States'!D28+'Pen  Treaty'!D28+'Senior American'!D28</f>
        <v>33749670.990926065</v>
      </c>
      <c r="E28" s="30">
        <f>+'American Network'!E28+'Executive Life'!E28+'Life Health America'!E28+'Lincoln Memorial'!E28+'National States'!E28+'Pen  Treaty'!E28+'Senior American'!E28</f>
        <v>-57685.686951744923</v>
      </c>
      <c r="F28" s="30">
        <f>+'American Network'!F28+'Executive Life'!F28+'Life Health America'!F28+'Lincoln Memorial'!F28+'National States'!F28+'Pen  Treaty'!F28+'Senior American'!F28</f>
        <v>0</v>
      </c>
      <c r="G28" s="30">
        <f t="shared" si="0"/>
        <v>33984796.48916661</v>
      </c>
      <c r="H28" s="30"/>
      <c r="I28" s="30"/>
      <c r="J28" s="30"/>
    </row>
    <row r="29" spans="1:10">
      <c r="A29" s="1" t="s">
        <v>50</v>
      </c>
      <c r="B29" s="30">
        <f>+'American Network'!B29+'Executive Life'!B29+'Life Health America'!B29+'Lincoln Memorial'!B29+'National States'!B29+'Pen  Treaty'!B29+'Senior American'!B29</f>
        <v>14211462.10181012</v>
      </c>
      <c r="C29" s="30">
        <f>+'American Network'!C29+'Executive Life'!C29+'Life Health America'!C29+'Lincoln Memorial'!C29+'National States'!C29+'Pen  Treaty'!C29+'Senior American'!C29</f>
        <v>34213333.859786056</v>
      </c>
      <c r="D29" s="30">
        <f>+'American Network'!D29+'Executive Life'!D29+'Life Health America'!D29+'Lincoln Memorial'!D29+'National States'!D29+'Pen  Treaty'!D29+'Senior American'!D29</f>
        <v>4433839.7858248334</v>
      </c>
      <c r="E29" s="30">
        <f>+'American Network'!E29+'Executive Life'!E29+'Life Health America'!E29+'Lincoln Memorial'!E29+'National States'!E29+'Pen  Treaty'!E29+'Senior American'!E29</f>
        <v>10447.329528050939</v>
      </c>
      <c r="F29" s="30">
        <f>+'American Network'!F29+'Executive Life'!F29+'Life Health America'!F29+'Lincoln Memorial'!F29+'National States'!F29+'Pen  Treaty'!F29+'Senior American'!F29</f>
        <v>0</v>
      </c>
      <c r="G29" s="30">
        <f t="shared" si="0"/>
        <v>52869083.07694906</v>
      </c>
      <c r="H29" s="30"/>
      <c r="I29" s="30"/>
      <c r="J29" s="30"/>
    </row>
    <row r="30" spans="1:10">
      <c r="A30" s="1" t="s">
        <v>51</v>
      </c>
      <c r="B30" s="30">
        <f>+'American Network'!B30+'Executive Life'!B30+'Life Health America'!B30+'Lincoln Memorial'!B30+'National States'!B30+'Pen  Treaty'!B30+'Senior American'!B30</f>
        <v>18581045.408973679</v>
      </c>
      <c r="C30" s="30">
        <f>+'American Network'!C30+'Executive Life'!C30+'Life Health America'!C30+'Lincoln Memorial'!C30+'National States'!C30+'Pen  Treaty'!C30+'Senior American'!C30</f>
        <v>5516124.7793436786</v>
      </c>
      <c r="D30" s="30">
        <f>+'American Network'!D30+'Executive Life'!D30+'Life Health America'!D30+'Lincoln Memorial'!D30+'National States'!D30+'Pen  Treaty'!D30+'Senior American'!D30</f>
        <v>24280687.184734233</v>
      </c>
      <c r="E30" s="30">
        <f>+'American Network'!E30+'Executive Life'!E30+'Life Health America'!E30+'Lincoln Memorial'!E30+'National States'!E30+'Pen  Treaty'!E30+'Senior American'!E30</f>
        <v>94512.209497302931</v>
      </c>
      <c r="F30" s="30">
        <f>+'American Network'!F30+'Executive Life'!F30+'Life Health America'!F30+'Lincoln Memorial'!F30+'National States'!F30+'Pen  Treaty'!F30+'Senior American'!F30</f>
        <v>0</v>
      </c>
      <c r="G30" s="30">
        <f t="shared" si="0"/>
        <v>48472369.582548894</v>
      </c>
      <c r="H30" s="30"/>
      <c r="I30" s="30"/>
      <c r="J30" s="30"/>
    </row>
    <row r="31" spans="1:10">
      <c r="A31" s="1" t="s">
        <v>52</v>
      </c>
      <c r="B31" s="30">
        <f>+'American Network'!B31+'Executive Life'!B31+'Life Health America'!B31+'Lincoln Memorial'!B31+'National States'!B31+'Pen  Treaty'!B31+'Senior American'!B31</f>
        <v>147539003.55214956</v>
      </c>
      <c r="C31" s="30">
        <f>+'American Network'!C31+'Executive Life'!C31+'Life Health America'!C31+'Lincoln Memorial'!C31+'National States'!C31+'Pen  Treaty'!C31+'Senior American'!C31</f>
        <v>25155022.830359127</v>
      </c>
      <c r="D31" s="30">
        <f>+'American Network'!D31+'Executive Life'!D31+'Life Health America'!D31+'Lincoln Memorial'!D31+'National States'!D31+'Pen  Treaty'!D31+'Senior American'!D31</f>
        <v>21788975.611690223</v>
      </c>
      <c r="E31" s="30">
        <f>+'American Network'!E31+'Executive Life'!E31+'Life Health America'!E31+'Lincoln Memorial'!E31+'National States'!E31+'Pen  Treaty'!E31+'Senior American'!E31</f>
        <v>0</v>
      </c>
      <c r="F31" s="30">
        <f>+'American Network'!F31+'Executive Life'!F31+'Life Health America'!F31+'Lincoln Memorial'!F31+'National States'!F31+'Pen  Treaty'!F31+'Senior American'!F31</f>
        <v>0</v>
      </c>
      <c r="G31" s="30">
        <f t="shared" si="0"/>
        <v>194483001.99419892</v>
      </c>
      <c r="H31" s="30"/>
      <c r="I31" s="30"/>
      <c r="J31" s="30"/>
    </row>
    <row r="32" spans="1:10">
      <c r="A32" s="1" t="s">
        <v>53</v>
      </c>
      <c r="B32" s="30">
        <f>+'American Network'!B32+'Executive Life'!B32+'Life Health America'!B32+'Lincoln Memorial'!B32+'National States'!B32+'Pen  Treaty'!B32+'Senior American'!B32</f>
        <v>3747670.4578556102</v>
      </c>
      <c r="C32" s="30">
        <f>+'American Network'!C32+'Executive Life'!C32+'Life Health America'!C32+'Lincoln Memorial'!C32+'National States'!C32+'Pen  Treaty'!C32+'Senior American'!C32</f>
        <v>3583005.9297069954</v>
      </c>
      <c r="D32" s="30">
        <f>+'American Network'!D32+'Executive Life'!D32+'Life Health America'!D32+'Lincoln Memorial'!D32+'National States'!D32+'Pen  Treaty'!D32+'Senior American'!D32</f>
        <v>5295900.6982697006</v>
      </c>
      <c r="E32" s="30">
        <f>+'American Network'!E32+'Executive Life'!E32+'Life Health America'!E32+'Lincoln Memorial'!E32+'National States'!E32+'Pen  Treaty'!E32+'Senior American'!E32</f>
        <v>0</v>
      </c>
      <c r="F32" s="30">
        <f>+'American Network'!F32+'Executive Life'!F32+'Life Health America'!F32+'Lincoln Memorial'!F32+'National States'!F32+'Pen  Treaty'!F32+'Senior American'!F32</f>
        <v>0</v>
      </c>
      <c r="G32" s="30">
        <f t="shared" si="0"/>
        <v>12626577.085832305</v>
      </c>
      <c r="H32" s="30"/>
      <c r="I32" s="30"/>
      <c r="J32" s="30"/>
    </row>
    <row r="33" spans="1:10">
      <c r="A33" s="1" t="s">
        <v>54</v>
      </c>
      <c r="B33" s="30">
        <f>+'American Network'!B33+'Executive Life'!B33+'Life Health America'!B33+'Lincoln Memorial'!B33+'National States'!B33+'Pen  Treaty'!B33+'Senior American'!B33</f>
        <v>12934204.506769532</v>
      </c>
      <c r="C33" s="30">
        <f>+'American Network'!C33+'Executive Life'!C33+'Life Health America'!C33+'Lincoln Memorial'!C33+'National States'!C33+'Pen  Treaty'!C33+'Senior American'!C33</f>
        <v>6656144.3393677482</v>
      </c>
      <c r="D33" s="30">
        <f>+'American Network'!D33+'Executive Life'!D33+'Life Health America'!D33+'Lincoln Memorial'!D33+'National States'!D33+'Pen  Treaty'!D33+'Senior American'!D33</f>
        <v>26367680.559314933</v>
      </c>
      <c r="E33" s="30">
        <f>+'American Network'!E33+'Executive Life'!E33+'Life Health America'!E33+'Lincoln Memorial'!E33+'National States'!E33+'Pen  Treaty'!E33+'Senior American'!E33</f>
        <v>0</v>
      </c>
      <c r="F33" s="30">
        <f>+'American Network'!F33+'Executive Life'!F33+'Life Health America'!F33+'Lincoln Memorial'!F33+'National States'!F33+'Pen  Treaty'!F33+'Senior American'!F33</f>
        <v>0</v>
      </c>
      <c r="G33" s="30">
        <f t="shared" si="0"/>
        <v>45958029.405452214</v>
      </c>
      <c r="H33" s="30"/>
      <c r="I33" s="30"/>
      <c r="J33" s="30"/>
    </row>
    <row r="34" spans="1:10">
      <c r="A34" s="1" t="s">
        <v>55</v>
      </c>
      <c r="B34" s="30">
        <f>+'American Network'!B34+'Executive Life'!B34+'Life Health America'!B34+'Lincoln Memorial'!B34+'National States'!B34+'Pen  Treaty'!B34+'Senior American'!B34</f>
        <v>12110088.465132983</v>
      </c>
      <c r="C34" s="30">
        <f>+'American Network'!C34+'Executive Life'!C34+'Life Health America'!C34+'Lincoln Memorial'!C34+'National States'!C34+'Pen  Treaty'!C34+'Senior American'!C34</f>
        <v>6936348.9538856</v>
      </c>
      <c r="D34" s="30">
        <f>+'American Network'!D34+'Executive Life'!D34+'Life Health America'!D34+'Lincoln Memorial'!D34+'National States'!D34+'Pen  Treaty'!D34+'Senior American'!D34</f>
        <v>17645652.245306686</v>
      </c>
      <c r="E34" s="30">
        <f>+'American Network'!E34+'Executive Life'!E34+'Life Health America'!E34+'Lincoln Memorial'!E34+'National States'!E34+'Pen  Treaty'!E34+'Senior American'!E34</f>
        <v>0</v>
      </c>
      <c r="F34" s="30">
        <f>+'American Network'!F34+'Executive Life'!F34+'Life Health America'!F34+'Lincoln Memorial'!F34+'National States'!F34+'Pen  Treaty'!F34+'Senior American'!F34</f>
        <v>0</v>
      </c>
      <c r="G34" s="30">
        <f t="shared" si="0"/>
        <v>36692089.664325267</v>
      </c>
      <c r="H34" s="30"/>
      <c r="I34" s="30"/>
      <c r="J34" s="30"/>
    </row>
    <row r="35" spans="1:10">
      <c r="A35" s="1" t="s">
        <v>56</v>
      </c>
      <c r="B35" s="30">
        <f>+'American Network'!B35+'Executive Life'!B35+'Life Health America'!B35+'Lincoln Memorial'!B35+'National States'!B35+'Pen  Treaty'!B35+'Senior American'!B35</f>
        <v>0</v>
      </c>
      <c r="C35" s="30">
        <f>+'American Network'!C35+'Executive Life'!C35+'Life Health America'!C35+'Lincoln Memorial'!C35+'National States'!C35+'Pen  Treaty'!C35+'Senior American'!C35</f>
        <v>0</v>
      </c>
      <c r="D35" s="30">
        <f>+'American Network'!D35+'Executive Life'!D35+'Life Health America'!D35+'Lincoln Memorial'!D35+'National States'!D35+'Pen  Treaty'!D35+'Senior American'!D35</f>
        <v>7502782.0758066988</v>
      </c>
      <c r="E35" s="30">
        <f>+'American Network'!E35+'Executive Life'!E35+'Life Health America'!E35+'Lincoln Memorial'!E35+'National States'!E35+'Pen  Treaty'!E35+'Senior American'!E35</f>
        <v>0</v>
      </c>
      <c r="F35" s="30">
        <f>+'American Network'!F35+'Executive Life'!F35+'Life Health America'!F35+'Lincoln Memorial'!F35+'National States'!F35+'Pen  Treaty'!F35+'Senior American'!F35</f>
        <v>0</v>
      </c>
      <c r="G35" s="30">
        <f t="shared" si="0"/>
        <v>7502782.0758066988</v>
      </c>
      <c r="H35" s="30"/>
      <c r="I35" s="30"/>
      <c r="J35" s="30"/>
    </row>
    <row r="36" spans="1:10">
      <c r="A36" s="1" t="s">
        <v>57</v>
      </c>
      <c r="B36" s="30">
        <f>+'American Network'!B36+'Executive Life'!B36+'Life Health America'!B36+'Lincoln Memorial'!B36+'National States'!B36+'Pen  Treaty'!B36+'Senior American'!B36</f>
        <v>19895618.59237035</v>
      </c>
      <c r="C36" s="30">
        <f>+'American Network'!C36+'Executive Life'!C36+'Life Health America'!C36+'Lincoln Memorial'!C36+'National States'!C36+'Pen  Treaty'!C36+'Senior American'!C36</f>
        <v>50214638.203756243</v>
      </c>
      <c r="D36" s="30">
        <f>+'American Network'!D36+'Executive Life'!D36+'Life Health America'!D36+'Lincoln Memorial'!D36+'National States'!D36+'Pen  Treaty'!D36+'Senior American'!D36</f>
        <v>149499686.39795566</v>
      </c>
      <c r="E36" s="30">
        <f>+'American Network'!E36+'Executive Life'!E36+'Life Health America'!E36+'Lincoln Memorial'!E36+'National States'!E36+'Pen  Treaty'!E36+'Senior American'!E36</f>
        <v>1127051.9652109286</v>
      </c>
      <c r="F36" s="30">
        <f>+'American Network'!F36+'Executive Life'!F36+'Life Health America'!F36+'Lincoln Memorial'!F36+'National States'!F36+'Pen  Treaty'!F36+'Senior American'!F36</f>
        <v>0</v>
      </c>
      <c r="G36" s="30">
        <f t="shared" si="0"/>
        <v>220736995.15929317</v>
      </c>
      <c r="H36" s="30"/>
      <c r="I36" s="30"/>
      <c r="J36" s="30"/>
    </row>
    <row r="37" spans="1:10">
      <c r="A37" s="1" t="s">
        <v>58</v>
      </c>
      <c r="B37" s="30">
        <f>+'American Network'!B37+'Executive Life'!B37+'Life Health America'!B37+'Lincoln Memorial'!B37+'National States'!B37+'Pen  Treaty'!B37+'Senior American'!B37</f>
        <v>4633885.3018426718</v>
      </c>
      <c r="C37" s="30">
        <f>+'American Network'!C37+'Executive Life'!C37+'Life Health America'!C37+'Lincoln Memorial'!C37+'National States'!C37+'Pen  Treaty'!C37+'Senior American'!C37</f>
        <v>7838798.5515539171</v>
      </c>
      <c r="D37" s="30">
        <f>+'American Network'!D37+'Executive Life'!D37+'Life Health America'!D37+'Lincoln Memorial'!D37+'National States'!D37+'Pen  Treaty'!D37+'Senior American'!D37</f>
        <v>9969757.9848429821</v>
      </c>
      <c r="E37" s="30">
        <f>+'American Network'!E37+'Executive Life'!E37+'Life Health America'!E37+'Lincoln Memorial'!E37+'National States'!E37+'Pen  Treaty'!E37+'Senior American'!E37</f>
        <v>0</v>
      </c>
      <c r="F37" s="30">
        <f>+'American Network'!F37+'Executive Life'!F37+'Life Health America'!F37+'Lincoln Memorial'!F37+'National States'!F37+'Pen  Treaty'!F37+'Senior American'!F37</f>
        <v>0</v>
      </c>
      <c r="G37" s="30">
        <f t="shared" si="0"/>
        <v>22442441.838239573</v>
      </c>
      <c r="H37" s="30"/>
      <c r="I37" s="30"/>
      <c r="J37" s="30"/>
    </row>
    <row r="38" spans="1:10">
      <c r="A38" s="1" t="s">
        <v>59</v>
      </c>
      <c r="B38" s="30">
        <f>+'American Network'!B38+'Executive Life'!B38+'Life Health America'!B38+'Lincoln Memorial'!B38+'National States'!B38+'Pen  Treaty'!B38+'Senior American'!B38</f>
        <v>0</v>
      </c>
      <c r="C38" s="30">
        <f>+'American Network'!C38+'Executive Life'!C38+'Life Health America'!C38+'Lincoln Memorial'!C38+'National States'!C38+'Pen  Treaty'!C38+'Senior American'!C38</f>
        <v>0</v>
      </c>
      <c r="D38" s="30">
        <f>+'American Network'!D38+'Executive Life'!D38+'Life Health America'!D38+'Lincoln Memorial'!D38+'National States'!D38+'Pen  Treaty'!D38+'Senior American'!D38</f>
        <v>0</v>
      </c>
      <c r="E38" s="30">
        <f>+'American Network'!E38+'Executive Life'!E38+'Life Health America'!E38+'Lincoln Memorial'!E38+'National States'!E38+'Pen  Treaty'!E38+'Senior American'!E38</f>
        <v>0</v>
      </c>
      <c r="F38" s="30">
        <f>+'American Network'!F38+'Executive Life'!F38+'Life Health America'!F38+'Lincoln Memorial'!F38+'National States'!F38+'Pen  Treaty'!F38+'Senior American'!F38</f>
        <v>0</v>
      </c>
      <c r="G38" s="30">
        <f t="shared" ref="G38:G58" si="1">SUM(B38:F38)</f>
        <v>0</v>
      </c>
      <c r="H38" s="30"/>
      <c r="I38" s="30"/>
      <c r="J38" s="30"/>
    </row>
    <row r="39" spans="1:10">
      <c r="A39" s="1" t="s">
        <v>60</v>
      </c>
      <c r="B39" s="30">
        <f>+'American Network'!B39+'Executive Life'!B39+'Life Health America'!B39+'Lincoln Memorial'!B39+'National States'!B39+'Pen  Treaty'!B39+'Senior American'!B39</f>
        <v>29917657.878739595</v>
      </c>
      <c r="C39" s="30">
        <f>+'American Network'!C39+'Executive Life'!C39+'Life Health America'!C39+'Lincoln Memorial'!C39+'National States'!C39+'Pen  Treaty'!C39+'Senior American'!C39</f>
        <v>66656847.712087333</v>
      </c>
      <c r="D39" s="30">
        <f>+'American Network'!D39+'Executive Life'!D39+'Life Health America'!D39+'Lincoln Memorial'!D39+'National States'!D39+'Pen  Treaty'!D39+'Senior American'!D39</f>
        <v>109070698.58049779</v>
      </c>
      <c r="E39" s="30">
        <f>+'American Network'!E39+'Executive Life'!E39+'Life Health America'!E39+'Lincoln Memorial'!E39+'National States'!E39+'Pen  Treaty'!E39+'Senior American'!E39</f>
        <v>0</v>
      </c>
      <c r="F39" s="30">
        <f>+'American Network'!F39+'Executive Life'!F39+'Life Health America'!F39+'Lincoln Memorial'!F39+'National States'!F39+'Pen  Treaty'!F39+'Senior American'!F39</f>
        <v>0</v>
      </c>
      <c r="G39" s="30">
        <f t="shared" si="1"/>
        <v>205645204.17132473</v>
      </c>
      <c r="H39" s="30"/>
      <c r="I39" s="30"/>
      <c r="J39" s="30"/>
    </row>
    <row r="40" spans="1:10">
      <c r="A40" s="1" t="s">
        <v>61</v>
      </c>
      <c r="B40" s="30">
        <f>+'American Network'!B40+'Executive Life'!B40+'Life Health America'!B40+'Lincoln Memorial'!B40+'National States'!B40+'Pen  Treaty'!B40+'Senior American'!B40</f>
        <v>3254610.2262726515</v>
      </c>
      <c r="C40" s="30">
        <f>+'American Network'!C40+'Executive Life'!C40+'Life Health America'!C40+'Lincoln Memorial'!C40+'National States'!C40+'Pen  Treaty'!C40+'Senior American'!C40</f>
        <v>4901532.3135140017</v>
      </c>
      <c r="D40" s="30">
        <f>+'American Network'!D40+'Executive Life'!D40+'Life Health America'!D40+'Lincoln Memorial'!D40+'National States'!D40+'Pen  Treaty'!D40+'Senior American'!D40</f>
        <v>5015430.1924759299</v>
      </c>
      <c r="E40" s="30">
        <f>+'American Network'!E40+'Executive Life'!E40+'Life Health America'!E40+'Lincoln Memorial'!E40+'National States'!E40+'Pen  Treaty'!E40+'Senior American'!E40</f>
        <v>29120.812073445457</v>
      </c>
      <c r="F40" s="30">
        <f>+'American Network'!F40+'Executive Life'!F40+'Life Health America'!F40+'Lincoln Memorial'!F40+'National States'!F40+'Pen  Treaty'!F40+'Senior American'!F40</f>
        <v>0</v>
      </c>
      <c r="G40" s="30">
        <f t="shared" si="1"/>
        <v>13200693.544336028</v>
      </c>
      <c r="H40" s="30"/>
      <c r="I40" s="30"/>
      <c r="J40" s="30"/>
    </row>
    <row r="41" spans="1:10">
      <c r="A41" s="1" t="s">
        <v>62</v>
      </c>
      <c r="B41" s="30">
        <f>+'American Network'!B41+'Executive Life'!B41+'Life Health America'!B41+'Lincoln Memorial'!B41+'National States'!B41+'Pen  Treaty'!B41+'Senior American'!B41</f>
        <v>39122489.291939929</v>
      </c>
      <c r="C41" s="30">
        <f>+'American Network'!C41+'Executive Life'!C41+'Life Health America'!C41+'Lincoln Memorial'!C41+'National States'!C41+'Pen  Treaty'!C41+'Senior American'!C41</f>
        <v>36262174.042194262</v>
      </c>
      <c r="D41" s="30">
        <f>+'American Network'!D41+'Executive Life'!D41+'Life Health America'!D41+'Lincoln Memorial'!D41+'National States'!D41+'Pen  Treaty'!D41+'Senior American'!D41</f>
        <v>72809320.795498058</v>
      </c>
      <c r="E41" s="30">
        <f>+'American Network'!E41+'Executive Life'!E41+'Life Health America'!E41+'Lincoln Memorial'!E41+'National States'!E41+'Pen  Treaty'!E41+'Senior American'!E41</f>
        <v>1843675.0890194245</v>
      </c>
      <c r="F41" s="30">
        <f>+'American Network'!F41+'Executive Life'!F41+'Life Health America'!F41+'Lincoln Memorial'!F41+'National States'!F41+'Pen  Treaty'!F41+'Senior American'!F41</f>
        <v>0</v>
      </c>
      <c r="G41" s="30">
        <f t="shared" si="1"/>
        <v>150037659.21865165</v>
      </c>
      <c r="H41" s="30"/>
      <c r="I41" s="30"/>
      <c r="J41" s="30"/>
    </row>
    <row r="42" spans="1:10">
      <c r="A42" s="1" t="s">
        <v>63</v>
      </c>
      <c r="B42" s="30">
        <f>+'American Network'!B42+'Executive Life'!B42+'Life Health America'!B42+'Lincoln Memorial'!B42+'National States'!B42+'Pen  Treaty'!B42+'Senior American'!B42</f>
        <v>21305043.220767781</v>
      </c>
      <c r="C42" s="30">
        <f>+'American Network'!C42+'Executive Life'!C42+'Life Health America'!C42+'Lincoln Memorial'!C42+'National States'!C42+'Pen  Treaty'!C42+'Senior American'!C42</f>
        <v>18000083.877086431</v>
      </c>
      <c r="D42" s="30">
        <f>+'American Network'!D42+'Executive Life'!D42+'Life Health America'!D42+'Lincoln Memorial'!D42+'National States'!D42+'Pen  Treaty'!D42+'Senior American'!D42</f>
        <v>14048619.794464145</v>
      </c>
      <c r="E42" s="30">
        <f>+'American Network'!E42+'Executive Life'!E42+'Life Health America'!E42+'Lincoln Memorial'!E42+'National States'!E42+'Pen  Treaty'!E42+'Senior American'!E42</f>
        <v>0</v>
      </c>
      <c r="F42" s="30">
        <f>+'American Network'!F42+'Executive Life'!F42+'Life Health America'!F42+'Lincoln Memorial'!F42+'National States'!F42+'Pen  Treaty'!F42+'Senior American'!F42</f>
        <v>0</v>
      </c>
      <c r="G42" s="30">
        <f t="shared" si="1"/>
        <v>53353746.892318353</v>
      </c>
      <c r="H42" s="30"/>
      <c r="I42" s="30"/>
      <c r="J42" s="30"/>
    </row>
    <row r="43" spans="1:10">
      <c r="A43" s="1" t="s">
        <v>64</v>
      </c>
      <c r="B43" s="30">
        <f>+'American Network'!B43+'Executive Life'!B43+'Life Health America'!B43+'Lincoln Memorial'!B43+'National States'!B43+'Pen  Treaty'!B43+'Senior American'!B43</f>
        <v>15184499.392031753</v>
      </c>
      <c r="C43" s="30">
        <f>+'American Network'!C43+'Executive Life'!C43+'Life Health America'!C43+'Lincoln Memorial'!C43+'National States'!C43+'Pen  Treaty'!C43+'Senior American'!C43</f>
        <v>16820319.974441376</v>
      </c>
      <c r="D43" s="30">
        <f>+'American Network'!D43+'Executive Life'!D43+'Life Health America'!D43+'Lincoln Memorial'!D43+'National States'!D43+'Pen  Treaty'!D43+'Senior American'!D43</f>
        <v>11879230.729904797</v>
      </c>
      <c r="E43" s="30">
        <f>+'American Network'!E43+'Executive Life'!E43+'Life Health America'!E43+'Lincoln Memorial'!E43+'National States'!E43+'Pen  Treaty'!E43+'Senior American'!E43</f>
        <v>0</v>
      </c>
      <c r="F43" s="30">
        <f>+'American Network'!F43+'Executive Life'!F43+'Life Health America'!F43+'Lincoln Memorial'!F43+'National States'!F43+'Pen  Treaty'!F43+'Senior American'!F43</f>
        <v>0</v>
      </c>
      <c r="G43" s="30">
        <f t="shared" si="1"/>
        <v>43884050.096377924</v>
      </c>
      <c r="H43" s="30"/>
      <c r="I43" s="30"/>
      <c r="J43" s="30"/>
    </row>
    <row r="44" spans="1:10">
      <c r="A44" s="1" t="s">
        <v>65</v>
      </c>
      <c r="B44" s="30">
        <f>+'American Network'!B44+'Executive Life'!B44+'Life Health America'!B44+'Lincoln Memorial'!B44+'National States'!B44+'Pen  Treaty'!B44+'Senior American'!B44</f>
        <v>46834194.392978907</v>
      </c>
      <c r="C44" s="30">
        <f>+'American Network'!C44+'Executive Life'!C44+'Life Health America'!C44+'Lincoln Memorial'!C44+'National States'!C44+'Pen  Treaty'!C44+'Senior American'!C44</f>
        <v>164122388.23405454</v>
      </c>
      <c r="D44" s="30">
        <f>+'American Network'!D44+'Executive Life'!D44+'Life Health America'!D44+'Lincoln Memorial'!D44+'National States'!D44+'Pen  Treaty'!D44+'Senior American'!D44</f>
        <v>279465350.70760179</v>
      </c>
      <c r="E44" s="30">
        <f>+'American Network'!E44+'Executive Life'!E44+'Life Health America'!E44+'Lincoln Memorial'!E44+'National States'!E44+'Pen  Treaty'!E44+'Senior American'!E44</f>
        <v>0</v>
      </c>
      <c r="F44" s="30">
        <f>+'American Network'!F44+'Executive Life'!F44+'Life Health America'!F44+'Lincoln Memorial'!F44+'National States'!F44+'Pen  Treaty'!F44+'Senior American'!F44</f>
        <v>0</v>
      </c>
      <c r="G44" s="30">
        <f t="shared" si="1"/>
        <v>490421933.33463526</v>
      </c>
      <c r="H44" s="30"/>
      <c r="I44" s="30"/>
      <c r="J44" s="30"/>
    </row>
    <row r="45" spans="1:10">
      <c r="A45" s="1" t="s">
        <v>66</v>
      </c>
      <c r="B45" s="30">
        <f>+'American Network'!B45+'Executive Life'!B45+'Life Health America'!B45+'Lincoln Memorial'!B45+'National States'!B45+'Pen  Treaty'!B45+'Senior American'!B45</f>
        <v>557725.78367540415</v>
      </c>
      <c r="C45" s="30">
        <f>+'American Network'!C45+'Executive Life'!C45+'Life Health America'!C45+'Lincoln Memorial'!C45+'National States'!C45+'Pen  Treaty'!C45+'Senior American'!C45</f>
        <v>435932.49059507408</v>
      </c>
      <c r="D45" s="30">
        <f>+'American Network'!D45+'Executive Life'!D45+'Life Health America'!D45+'Lincoln Memorial'!D45+'National States'!D45+'Pen  Treaty'!D45+'Senior American'!D45</f>
        <v>0</v>
      </c>
      <c r="E45" s="30">
        <f>+'American Network'!E45+'Executive Life'!E45+'Life Health America'!E45+'Lincoln Memorial'!E45+'National States'!E45+'Pen  Treaty'!E45+'Senior American'!E45</f>
        <v>0</v>
      </c>
      <c r="F45" s="30">
        <f>+'American Network'!F45+'Executive Life'!F45+'Life Health America'!F45+'Lincoln Memorial'!F45+'National States'!F45+'Pen  Treaty'!F45+'Senior American'!F45</f>
        <v>0</v>
      </c>
      <c r="G45" s="30">
        <f t="shared" si="1"/>
        <v>993658.27427047817</v>
      </c>
      <c r="H45" s="30"/>
      <c r="I45" s="30"/>
      <c r="J45" s="30"/>
    </row>
    <row r="46" spans="1:10">
      <c r="A46" s="1" t="s">
        <v>67</v>
      </c>
      <c r="B46" s="30">
        <f>+'American Network'!B46+'Executive Life'!B46+'Life Health America'!B46+'Lincoln Memorial'!B46+'National States'!B46+'Pen  Treaty'!B46+'Senior American'!B46</f>
        <v>3134889.3805140764</v>
      </c>
      <c r="C46" s="30">
        <f>+'American Network'!C46+'Executive Life'!C46+'Life Health America'!C46+'Lincoln Memorial'!C46+'National States'!C46+'Pen  Treaty'!C46+'Senior American'!C46</f>
        <v>21275125.919851217</v>
      </c>
      <c r="D46" s="30">
        <f>+'American Network'!D46+'Executive Life'!D46+'Life Health America'!D46+'Lincoln Memorial'!D46+'National States'!D46+'Pen  Treaty'!D46+'Senior American'!D46</f>
        <v>1798015.4335773783</v>
      </c>
      <c r="E46" s="30">
        <f>+'American Network'!E46+'Executive Life'!E46+'Life Health America'!E46+'Lincoln Memorial'!E46+'National States'!E46+'Pen  Treaty'!E46+'Senior American'!E46</f>
        <v>0</v>
      </c>
      <c r="F46" s="30">
        <f>+'American Network'!F46+'Executive Life'!F46+'Life Health America'!F46+'Lincoln Memorial'!F46+'National States'!F46+'Pen  Treaty'!F46+'Senior American'!F46</f>
        <v>0</v>
      </c>
      <c r="G46" s="30">
        <f t="shared" si="1"/>
        <v>26208030.733942673</v>
      </c>
      <c r="H46" s="30"/>
      <c r="I46" s="30"/>
      <c r="J46" s="30"/>
    </row>
    <row r="47" spans="1:10">
      <c r="A47" s="1" t="s">
        <v>68</v>
      </c>
      <c r="B47" s="30">
        <f>+'American Network'!B47+'Executive Life'!B47+'Life Health America'!B47+'Lincoln Memorial'!B47+'National States'!B47+'Pen  Treaty'!B47+'Senior American'!B47</f>
        <v>16507405.81917816</v>
      </c>
      <c r="C47" s="30">
        <f>+'American Network'!C47+'Executive Life'!C47+'Life Health America'!C47+'Lincoln Memorial'!C47+'National States'!C47+'Pen  Treaty'!C47+'Senior American'!C47</f>
        <v>21376425.453233197</v>
      </c>
      <c r="D47" s="30">
        <f>+'American Network'!D47+'Executive Life'!D47+'Life Health America'!D47+'Lincoln Memorial'!D47+'National States'!D47+'Pen  Treaty'!D47+'Senior American'!D47</f>
        <v>22472952.538993537</v>
      </c>
      <c r="E47" s="30">
        <f>+'American Network'!E47+'Executive Life'!E47+'Life Health America'!E47+'Lincoln Memorial'!E47+'National States'!E47+'Pen  Treaty'!E47+'Senior American'!E47</f>
        <v>0</v>
      </c>
      <c r="F47" s="30">
        <f>+'American Network'!F47+'Executive Life'!F47+'Life Health America'!F47+'Lincoln Memorial'!F47+'National States'!F47+'Pen  Treaty'!F47+'Senior American'!F47</f>
        <v>0</v>
      </c>
      <c r="G47" s="30">
        <f t="shared" si="1"/>
        <v>60356783.811404899</v>
      </c>
      <c r="H47" s="30"/>
      <c r="I47" s="30"/>
      <c r="J47" s="30"/>
    </row>
    <row r="48" spans="1:10">
      <c r="A48" s="1" t="s">
        <v>69</v>
      </c>
      <c r="B48" s="30">
        <f>+'American Network'!B48+'Executive Life'!B48+'Life Health America'!B48+'Lincoln Memorial'!B48+'National States'!B48+'Pen  Treaty'!B48+'Senior American'!B48</f>
        <v>6625528.8470060229</v>
      </c>
      <c r="C48" s="30">
        <f>+'American Network'!C48+'Executive Life'!C48+'Life Health America'!C48+'Lincoln Memorial'!C48+'National States'!C48+'Pen  Treaty'!C48+'Senior American'!C48</f>
        <v>2754056.1063371226</v>
      </c>
      <c r="D48" s="30">
        <f>+'American Network'!D48+'Executive Life'!D48+'Life Health America'!D48+'Lincoln Memorial'!D48+'National States'!D48+'Pen  Treaty'!D48+'Senior American'!D48</f>
        <v>44996746.200419135</v>
      </c>
      <c r="E48" s="30">
        <f>+'American Network'!E48+'Executive Life'!E48+'Life Health America'!E48+'Lincoln Memorial'!E48+'National States'!E48+'Pen  Treaty'!E48+'Senior American'!E48</f>
        <v>0</v>
      </c>
      <c r="F48" s="30">
        <f>+'American Network'!F48+'Executive Life'!F48+'Life Health America'!F48+'Lincoln Memorial'!F48+'National States'!F48+'Pen  Treaty'!F48+'Senior American'!F48</f>
        <v>0</v>
      </c>
      <c r="G48" s="30">
        <f t="shared" si="1"/>
        <v>54376331.153762281</v>
      </c>
      <c r="H48" s="30"/>
      <c r="I48" s="30"/>
      <c r="J48" s="30"/>
    </row>
    <row r="49" spans="1:10">
      <c r="A49" s="1" t="s">
        <v>70</v>
      </c>
      <c r="B49" s="30">
        <f>+'American Network'!B49+'Executive Life'!B49+'Life Health America'!B49+'Lincoln Memorial'!B49+'National States'!B49+'Pen  Treaty'!B49+'Senior American'!B49</f>
        <v>27523475.883877367</v>
      </c>
      <c r="C49" s="30">
        <f>+'American Network'!C49+'Executive Life'!C49+'Life Health America'!C49+'Lincoln Memorial'!C49+'National States'!C49+'Pen  Treaty'!C49+'Senior American'!C49</f>
        <v>15334419.30402486</v>
      </c>
      <c r="D49" s="30">
        <f>+'American Network'!D49+'Executive Life'!D49+'Life Health America'!D49+'Lincoln Memorial'!D49+'National States'!D49+'Pen  Treaty'!D49+'Senior American'!D49</f>
        <v>50992909.864698388</v>
      </c>
      <c r="E49" s="30">
        <f>+'American Network'!E49+'Executive Life'!E49+'Life Health America'!E49+'Lincoln Memorial'!E49+'National States'!E49+'Pen  Treaty'!E49+'Senior American'!E49</f>
        <v>0</v>
      </c>
      <c r="F49" s="30">
        <f>+'American Network'!F49+'Executive Life'!F49+'Life Health America'!F49+'Lincoln Memorial'!F49+'National States'!F49+'Pen  Treaty'!F49+'Senior American'!F49</f>
        <v>0</v>
      </c>
      <c r="G49" s="30">
        <f t="shared" si="1"/>
        <v>93850805.052600622</v>
      </c>
      <c r="H49" s="30"/>
      <c r="I49" s="30"/>
      <c r="J49" s="30"/>
    </row>
    <row r="50" spans="1:10">
      <c r="A50" s="1" t="s">
        <v>71</v>
      </c>
      <c r="B50" s="30">
        <f>+'American Network'!B50+'Executive Life'!B50+'Life Health America'!B50+'Lincoln Memorial'!B50+'National States'!B50+'Pen  Treaty'!B50+'Senior American'!B50</f>
        <v>106164346.21500766</v>
      </c>
      <c r="C50" s="30">
        <f>+'American Network'!C50+'Executive Life'!C50+'Life Health America'!C50+'Lincoln Memorial'!C50+'National States'!C50+'Pen  Treaty'!C50+'Senior American'!C50</f>
        <v>129936893.91221443</v>
      </c>
      <c r="D50" s="30">
        <f>+'American Network'!D50+'Executive Life'!D50+'Life Health America'!D50+'Lincoln Memorial'!D50+'National States'!D50+'Pen  Treaty'!D50+'Senior American'!D50</f>
        <v>131244601.39177616</v>
      </c>
      <c r="E50" s="30">
        <f>+'American Network'!E50+'Executive Life'!E50+'Life Health America'!E50+'Lincoln Memorial'!E50+'National States'!E50+'Pen  Treaty'!E50+'Senior American'!E50</f>
        <v>11693486.438011806</v>
      </c>
      <c r="F50" s="30">
        <f>+'American Network'!F50+'Executive Life'!F50+'Life Health America'!F50+'Lincoln Memorial'!F50+'National States'!F50+'Pen  Treaty'!F50+'Senior American'!F50</f>
        <v>0</v>
      </c>
      <c r="G50" s="30">
        <f t="shared" si="1"/>
        <v>379039327.95701009</v>
      </c>
      <c r="H50" s="30"/>
      <c r="I50" s="30"/>
      <c r="J50" s="30"/>
    </row>
    <row r="51" spans="1:10">
      <c r="A51" s="1" t="s">
        <v>72</v>
      </c>
      <c r="B51" s="30">
        <f>+'American Network'!B51+'Executive Life'!B51+'Life Health America'!B51+'Lincoln Memorial'!B51+'National States'!B51+'Pen  Treaty'!B51+'Senior American'!B51</f>
        <v>8510650.7771588825</v>
      </c>
      <c r="C51" s="30">
        <f>+'American Network'!C51+'Executive Life'!C51+'Life Health America'!C51+'Lincoln Memorial'!C51+'National States'!C51+'Pen  Treaty'!C51+'Senior American'!C51</f>
        <v>6692602.7952075349</v>
      </c>
      <c r="D51" s="30">
        <f>+'American Network'!D51+'Executive Life'!D51+'Life Health America'!D51+'Lincoln Memorial'!D51+'National States'!D51+'Pen  Treaty'!D51+'Senior American'!D51</f>
        <v>12226667.325955134</v>
      </c>
      <c r="E51" s="30">
        <f>+'American Network'!E51+'Executive Life'!E51+'Life Health America'!E51+'Lincoln Memorial'!E51+'National States'!E51+'Pen  Treaty'!E51+'Senior American'!E51</f>
        <v>243579.37427132597</v>
      </c>
      <c r="F51" s="30">
        <f>+'American Network'!F51+'Executive Life'!F51+'Life Health America'!F51+'Lincoln Memorial'!F51+'National States'!F51+'Pen  Treaty'!F51+'Senior American'!F51</f>
        <v>0</v>
      </c>
      <c r="G51" s="30">
        <f t="shared" si="1"/>
        <v>27673500.272592876</v>
      </c>
      <c r="H51" s="30"/>
      <c r="I51" s="30"/>
      <c r="J51" s="30"/>
    </row>
    <row r="52" spans="1:10">
      <c r="A52" s="1" t="s">
        <v>73</v>
      </c>
      <c r="B52" s="30">
        <f>+'American Network'!B52+'Executive Life'!B52+'Life Health America'!B52+'Lincoln Memorial'!B52+'National States'!B52+'Pen  Treaty'!B52+'Senior American'!B52</f>
        <v>1985.9066219134002</v>
      </c>
      <c r="C52" s="30">
        <f>+'American Network'!C52+'Executive Life'!C52+'Life Health America'!C52+'Lincoln Memorial'!C52+'National States'!C52+'Pen  Treaty'!C52+'Senior American'!C52</f>
        <v>0</v>
      </c>
      <c r="D52" s="30">
        <f>+'American Network'!D52+'Executive Life'!D52+'Life Health America'!D52+'Lincoln Memorial'!D52+'National States'!D52+'Pen  Treaty'!D52+'Senior American'!D52</f>
        <v>11433228.907222353</v>
      </c>
      <c r="E52" s="30">
        <f>+'American Network'!E52+'Executive Life'!E52+'Life Health America'!E52+'Lincoln Memorial'!E52+'National States'!E52+'Pen  Treaty'!E52+'Senior American'!E52</f>
        <v>0</v>
      </c>
      <c r="F52" s="30">
        <f>+'American Network'!F52+'Executive Life'!F52+'Life Health America'!F52+'Lincoln Memorial'!F52+'National States'!F52+'Pen  Treaty'!F52+'Senior American'!F52</f>
        <v>0</v>
      </c>
      <c r="G52" s="30">
        <f t="shared" si="1"/>
        <v>11435214.813844265</v>
      </c>
      <c r="H52" s="30"/>
      <c r="I52" s="30"/>
      <c r="J52" s="30"/>
    </row>
    <row r="53" spans="1:10">
      <c r="A53" s="1" t="s">
        <v>74</v>
      </c>
      <c r="B53" s="30">
        <f>+'American Network'!B53+'Executive Life'!B53+'Life Health America'!B53+'Lincoln Memorial'!B53+'National States'!B53+'Pen  Treaty'!B53+'Senior American'!B53</f>
        <v>9926080.9638243653</v>
      </c>
      <c r="C53" s="30">
        <f>+'American Network'!C53+'Executive Life'!C53+'Life Health America'!C53+'Lincoln Memorial'!C53+'National States'!C53+'Pen  Treaty'!C53+'Senior American'!C53</f>
        <v>19293942.158224858</v>
      </c>
      <c r="D53" s="30">
        <f>+'American Network'!D53+'Executive Life'!D53+'Life Health America'!D53+'Lincoln Memorial'!D53+'National States'!D53+'Pen  Treaty'!D53+'Senior American'!D53</f>
        <v>202570385.70072389</v>
      </c>
      <c r="E53" s="30">
        <f>+'American Network'!E53+'Executive Life'!E53+'Life Health America'!E53+'Lincoln Memorial'!E53+'National States'!E53+'Pen  Treaty'!E53+'Senior American'!E53</f>
        <v>0</v>
      </c>
      <c r="F53" s="30">
        <f>+'American Network'!F53+'Executive Life'!F53+'Life Health America'!F53+'Lincoln Memorial'!F53+'National States'!F53+'Pen  Treaty'!F53+'Senior American'!F53</f>
        <v>0</v>
      </c>
      <c r="G53" s="30">
        <f t="shared" si="1"/>
        <v>231790408.8227731</v>
      </c>
      <c r="H53" s="30"/>
      <c r="I53" s="30"/>
      <c r="J53" s="30"/>
    </row>
    <row r="54" spans="1:10">
      <c r="A54" s="1" t="s">
        <v>75</v>
      </c>
      <c r="B54" s="30">
        <f>+'American Network'!B54+'Executive Life'!B54+'Life Health America'!B54+'Lincoln Memorial'!B54+'National States'!B54+'Pen  Treaty'!B54+'Senior American'!B54</f>
        <v>33286846.601404961</v>
      </c>
      <c r="C54" s="30">
        <f>+'American Network'!C54+'Executive Life'!C54+'Life Health America'!C54+'Lincoln Memorial'!C54+'National States'!C54+'Pen  Treaty'!C54+'Senior American'!C54</f>
        <v>57854262.765809231</v>
      </c>
      <c r="D54" s="30">
        <f>+'American Network'!D54+'Executive Life'!D54+'Life Health America'!D54+'Lincoln Memorial'!D54+'National States'!D54+'Pen  Treaty'!D54+'Senior American'!D54</f>
        <v>133673474.94385034</v>
      </c>
      <c r="E54" s="30">
        <f>+'American Network'!E54+'Executive Life'!E54+'Life Health America'!E54+'Lincoln Memorial'!E54+'National States'!E54+'Pen  Treaty'!E54+'Senior American'!E54</f>
        <v>2198807.2882028483</v>
      </c>
      <c r="F54" s="30">
        <f>+'American Network'!F54+'Executive Life'!F54+'Life Health America'!F54+'Lincoln Memorial'!F54+'National States'!F54+'Pen  Treaty'!F54+'Senior American'!F54</f>
        <v>0</v>
      </c>
      <c r="G54" s="30">
        <f t="shared" si="1"/>
        <v>227013391.59926739</v>
      </c>
      <c r="H54" s="30"/>
      <c r="I54" s="30"/>
      <c r="J54" s="30"/>
    </row>
    <row r="55" spans="1:10">
      <c r="A55" s="1" t="s">
        <v>76</v>
      </c>
      <c r="B55" s="30">
        <f>+'American Network'!B55+'Executive Life'!B55+'Life Health America'!B55+'Lincoln Memorial'!B55+'National States'!B55+'Pen  Treaty'!B55+'Senior American'!B55</f>
        <v>1903328.7588065255</v>
      </c>
      <c r="C55" s="30">
        <f>+'American Network'!C55+'Executive Life'!C55+'Life Health America'!C55+'Lincoln Memorial'!C55+'National States'!C55+'Pen  Treaty'!C55+'Senior American'!C55</f>
        <v>3471972.2176085934</v>
      </c>
      <c r="D55" s="30">
        <f>+'American Network'!D55+'Executive Life'!D55+'Life Health America'!D55+'Lincoln Memorial'!D55+'National States'!D55+'Pen  Treaty'!D55+'Senior American'!D55</f>
        <v>3595876.2670835904</v>
      </c>
      <c r="E55" s="30">
        <f>+'American Network'!E55+'Executive Life'!E55+'Life Health America'!E55+'Lincoln Memorial'!E55+'National States'!E55+'Pen  Treaty'!E55+'Senior American'!E55</f>
        <v>0</v>
      </c>
      <c r="F55" s="30">
        <f>+'American Network'!F55+'Executive Life'!F55+'Life Health America'!F55+'Lincoln Memorial'!F55+'National States'!F55+'Pen  Treaty'!F55+'Senior American'!F55</f>
        <v>0</v>
      </c>
      <c r="G55" s="30">
        <f t="shared" si="1"/>
        <v>8971177.2434987091</v>
      </c>
      <c r="H55" s="30"/>
      <c r="I55" s="30"/>
      <c r="J55" s="30"/>
    </row>
    <row r="56" spans="1:10">
      <c r="A56" s="1" t="s">
        <v>77</v>
      </c>
      <c r="B56" s="30">
        <f>+'American Network'!B56+'Executive Life'!B56+'Life Health America'!B56+'Lincoln Memorial'!B56+'National States'!B56+'Pen  Treaty'!B56+'Senior American'!B56</f>
        <v>14678852.337066416</v>
      </c>
      <c r="C56" s="30">
        <f>+'American Network'!C56+'Executive Life'!C56+'Life Health America'!C56+'Lincoln Memorial'!C56+'National States'!C56+'Pen  Treaty'!C56+'Senior American'!C56</f>
        <v>49348653.388808787</v>
      </c>
      <c r="D56" s="30">
        <f>+'American Network'!D56+'Executive Life'!D56+'Life Health America'!D56+'Lincoln Memorial'!D56+'National States'!D56+'Pen  Treaty'!D56+'Senior American'!D56</f>
        <v>19248873.781189464</v>
      </c>
      <c r="E56" s="30">
        <f>+'American Network'!E56+'Executive Life'!E56+'Life Health America'!E56+'Lincoln Memorial'!E56+'National States'!E56+'Pen  Treaty'!E56+'Senior American'!E56</f>
        <v>80315.160257123207</v>
      </c>
      <c r="F56" s="30">
        <f>+'American Network'!F56+'Executive Life'!F56+'Life Health America'!F56+'Lincoln Memorial'!F56+'National States'!F56+'Pen  Treaty'!F56+'Senior American'!F56</f>
        <v>0</v>
      </c>
      <c r="G56" s="30">
        <f t="shared" si="1"/>
        <v>83356694.667321786</v>
      </c>
      <c r="H56" s="30"/>
      <c r="I56" s="30"/>
      <c r="J56" s="30"/>
    </row>
    <row r="57" spans="1:10">
      <c r="A57" s="1" t="s">
        <v>78</v>
      </c>
      <c r="B57" s="30">
        <f>+'American Network'!B57+'Executive Life'!B57+'Life Health America'!B57+'Lincoln Memorial'!B57+'National States'!B57+'Pen  Treaty'!B57+'Senior American'!B57</f>
        <v>2988762.7004651371</v>
      </c>
      <c r="C57" s="30">
        <f>+'American Network'!C57+'Executive Life'!C57+'Life Health America'!C57+'Lincoln Memorial'!C57+'National States'!C57+'Pen  Treaty'!C57+'Senior American'!C57</f>
        <v>3452048.1686818548</v>
      </c>
      <c r="D57" s="30">
        <f>+'American Network'!D57+'Executive Life'!D57+'Life Health America'!D57+'Lincoln Memorial'!D57+'National States'!D57+'Pen  Treaty'!D57+'Senior American'!D57</f>
        <v>2696819.6322633969</v>
      </c>
      <c r="E57" s="30">
        <f>+'American Network'!E57+'Executive Life'!E57+'Life Health America'!E57+'Lincoln Memorial'!E57+'National States'!E57+'Pen  Treaty'!E57+'Senior American'!E57</f>
        <v>0</v>
      </c>
      <c r="F57" s="30">
        <f>+'American Network'!F57+'Executive Life'!F57+'Life Health America'!F57+'Lincoln Memorial'!F57+'National States'!F57+'Pen  Treaty'!F57+'Senior American'!F57</f>
        <v>0</v>
      </c>
      <c r="G57" s="30">
        <f t="shared" si="1"/>
        <v>9137630.5014103875</v>
      </c>
      <c r="H57" s="30"/>
      <c r="I57" s="30"/>
      <c r="J57" s="30"/>
    </row>
    <row r="58" spans="1:10">
      <c r="A58" s="1" t="s">
        <v>79</v>
      </c>
      <c r="B58" s="30">
        <f>+'American Network'!B58+'Executive Life'!B58+'Life Health America'!B58+'Lincoln Memorial'!B58+'National States'!B58+'Pen  Treaty'!B58+'Senior American'!B58</f>
        <v>0</v>
      </c>
      <c r="C58" s="30">
        <f>+'American Network'!C58+'Executive Life'!C58+'Life Health America'!C58+'Lincoln Memorial'!C58+'National States'!C58+'Pen  Treaty'!C58+'Senior American'!C58</f>
        <v>0</v>
      </c>
      <c r="D58" s="30">
        <f>+'American Network'!D58+'Executive Life'!D58+'Life Health America'!D58+'Lincoln Memorial'!D58+'National States'!D58+'Pen  Treaty'!D58+'Senior American'!D58</f>
        <v>0</v>
      </c>
      <c r="E58" s="30">
        <f>+'American Network'!E58+'Executive Life'!E58+'Life Health America'!E58+'Lincoln Memorial'!E58+'National States'!E58+'Pen  Treaty'!E58+'Senior American'!E58</f>
        <v>0</v>
      </c>
      <c r="F58" s="30">
        <f>+'American Network'!F58+'Executive Life'!F58+'Life Health America'!F58+'Lincoln Memorial'!F58+'National States'!F58+'Pen  Treaty'!F58+'Senior American'!F58</f>
        <v>0</v>
      </c>
      <c r="G58" s="30">
        <f t="shared" si="1"/>
        <v>0</v>
      </c>
      <c r="H58" s="30"/>
      <c r="I58" s="30"/>
      <c r="J58" s="30"/>
    </row>
    <row r="59" spans="1:10">
      <c r="B59" s="30"/>
      <c r="C59" s="30"/>
      <c r="D59" s="30"/>
      <c r="E59" s="30"/>
      <c r="F59" s="30"/>
      <c r="G59" s="30"/>
      <c r="H59" s="30"/>
      <c r="I59" s="30"/>
      <c r="J59" s="30"/>
    </row>
    <row r="60" spans="1:10">
      <c r="B60" s="30"/>
      <c r="C60" s="30"/>
      <c r="D60" s="30"/>
      <c r="E60" s="30"/>
      <c r="F60" s="30"/>
      <c r="G60" s="30"/>
      <c r="H60" s="30"/>
      <c r="I60" s="30"/>
      <c r="J60" s="30"/>
    </row>
    <row r="61" spans="1:10">
      <c r="A61" s="1" t="s">
        <v>8</v>
      </c>
      <c r="B61" s="30">
        <f>SUM(LIFE)</f>
        <v>1375103054.8715377</v>
      </c>
      <c r="C61" s="30">
        <f>SUM(ALLOCATED)</f>
        <v>1669774418.0269935</v>
      </c>
      <c r="D61" s="30">
        <f>SUM(HEALTH)</f>
        <v>2935484114.8846064</v>
      </c>
      <c r="E61" s="30">
        <f>SUM(UNALLOCATED)</f>
        <v>31872071.713030674</v>
      </c>
      <c r="F61" s="30">
        <f>SUM(LTC)</f>
        <v>18056536.368295141</v>
      </c>
      <c r="G61" s="30">
        <f>SUM(TOTAL)</f>
        <v>6030290195.8644619</v>
      </c>
      <c r="H61" s="30"/>
      <c r="I61" s="30"/>
      <c r="J61" s="30"/>
    </row>
    <row r="62" spans="1:10">
      <c r="G62" s="1" t="s">
        <v>623</v>
      </c>
    </row>
  </sheetData>
  <mergeCells count="1">
    <mergeCell ref="A1:G1"/>
  </mergeCells>
  <pageMargins left="0.25" right="0.25" top="0.5" bottom="0.5" header="0.3" footer="0.3"/>
  <pageSetup paperSize="5" scale="59"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pageSetUpPr fitToPage="1"/>
  </sheetPr>
  <dimension ref="A1:J61"/>
  <sheetViews>
    <sheetView zoomScale="75" workbookViewId="0">
      <selection activeCell="G27" sqref="G27"/>
    </sheetView>
  </sheetViews>
  <sheetFormatPr defaultRowHeight="15"/>
  <cols>
    <col min="1" max="1" width="20" style="1" customWidth="1"/>
    <col min="2" max="7" width="15" style="1" customWidth="1"/>
    <col min="8" max="8" width="9.140625" style="1" customWidth="1"/>
    <col min="9" max="9" width="41.5703125" style="1" customWidth="1"/>
    <col min="10" max="10" width="15" style="1" customWidth="1"/>
    <col min="11" max="11" width="9.140625" style="1" customWidth="1"/>
    <col min="12" max="16384" width="9.140625" style="1"/>
  </cols>
  <sheetData>
    <row r="1" spans="1:10">
      <c r="A1" s="144" t="s">
        <v>619</v>
      </c>
      <c r="B1" s="144"/>
      <c r="C1" s="144"/>
      <c r="D1" s="144"/>
      <c r="E1" s="144"/>
      <c r="F1" s="144"/>
      <c r="G1" s="144"/>
    </row>
    <row r="3" spans="1:10">
      <c r="B3" s="3"/>
      <c r="C3" s="3" t="s">
        <v>614</v>
      </c>
      <c r="D3" s="3"/>
      <c r="E3" s="3" t="s">
        <v>615</v>
      </c>
      <c r="F3" s="3"/>
      <c r="G3" s="3"/>
    </row>
    <row r="4" spans="1:10">
      <c r="B4" s="3" t="s">
        <v>3</v>
      </c>
      <c r="C4" s="3" t="s">
        <v>616</v>
      </c>
      <c r="D4" s="3" t="s">
        <v>5</v>
      </c>
      <c r="E4" s="3" t="s">
        <v>616</v>
      </c>
      <c r="F4" s="3" t="s">
        <v>7</v>
      </c>
      <c r="G4" s="3" t="s">
        <v>8</v>
      </c>
    </row>
    <row r="6" spans="1:10">
      <c r="A6" s="1" t="s">
        <v>11</v>
      </c>
      <c r="B6" s="30">
        <f>+'Andrew Jackson'!B6+'Colorado Health'!B6+'Compass (dbs Meritus)'!B6+'Consumers Choice'!B6+'Consumers Mutual'!B6+CoOportunity!B6+'Coordinated Hlth'!B6+ELNY!B6+'Farmers &amp; Ranchers'!B6+'First Natl (Thrnr)'!B6+'Freelancers CO-OP'!B6+HealthyCT!B6+'Land of Lincoln'!B6+Lumbermens!B6+'Memorial Service'!B6+'National Heritage'!B6+NNIC!B6+Reliance!B6+'Standard Life IN'!B6+'Universal Health Care'!B6</f>
        <v>695669.85421459528</v>
      </c>
      <c r="C6" s="30">
        <f>+'Andrew Jackson'!C6+'Colorado Health'!C6+'Compass (dbs Meritus)'!C6+'Consumers Choice'!C6+'Consumers Mutual'!C6+CoOportunity!C6+'Coordinated Hlth'!C6+ELNY!C6+'Farmers &amp; Ranchers'!C6+'First Natl (Thrnr)'!C6+'Freelancers CO-OP'!C6+HealthyCT!C6+'Land of Lincoln'!C6+Lumbermens!C6+'Memorial Service'!C6+'National Heritage'!C6+NNIC!C6+Reliance!C6+'Standard Life IN'!C6+'Universal Health Care'!C6</f>
        <v>944536.66969290795</v>
      </c>
      <c r="D6" s="30">
        <f>+'Andrew Jackson'!D6+'Colorado Health'!D6+'Compass (dbs Meritus)'!D6+'Consumers Choice'!D6+'Consumers Mutual'!D6+CoOportunity!D6+'Coordinated Hlth'!D6+ELNY!D6+'Farmers &amp; Ranchers'!D6+'First Natl (Thrnr)'!D6+'Freelancers CO-OP'!D6+HealthyCT!D6+'Land of Lincoln'!D6+Lumbermens!D6+'Memorial Service'!D6+'National Heritage'!D6+NNIC!D6+Reliance!D6+'Standard Life IN'!D6+'Universal Health Care'!D6</f>
        <v>134427.31711218675</v>
      </c>
      <c r="E6" s="30">
        <f>+'Andrew Jackson'!E6+'Colorado Health'!E6+'Compass (dbs Meritus)'!E6+'Consumers Choice'!E6+'Consumers Mutual'!E6+CoOportunity!E6+'Coordinated Hlth'!E6+ELNY!E6+'Farmers &amp; Ranchers'!E6+'First Natl (Thrnr)'!E6+'Freelancers CO-OP'!E6+HealthyCT!E6+'Land of Lincoln'!E6+Lumbermens!E6+'Memorial Service'!E6+'National Heritage'!E6+NNIC!E6+Reliance!E6+'Standard Life IN'!E6+'Universal Health Care'!E6</f>
        <v>0</v>
      </c>
      <c r="F6" s="30">
        <f>+'Andrew Jackson'!F6+'Colorado Health'!F6+'Compass (dbs Meritus)'!F6+'Consumers Choice'!F6+'Consumers Mutual'!F6+CoOportunity!F6+'Coordinated Hlth'!F6+ELNY!F6+'Farmers &amp; Ranchers'!F6+'First Natl (Thrnr)'!F6+'Freelancers CO-OP'!F6+HealthyCT!F6+'Land of Lincoln'!F6+Lumbermens!F6+'Memorial Service'!F6+'National Heritage'!F6+NNIC!F6+Reliance!F6+'Standard Life IN'!F6+'Universal Health Care'!F6</f>
        <v>0</v>
      </c>
      <c r="G6" s="30">
        <f t="shared" ref="G6:G37" si="0">SUM(B6:F6)</f>
        <v>1774633.8410196898</v>
      </c>
      <c r="H6" s="30"/>
      <c r="I6" s="30" t="s">
        <v>218</v>
      </c>
      <c r="J6" s="30">
        <f>Summary!TOTAL_60968</f>
        <v>25151328.769603077</v>
      </c>
    </row>
    <row r="7" spans="1:10">
      <c r="A7" s="1" t="s">
        <v>12</v>
      </c>
      <c r="B7" s="30">
        <f>+'Andrew Jackson'!B7+'Colorado Health'!B7+'Compass (dbs Meritus)'!B7+'Consumers Choice'!B7+'Consumers Mutual'!B7+CoOportunity!B7+'Coordinated Hlth'!B7+ELNY!B7+'Farmers &amp; Ranchers'!B7+'First Natl (Thrnr)'!B7+'Freelancers CO-OP'!B7+HealthyCT!B7+'Land of Lincoln'!B7+Lumbermens!B7+'Memorial Service'!B7+'National Heritage'!B7+NNIC!B7+Reliance!B7+'Standard Life IN'!B7+'Universal Health Care'!B7</f>
        <v>0</v>
      </c>
      <c r="C7" s="30">
        <f>+'Andrew Jackson'!C7+'Colorado Health'!C7+'Compass (dbs Meritus)'!C7+'Consumers Choice'!C7+'Consumers Mutual'!C7+CoOportunity!C7+'Coordinated Hlth'!C7+ELNY!C7+'Farmers &amp; Ranchers'!C7+'First Natl (Thrnr)'!C7+'Freelancers CO-OP'!C7+HealthyCT!C7+'Land of Lincoln'!C7+Lumbermens!C7+'Memorial Service'!C7+'National Heritage'!C7+NNIC!C7+Reliance!C7+'Standard Life IN'!C7+'Universal Health Care'!C7</f>
        <v>78171.28102994425</v>
      </c>
      <c r="D7" s="30">
        <f>+'Andrew Jackson'!D7+'Colorado Health'!D7+'Compass (dbs Meritus)'!D7+'Consumers Choice'!D7+'Consumers Mutual'!D7+CoOportunity!D7+'Coordinated Hlth'!D7+ELNY!D7+'Farmers &amp; Ranchers'!D7+'First Natl (Thrnr)'!D7+'Freelancers CO-OP'!D7+HealthyCT!D7+'Land of Lincoln'!D7+Lumbermens!D7+'Memorial Service'!D7+'National Heritage'!D7+NNIC!D7+Reliance!D7+'Standard Life IN'!D7+'Universal Health Care'!D7</f>
        <v>0.51000000000021828</v>
      </c>
      <c r="E7" s="30">
        <f>+'Andrew Jackson'!E7+'Colorado Health'!E7+'Compass (dbs Meritus)'!E7+'Consumers Choice'!E7+'Consumers Mutual'!E7+CoOportunity!E7+'Coordinated Hlth'!E7+ELNY!E7+'Farmers &amp; Ranchers'!E7+'First Natl (Thrnr)'!E7+'Freelancers CO-OP'!E7+HealthyCT!E7+'Land of Lincoln'!E7+Lumbermens!E7+'Memorial Service'!E7+'National Heritage'!E7+NNIC!E7+Reliance!E7+'Standard Life IN'!E7+'Universal Health Care'!E7</f>
        <v>0</v>
      </c>
      <c r="F7" s="30">
        <f>+'Andrew Jackson'!F7+'Colorado Health'!F7+'Compass (dbs Meritus)'!F7+'Consumers Choice'!F7+'Consumers Mutual'!F7+CoOportunity!F7+'Coordinated Hlth'!F7+ELNY!F7+'Farmers &amp; Ranchers'!F7+'First Natl (Thrnr)'!F7+'Freelancers CO-OP'!F7+HealthyCT!F7+'Land of Lincoln'!F7+Lumbermens!F7+'Memorial Service'!F7+'National Heritage'!F7+NNIC!F7+Reliance!F7+'Standard Life IN'!F7+'Universal Health Care'!F7</f>
        <v>0</v>
      </c>
      <c r="G7" s="30">
        <f t="shared" si="0"/>
        <v>78171.791029944245</v>
      </c>
      <c r="H7" s="30"/>
      <c r="I7" s="30" t="s">
        <v>223</v>
      </c>
      <c r="J7" s="30">
        <f>Summary!TOTAL_15126</f>
        <v>83658295</v>
      </c>
    </row>
    <row r="8" spans="1:10">
      <c r="A8" s="1" t="s">
        <v>13</v>
      </c>
      <c r="B8" s="30">
        <f>+'Andrew Jackson'!B8+'Colorado Health'!B8+'Compass (dbs Meritus)'!B8+'Consumers Choice'!B8+'Consumers Mutual'!B8+CoOportunity!B8+'Coordinated Hlth'!B8+ELNY!B8+'Farmers &amp; Ranchers'!B8+'First Natl (Thrnr)'!B8+'Freelancers CO-OP'!B8+HealthyCT!B8+'Land of Lincoln'!B8+Lumbermens!B8+'Memorial Service'!B8+'National Heritage'!B8+NNIC!B8+Reliance!B8+'Standard Life IN'!B8+'Universal Health Care'!B8</f>
        <v>9632.9764689473668</v>
      </c>
      <c r="C8" s="30">
        <f>+'Andrew Jackson'!C8+'Colorado Health'!C8+'Compass (dbs Meritus)'!C8+'Consumers Choice'!C8+'Consumers Mutual'!C8+CoOportunity!C8+'Coordinated Hlth'!C8+ELNY!C8+'Farmers &amp; Ranchers'!C8+'First Natl (Thrnr)'!C8+'Freelancers CO-OP'!C8+HealthyCT!C8+'Land of Lincoln'!C8+Lumbermens!C8+'Memorial Service'!C8+'National Heritage'!C8+NNIC!C8+Reliance!C8+'Standard Life IN'!C8+'Universal Health Care'!C8</f>
        <v>1610309.171944509</v>
      </c>
      <c r="D8" s="30">
        <f>+'Andrew Jackson'!D8+'Colorado Health'!D8+'Compass (dbs Meritus)'!D8+'Consumers Choice'!D8+'Consumers Mutual'!D8+CoOportunity!D8+'Coordinated Hlth'!D8+ELNY!D8+'Farmers &amp; Ranchers'!D8+'First Natl (Thrnr)'!D8+'Freelancers CO-OP'!D8+HealthyCT!D8+'Land of Lincoln'!D8+Lumbermens!D8+'Memorial Service'!D8+'National Heritage'!D8+NNIC!D8+Reliance!D8+'Standard Life IN'!D8+'Universal Health Care'!D8</f>
        <v>4084819.9690500186</v>
      </c>
      <c r="E8" s="30">
        <f>+'Andrew Jackson'!E8+'Colorado Health'!E8+'Compass (dbs Meritus)'!E8+'Consumers Choice'!E8+'Consumers Mutual'!E8+CoOportunity!E8+'Coordinated Hlth'!E8+ELNY!E8+'Farmers &amp; Ranchers'!E8+'First Natl (Thrnr)'!E8+'Freelancers CO-OP'!E8+HealthyCT!E8+'Land of Lincoln'!E8+Lumbermens!E8+'Memorial Service'!E8+'National Heritage'!E8+NNIC!E8+Reliance!E8+'Standard Life IN'!E8+'Universal Health Care'!E8</f>
        <v>0</v>
      </c>
      <c r="F8" s="30">
        <f>+'Andrew Jackson'!F8+'Colorado Health'!F8+'Compass (dbs Meritus)'!F8+'Consumers Choice'!F8+'Consumers Mutual'!F8+CoOportunity!F8+'Coordinated Hlth'!F8+ELNY!F8+'Farmers &amp; Ranchers'!F8+'First Natl (Thrnr)'!F8+'Freelancers CO-OP'!F8+HealthyCT!F8+'Land of Lincoln'!F8+Lumbermens!F8+'Memorial Service'!F8+'National Heritage'!F8+NNIC!F8+Reliance!F8+'Standard Life IN'!F8+'Universal Health Care'!F8</f>
        <v>0</v>
      </c>
      <c r="G8" s="30">
        <f t="shared" si="0"/>
        <v>5704762.1174634751</v>
      </c>
      <c r="H8" s="30"/>
      <c r="I8" s="30" t="s">
        <v>228</v>
      </c>
      <c r="J8" s="30">
        <f>Summary!TOTAL_15092</f>
        <v>3347549</v>
      </c>
    </row>
    <row r="9" spans="1:10">
      <c r="A9" s="1" t="s">
        <v>15</v>
      </c>
      <c r="B9" s="30">
        <f>+'Andrew Jackson'!B9+'Colorado Health'!B9+'Compass (dbs Meritus)'!B9+'Consumers Choice'!B9+'Consumers Mutual'!B9+CoOportunity!B9+'Coordinated Hlth'!B9+ELNY!B9+'Farmers &amp; Ranchers'!B9+'First Natl (Thrnr)'!B9+'Freelancers CO-OP'!B9+HealthyCT!B9+'Land of Lincoln'!B9+Lumbermens!B9+'Memorial Service'!B9+'National Heritage'!B9+NNIC!B9+Reliance!B9+'Standard Life IN'!B9+'Universal Health Care'!B9</f>
        <v>364570.17459493125</v>
      </c>
      <c r="C9" s="30">
        <f>+'Andrew Jackson'!C9+'Colorado Health'!C9+'Compass (dbs Meritus)'!C9+'Consumers Choice'!C9+'Consumers Mutual'!C9+CoOportunity!C9+'Coordinated Hlth'!C9+ELNY!C9+'Farmers &amp; Ranchers'!C9+'First Natl (Thrnr)'!C9+'Freelancers CO-OP'!C9+HealthyCT!C9+'Land of Lincoln'!C9+Lumbermens!C9+'Memorial Service'!C9+'National Heritage'!C9+NNIC!C9+Reliance!C9+'Standard Life IN'!C9+'Universal Health Care'!C9</f>
        <v>3129322.9404900759</v>
      </c>
      <c r="D9" s="30">
        <f>+'Andrew Jackson'!D9+'Colorado Health'!D9+'Compass (dbs Meritus)'!D9+'Consumers Choice'!D9+'Consumers Mutual'!D9+CoOportunity!D9+'Coordinated Hlth'!D9+ELNY!D9+'Farmers &amp; Ranchers'!D9+'First Natl (Thrnr)'!D9+'Freelancers CO-OP'!D9+HealthyCT!D9+'Land of Lincoln'!D9+Lumbermens!D9+'Memorial Service'!D9+'National Heritage'!D9+NNIC!D9+Reliance!D9+'Standard Life IN'!D9+'Universal Health Care'!D9</f>
        <v>291512.5893940432</v>
      </c>
      <c r="E9" s="30">
        <f>+'Andrew Jackson'!E9+'Colorado Health'!E9+'Compass (dbs Meritus)'!E9+'Consumers Choice'!E9+'Consumers Mutual'!E9+CoOportunity!E9+'Coordinated Hlth'!E9+ELNY!E9+'Farmers &amp; Ranchers'!E9+'First Natl (Thrnr)'!E9+'Freelancers CO-OP'!E9+HealthyCT!E9+'Land of Lincoln'!E9+Lumbermens!E9+'Memorial Service'!E9+'National Heritage'!E9+NNIC!E9+Reliance!E9+'Standard Life IN'!E9+'Universal Health Care'!E9</f>
        <v>0</v>
      </c>
      <c r="F9" s="30">
        <f>+'Andrew Jackson'!F9+'Colorado Health'!F9+'Compass (dbs Meritus)'!F9+'Consumers Choice'!F9+'Consumers Mutual'!F9+CoOportunity!F9+'Coordinated Hlth'!F9+ELNY!F9+'Farmers &amp; Ranchers'!F9+'First Natl (Thrnr)'!F9+'Freelancers CO-OP'!F9+HealthyCT!F9+'Land of Lincoln'!F9+Lumbermens!F9+'Memorial Service'!F9+'National Heritage'!F9+NNIC!F9+Reliance!F9+'Standard Life IN'!F9+'Universal Health Care'!F9</f>
        <v>0</v>
      </c>
      <c r="G9" s="30">
        <f t="shared" si="0"/>
        <v>3785405.7044790504</v>
      </c>
      <c r="H9" s="30"/>
      <c r="I9" s="30" t="s">
        <v>233</v>
      </c>
      <c r="J9" s="30">
        <f>Summary!TOTAL_15145</f>
        <v>34784248.960000001</v>
      </c>
    </row>
    <row r="10" spans="1:10">
      <c r="A10" s="1" t="s">
        <v>16</v>
      </c>
      <c r="B10" s="30">
        <f>+'Andrew Jackson'!B10+'Colorado Health'!B10+'Compass (dbs Meritus)'!B10+'Consumers Choice'!B10+'Consumers Mutual'!B10+CoOportunity!B10+'Coordinated Hlth'!B10+ELNY!B10+'Farmers &amp; Ranchers'!B10+'First Natl (Thrnr)'!B10+'Freelancers CO-OP'!B10+HealthyCT!B10+'Land of Lincoln'!B10+Lumbermens!B10+'Memorial Service'!B10+'National Heritage'!B10+NNIC!B10+Reliance!B10+'Standard Life IN'!B10+'Universal Health Care'!B10</f>
        <v>33148.033605579112</v>
      </c>
      <c r="C10" s="30">
        <f>+'Andrew Jackson'!C10+'Colorado Health'!C10+'Compass (dbs Meritus)'!C10+'Consumers Choice'!C10+'Consumers Mutual'!C10+CoOportunity!C10+'Coordinated Hlth'!C10+ELNY!C10+'Farmers &amp; Ranchers'!C10+'First Natl (Thrnr)'!C10+'Freelancers CO-OP'!C10+HealthyCT!C10+'Land of Lincoln'!C10+Lumbermens!C10+'Memorial Service'!C10+'National Heritage'!C10+NNIC!C10+Reliance!C10+'Standard Life IN'!C10+'Universal Health Care'!C10</f>
        <v>21724721.296958126</v>
      </c>
      <c r="D10" s="30">
        <f>+'Andrew Jackson'!D10+'Colorado Health'!D10+'Compass (dbs Meritus)'!D10+'Consumers Choice'!D10+'Consumers Mutual'!D10+CoOportunity!D10+'Coordinated Hlth'!D10+ELNY!D10+'Farmers &amp; Ranchers'!D10+'First Natl (Thrnr)'!D10+'Freelancers CO-OP'!D10+HealthyCT!D10+'Land of Lincoln'!D10+Lumbermens!D10+'Memorial Service'!D10+'National Heritage'!D10+NNIC!D10+Reliance!D10+'Standard Life IN'!D10+'Universal Health Care'!D10</f>
        <v>2476860.3981467923</v>
      </c>
      <c r="E10" s="30">
        <f>+'Andrew Jackson'!E10+'Colorado Health'!E10+'Compass (dbs Meritus)'!E10+'Consumers Choice'!E10+'Consumers Mutual'!E10+CoOportunity!E10+'Coordinated Hlth'!E10+ELNY!E10+'Farmers &amp; Ranchers'!E10+'First Natl (Thrnr)'!E10+'Freelancers CO-OP'!E10+HealthyCT!E10+'Land of Lincoln'!E10+Lumbermens!E10+'Memorial Service'!E10+'National Heritage'!E10+NNIC!E10+Reliance!E10+'Standard Life IN'!E10+'Universal Health Care'!E10</f>
        <v>0</v>
      </c>
      <c r="F10" s="30">
        <f>+'Andrew Jackson'!F10+'Colorado Health'!F10+'Compass (dbs Meritus)'!F10+'Consumers Choice'!F10+'Consumers Mutual'!F10+CoOportunity!F10+'Coordinated Hlth'!F10+ELNY!F10+'Farmers &amp; Ranchers'!F10+'First Natl (Thrnr)'!F10+'Freelancers CO-OP'!F10+HealthyCT!F10+'Land of Lincoln'!F10+Lumbermens!F10+'Memorial Service'!F10+'National Heritage'!F10+NNIC!F10+Reliance!F10+'Standard Life IN'!F10+'Universal Health Care'!F10</f>
        <v>0</v>
      </c>
      <c r="G10" s="30">
        <f t="shared" si="0"/>
        <v>24234729.728710499</v>
      </c>
      <c r="H10" s="30"/>
      <c r="I10" s="30" t="s">
        <v>102</v>
      </c>
      <c r="J10" s="30">
        <f>Summary!TOTAL_15128</f>
        <v>5569399</v>
      </c>
    </row>
    <row r="11" spans="1:10">
      <c r="A11" s="1" t="s">
        <v>18</v>
      </c>
      <c r="B11" s="30">
        <f>+'Andrew Jackson'!B11+'Colorado Health'!B11+'Compass (dbs Meritus)'!B11+'Consumers Choice'!B11+'Consumers Mutual'!B11+CoOportunity!B11+'Coordinated Hlth'!B11+ELNY!B11+'Farmers &amp; Ranchers'!B11+'First Natl (Thrnr)'!B11+'Freelancers CO-OP'!B11+HealthyCT!B11+'Land of Lincoln'!B11+Lumbermens!B11+'Memorial Service'!B11+'National Heritage'!B11+NNIC!B11+Reliance!B11+'Standard Life IN'!B11+'Universal Health Care'!B11</f>
        <v>25816.667686901892</v>
      </c>
      <c r="C11" s="30">
        <f>+'Andrew Jackson'!C11+'Colorado Health'!C11+'Compass (dbs Meritus)'!C11+'Consumers Choice'!C11+'Consumers Mutual'!C11+CoOportunity!C11+'Coordinated Hlth'!C11+ELNY!C11+'Farmers &amp; Ranchers'!C11+'First Natl (Thrnr)'!C11+'Freelancers CO-OP'!C11+HealthyCT!C11+'Land of Lincoln'!C11+Lumbermens!C11+'Memorial Service'!C11+'National Heritage'!C11+NNIC!C11+Reliance!C11+'Standard Life IN'!C11+'Universal Health Care'!C11</f>
        <v>3276044.0132530741</v>
      </c>
      <c r="D11" s="30">
        <f>+'Andrew Jackson'!D11+'Colorado Health'!D11+'Compass (dbs Meritus)'!D11+'Consumers Choice'!D11+'Consumers Mutual'!D11+CoOportunity!D11+'Coordinated Hlth'!D11+ELNY!D11+'Farmers &amp; Ranchers'!D11+'First Natl (Thrnr)'!D11+'Freelancers CO-OP'!D11+HealthyCT!D11+'Land of Lincoln'!D11+Lumbermens!D11+'Memorial Service'!D11+'National Heritage'!D11+NNIC!D11+Reliance!D11+'Standard Life IN'!D11+'Universal Health Care'!D11</f>
        <v>83750616.10137549</v>
      </c>
      <c r="E11" s="30">
        <f>+'Andrew Jackson'!E11+'Colorado Health'!E11+'Compass (dbs Meritus)'!E11+'Consumers Choice'!E11+'Consumers Mutual'!E11+CoOportunity!E11+'Coordinated Hlth'!E11+ELNY!E11+'Farmers &amp; Ranchers'!E11+'First Natl (Thrnr)'!E11+'Freelancers CO-OP'!E11+HealthyCT!E11+'Land of Lincoln'!E11+Lumbermens!E11+'Memorial Service'!E11+'National Heritage'!E11+NNIC!E11+Reliance!E11+'Standard Life IN'!E11+'Universal Health Care'!E11</f>
        <v>0</v>
      </c>
      <c r="F11" s="30">
        <f>+'Andrew Jackson'!F11+'Colorado Health'!F11+'Compass (dbs Meritus)'!F11+'Consumers Choice'!F11+'Consumers Mutual'!F11+CoOportunity!F11+'Coordinated Hlth'!F11+ELNY!F11+'Farmers &amp; Ranchers'!F11+'First Natl (Thrnr)'!F11+'Freelancers CO-OP'!F11+HealthyCT!F11+'Land of Lincoln'!F11+Lumbermens!F11+'Memorial Service'!F11+'National Heritage'!F11+NNIC!F11+Reliance!F11+'Standard Life IN'!F11+'Universal Health Care'!F11</f>
        <v>0</v>
      </c>
      <c r="G11" s="30">
        <f t="shared" si="0"/>
        <v>87052476.782315463</v>
      </c>
      <c r="H11" s="30"/>
      <c r="I11" s="30" t="s">
        <v>104</v>
      </c>
      <c r="J11" s="30">
        <f>Summary!TOTAL_15093</f>
        <v>29019870.332349885</v>
      </c>
    </row>
    <row r="12" spans="1:10">
      <c r="A12" s="1" t="s">
        <v>19</v>
      </c>
      <c r="B12" s="30">
        <f>+'Andrew Jackson'!B12+'Colorado Health'!B12+'Compass (dbs Meritus)'!B12+'Consumers Choice'!B12+'Consumers Mutual'!B12+CoOportunity!B12+'Coordinated Hlth'!B12+ELNY!B12+'Farmers &amp; Ranchers'!B12+'First Natl (Thrnr)'!B12+'Freelancers CO-OP'!B12+HealthyCT!B12+'Land of Lincoln'!B12+Lumbermens!B12+'Memorial Service'!B12+'National Heritage'!B12+NNIC!B12+Reliance!B12+'Standard Life IN'!B12+'Universal Health Care'!B12</f>
        <v>0</v>
      </c>
      <c r="C12" s="30">
        <f>+'Andrew Jackson'!C12+'Colorado Health'!C12+'Compass (dbs Meritus)'!C12+'Consumers Choice'!C12+'Consumers Mutual'!C12+CoOportunity!C12+'Coordinated Hlth'!C12+ELNY!C12+'Farmers &amp; Ranchers'!C12+'First Natl (Thrnr)'!C12+'Freelancers CO-OP'!C12+HealthyCT!C12+'Land of Lincoln'!C12+Lumbermens!C12+'Memorial Service'!C12+'National Heritage'!C12+NNIC!C12+Reliance!C12+'Standard Life IN'!C12+'Universal Health Care'!C12</f>
        <v>24271157.907914273</v>
      </c>
      <c r="D12" s="30">
        <f>+'Andrew Jackson'!D12+'Colorado Health'!D12+'Compass (dbs Meritus)'!D12+'Consumers Choice'!D12+'Consumers Mutual'!D12+CoOportunity!D12+'Coordinated Hlth'!D12+ELNY!D12+'Farmers &amp; Ranchers'!D12+'First Natl (Thrnr)'!D12+'Freelancers CO-OP'!D12+HealthyCT!D12+'Land of Lincoln'!D12+Lumbermens!D12+'Memorial Service'!D12+'National Heritage'!D12+NNIC!D12+Reliance!D12+'Standard Life IN'!D12+'Universal Health Care'!D12</f>
        <v>287489.28875910037</v>
      </c>
      <c r="E12" s="30">
        <f>+'Andrew Jackson'!E12+'Colorado Health'!E12+'Compass (dbs Meritus)'!E12+'Consumers Choice'!E12+'Consumers Mutual'!E12+CoOportunity!E12+'Coordinated Hlth'!E12+ELNY!E12+'Farmers &amp; Ranchers'!E12+'First Natl (Thrnr)'!E12+'Freelancers CO-OP'!E12+HealthyCT!E12+'Land of Lincoln'!E12+Lumbermens!E12+'Memorial Service'!E12+'National Heritage'!E12+NNIC!E12+Reliance!E12+'Standard Life IN'!E12+'Universal Health Care'!E12</f>
        <v>0</v>
      </c>
      <c r="F12" s="30">
        <f>+'Andrew Jackson'!F12+'Colorado Health'!F12+'Compass (dbs Meritus)'!F12+'Consumers Choice'!F12+'Consumers Mutual'!F12+CoOportunity!F12+'Coordinated Hlth'!F12+ELNY!F12+'Farmers &amp; Ranchers'!F12+'First Natl (Thrnr)'!F12+'Freelancers CO-OP'!F12+HealthyCT!F12+'Land of Lincoln'!F12+Lumbermens!F12+'Memorial Service'!F12+'National Heritage'!F12+NNIC!F12+Reliance!F12+'Standard Life IN'!F12+'Universal Health Care'!F12</f>
        <v>0</v>
      </c>
      <c r="G12" s="30">
        <f t="shared" si="0"/>
        <v>24558647.196673375</v>
      </c>
      <c r="H12" s="30"/>
      <c r="I12" s="30" t="s">
        <v>246</v>
      </c>
      <c r="J12" s="30">
        <f>Summary!TOTAL_15314</f>
        <v>8388718</v>
      </c>
    </row>
    <row r="13" spans="1:10">
      <c r="A13" s="1" t="s">
        <v>21</v>
      </c>
      <c r="B13" s="30">
        <f>+'Andrew Jackson'!B13+'Colorado Health'!B13+'Compass (dbs Meritus)'!B13+'Consumers Choice'!B13+'Consumers Mutual'!B13+CoOportunity!B13+'Coordinated Hlth'!B13+ELNY!B13+'Farmers &amp; Ranchers'!B13+'First Natl (Thrnr)'!B13+'Freelancers CO-OP'!B13+HealthyCT!B13+'Land of Lincoln'!B13+Lumbermens!B13+'Memorial Service'!B13+'National Heritage'!B13+NNIC!B13+Reliance!B13+'Standard Life IN'!B13+'Universal Health Care'!B13</f>
        <v>330703.46473000501</v>
      </c>
      <c r="C13" s="30">
        <f>+'Andrew Jackson'!C13+'Colorado Health'!C13+'Compass (dbs Meritus)'!C13+'Consumers Choice'!C13+'Consumers Mutual'!C13+CoOportunity!C13+'Coordinated Hlth'!C13+ELNY!C13+'Farmers &amp; Ranchers'!C13+'First Natl (Thrnr)'!C13+'Freelancers CO-OP'!C13+HealthyCT!C13+'Land of Lincoln'!C13+Lumbermens!C13+'Memorial Service'!C13+'National Heritage'!C13+NNIC!C13+Reliance!C13+'Standard Life IN'!C13+'Universal Health Care'!C13</f>
        <v>11020238.564847313</v>
      </c>
      <c r="D13" s="30">
        <f>+'Andrew Jackson'!D13+'Colorado Health'!D13+'Compass (dbs Meritus)'!D13+'Consumers Choice'!D13+'Consumers Mutual'!D13+CoOportunity!D13+'Coordinated Hlth'!D13+ELNY!D13+'Farmers &amp; Ranchers'!D13+'First Natl (Thrnr)'!D13+'Freelancers CO-OP'!D13+HealthyCT!D13+'Land of Lincoln'!D13+Lumbermens!D13+'Memorial Service'!D13+'National Heritage'!D13+NNIC!D13+Reliance!D13+'Standard Life IN'!D13+'Universal Health Care'!D13</f>
        <v>61023.840141780369</v>
      </c>
      <c r="E13" s="30">
        <f>+'Andrew Jackson'!E13+'Colorado Health'!E13+'Compass (dbs Meritus)'!E13+'Consumers Choice'!E13+'Consumers Mutual'!E13+CoOportunity!E13+'Coordinated Hlth'!E13+ELNY!E13+'Farmers &amp; Ranchers'!E13+'First Natl (Thrnr)'!E13+'Freelancers CO-OP'!E13+HealthyCT!E13+'Land of Lincoln'!E13+Lumbermens!E13+'Memorial Service'!E13+'National Heritage'!E13+NNIC!E13+Reliance!E13+'Standard Life IN'!E13+'Universal Health Care'!E13</f>
        <v>0</v>
      </c>
      <c r="F13" s="30">
        <f>+'Andrew Jackson'!F13+'Colorado Health'!F13+'Compass (dbs Meritus)'!F13+'Consumers Choice'!F13+'Consumers Mutual'!F13+CoOportunity!F13+'Coordinated Hlth'!F13+ELNY!F13+'Farmers &amp; Ranchers'!F13+'First Natl (Thrnr)'!F13+'Freelancers CO-OP'!F13+HealthyCT!F13+'Land of Lincoln'!F13+Lumbermens!F13+'Memorial Service'!F13+'National Heritage'!F13+NNIC!F13+Reliance!F13+'Standard Life IN'!F13+'Universal Health Care'!F13</f>
        <v>0</v>
      </c>
      <c r="G13" s="30">
        <f t="shared" si="0"/>
        <v>11411965.869719099</v>
      </c>
      <c r="H13" s="30"/>
      <c r="I13" s="30" t="s">
        <v>250</v>
      </c>
      <c r="J13" s="30">
        <f>Summary!TOTAL_61913</f>
        <v>801859656.73644018</v>
      </c>
    </row>
    <row r="14" spans="1:10">
      <c r="A14" s="1" t="s">
        <v>23</v>
      </c>
      <c r="B14" s="30">
        <f>+'Andrew Jackson'!B14+'Colorado Health'!B14+'Compass (dbs Meritus)'!B14+'Consumers Choice'!B14+'Consumers Mutual'!B14+CoOportunity!B14+'Coordinated Hlth'!B14+ELNY!B14+'Farmers &amp; Ranchers'!B14+'First Natl (Thrnr)'!B14+'Freelancers CO-OP'!B14+HealthyCT!B14+'Land of Lincoln'!B14+Lumbermens!B14+'Memorial Service'!B14+'National Heritage'!B14+NNIC!B14+Reliance!B14+'Standard Life IN'!B14+'Universal Health Care'!B14</f>
        <v>5462.1630946412261</v>
      </c>
      <c r="C14" s="30">
        <f>+'Andrew Jackson'!C14+'Colorado Health'!C14+'Compass (dbs Meritus)'!C14+'Consumers Choice'!C14+'Consumers Mutual'!C14+CoOportunity!C14+'Coordinated Hlth'!C14+ELNY!C14+'Farmers &amp; Ranchers'!C14+'First Natl (Thrnr)'!C14+'Freelancers CO-OP'!C14+HealthyCT!C14+'Land of Lincoln'!C14+Lumbermens!C14+'Memorial Service'!C14+'National Heritage'!C14+NNIC!C14+Reliance!C14+'Standard Life IN'!C14+'Universal Health Care'!C14</f>
        <v>53408.457943357702</v>
      </c>
      <c r="D14" s="30">
        <f>+'Andrew Jackson'!D14+'Colorado Health'!D14+'Compass (dbs Meritus)'!D14+'Consumers Choice'!D14+'Consumers Mutual'!D14+CoOportunity!D14+'Coordinated Hlth'!D14+ELNY!D14+'Farmers &amp; Ranchers'!D14+'First Natl (Thrnr)'!D14+'Freelancers CO-OP'!D14+HealthyCT!D14+'Land of Lincoln'!D14+Lumbermens!D14+'Memorial Service'!D14+'National Heritage'!D14+NNIC!D14+Reliance!D14+'Standard Life IN'!D14+'Universal Health Care'!D14</f>
        <v>-6.9999999999708962E-2</v>
      </c>
      <c r="E14" s="30">
        <f>+'Andrew Jackson'!E14+'Colorado Health'!E14+'Compass (dbs Meritus)'!E14+'Consumers Choice'!E14+'Consumers Mutual'!E14+CoOportunity!E14+'Coordinated Hlth'!E14+ELNY!E14+'Farmers &amp; Ranchers'!E14+'First Natl (Thrnr)'!E14+'Freelancers CO-OP'!E14+HealthyCT!E14+'Land of Lincoln'!E14+Lumbermens!E14+'Memorial Service'!E14+'National Heritage'!E14+NNIC!E14+Reliance!E14+'Standard Life IN'!E14+'Universal Health Care'!E14</f>
        <v>0</v>
      </c>
      <c r="F14" s="30">
        <f>+'Andrew Jackson'!F14+'Colorado Health'!F14+'Compass (dbs Meritus)'!F14+'Consumers Choice'!F14+'Consumers Mutual'!F14+CoOportunity!F14+'Coordinated Hlth'!F14+ELNY!F14+'Farmers &amp; Ranchers'!F14+'First Natl (Thrnr)'!F14+'Freelancers CO-OP'!F14+HealthyCT!F14+'Land of Lincoln'!F14+Lumbermens!F14+'Memorial Service'!F14+'National Heritage'!F14+NNIC!F14+Reliance!F14+'Standard Life IN'!F14+'Universal Health Care'!F14</f>
        <v>0</v>
      </c>
      <c r="G14" s="30">
        <f t="shared" si="0"/>
        <v>58870.551037998928</v>
      </c>
      <c r="H14" s="30"/>
      <c r="I14" s="30" t="s">
        <v>255</v>
      </c>
      <c r="J14" s="30">
        <f>Summary!TOTAL_63185</f>
        <v>9196677.4056882318</v>
      </c>
    </row>
    <row r="15" spans="1:10">
      <c r="A15" s="1" t="s">
        <v>25</v>
      </c>
      <c r="B15" s="30">
        <f>+'Andrew Jackson'!B15+'Colorado Health'!B15+'Compass (dbs Meritus)'!B15+'Consumers Choice'!B15+'Consumers Mutual'!B15+CoOportunity!B15+'Coordinated Hlth'!B15+ELNY!B15+'Farmers &amp; Ranchers'!B15+'First Natl (Thrnr)'!B15+'Freelancers CO-OP'!B15+HealthyCT!B15+'Land of Lincoln'!B15+Lumbermens!B15+'Memorial Service'!B15+'National Heritage'!B15+NNIC!B15+Reliance!B15+'Standard Life IN'!B15+'Universal Health Care'!B15</f>
        <v>2527833.232915841</v>
      </c>
      <c r="C15" s="30">
        <f>+'Andrew Jackson'!C15+'Colorado Health'!C15+'Compass (dbs Meritus)'!C15+'Consumers Choice'!C15+'Consumers Mutual'!C15+CoOportunity!C15+'Coordinated Hlth'!C15+ELNY!C15+'Farmers &amp; Ranchers'!C15+'First Natl (Thrnr)'!C15+'Freelancers CO-OP'!C15+HealthyCT!C15+'Land of Lincoln'!C15+Lumbermens!C15+'Memorial Service'!C15+'National Heritage'!C15+NNIC!C15+Reliance!C15+'Standard Life IN'!C15+'Universal Health Care'!C15</f>
        <v>52218290.279942341</v>
      </c>
      <c r="D15" s="30">
        <f>+'Andrew Jackson'!D15+'Colorado Health'!D15+'Compass (dbs Meritus)'!D15+'Consumers Choice'!D15+'Consumers Mutual'!D15+CoOportunity!D15+'Coordinated Hlth'!D15+ELNY!D15+'Farmers &amp; Ranchers'!D15+'First Natl (Thrnr)'!D15+'Freelancers CO-OP'!D15+HealthyCT!D15+'Land of Lincoln'!D15+Lumbermens!D15+'Memorial Service'!D15+'National Heritage'!D15+NNIC!D15+Reliance!D15+'Standard Life IN'!D15+'Universal Health Care'!D15</f>
        <v>3684940.4367751628</v>
      </c>
      <c r="E15" s="30">
        <f>+'Andrew Jackson'!E15+'Colorado Health'!E15+'Compass (dbs Meritus)'!E15+'Consumers Choice'!E15+'Consumers Mutual'!E15+CoOportunity!E15+'Coordinated Hlth'!E15+ELNY!E15+'Farmers &amp; Ranchers'!E15+'First Natl (Thrnr)'!E15+'Freelancers CO-OP'!E15+HealthyCT!E15+'Land of Lincoln'!E15+Lumbermens!E15+'Memorial Service'!E15+'National Heritage'!E15+NNIC!E15+Reliance!E15+'Standard Life IN'!E15+'Universal Health Care'!E15</f>
        <v>0</v>
      </c>
      <c r="F15" s="30">
        <f>+'Andrew Jackson'!F15+'Colorado Health'!F15+'Compass (dbs Meritus)'!F15+'Consumers Choice'!F15+'Consumers Mutual'!F15+CoOportunity!F15+'Coordinated Hlth'!F15+ELNY!F15+'Farmers &amp; Ranchers'!F15+'First Natl (Thrnr)'!F15+'Freelancers CO-OP'!F15+HealthyCT!F15+'Land of Lincoln'!F15+Lumbermens!F15+'Memorial Service'!F15+'National Heritage'!F15+NNIC!F15+Reliance!F15+'Standard Life IN'!F15+'Universal Health Care'!F15</f>
        <v>0</v>
      </c>
      <c r="G15" s="30">
        <f t="shared" si="0"/>
        <v>58431063.949633345</v>
      </c>
      <c r="H15" s="30"/>
      <c r="I15" s="30" t="s">
        <v>260</v>
      </c>
      <c r="J15" s="30">
        <f>Summary!TOTAL_63525</f>
        <v>4669973.5202963641</v>
      </c>
    </row>
    <row r="16" spans="1:10">
      <c r="A16" s="1" t="s">
        <v>27</v>
      </c>
      <c r="B16" s="30">
        <f>+'Andrew Jackson'!B16+'Colorado Health'!B16+'Compass (dbs Meritus)'!B16+'Consumers Choice'!B16+'Consumers Mutual'!B16+CoOportunity!B16+'Coordinated Hlth'!B16+ELNY!B16+'Farmers &amp; Ranchers'!B16+'First Natl (Thrnr)'!B16+'Freelancers CO-OP'!B16+HealthyCT!B16+'Land of Lincoln'!B16+Lumbermens!B16+'Memorial Service'!B16+'National Heritage'!B16+NNIC!B16+Reliance!B16+'Standard Life IN'!B16+'Universal Health Care'!B16</f>
        <v>341401.68144720793</v>
      </c>
      <c r="C16" s="30">
        <f>+'Andrew Jackson'!C16+'Colorado Health'!C16+'Compass (dbs Meritus)'!C16+'Consumers Choice'!C16+'Consumers Mutual'!C16+CoOportunity!C16+'Coordinated Hlth'!C16+ELNY!C16+'Farmers &amp; Ranchers'!C16+'First Natl (Thrnr)'!C16+'Freelancers CO-OP'!C16+HealthyCT!C16+'Land of Lincoln'!C16+Lumbermens!C16+'Memorial Service'!C16+'National Heritage'!C16+NNIC!C16+Reliance!C16+'Standard Life IN'!C16+'Universal Health Care'!C16</f>
        <v>5351971.254717933</v>
      </c>
      <c r="D16" s="30">
        <f>+'Andrew Jackson'!D16+'Colorado Health'!D16+'Compass (dbs Meritus)'!D16+'Consumers Choice'!D16+'Consumers Mutual'!D16+CoOportunity!D16+'Coordinated Hlth'!D16+ELNY!D16+'Farmers &amp; Ranchers'!D16+'First Natl (Thrnr)'!D16+'Freelancers CO-OP'!D16+HealthyCT!D16+'Land of Lincoln'!D16+Lumbermens!D16+'Memorial Service'!D16+'National Heritage'!D16+NNIC!D16+Reliance!D16+'Standard Life IN'!D16+'Universal Health Care'!D16</f>
        <v>154419.25906420249</v>
      </c>
      <c r="E16" s="30">
        <f>+'Andrew Jackson'!E16+'Colorado Health'!E16+'Compass (dbs Meritus)'!E16+'Consumers Choice'!E16+'Consumers Mutual'!E16+CoOportunity!E16+'Coordinated Hlth'!E16+ELNY!E16+'Farmers &amp; Ranchers'!E16+'First Natl (Thrnr)'!E16+'Freelancers CO-OP'!E16+HealthyCT!E16+'Land of Lincoln'!E16+Lumbermens!E16+'Memorial Service'!E16+'National Heritage'!E16+NNIC!E16+Reliance!E16+'Standard Life IN'!E16+'Universal Health Care'!E16</f>
        <v>0</v>
      </c>
      <c r="F16" s="30">
        <f>+'Andrew Jackson'!F16+'Colorado Health'!F16+'Compass (dbs Meritus)'!F16+'Consumers Choice'!F16+'Consumers Mutual'!F16+CoOportunity!F16+'Coordinated Hlth'!F16+ELNY!F16+'Farmers &amp; Ranchers'!F16+'First Natl (Thrnr)'!F16+'Freelancers CO-OP'!F16+HealthyCT!F16+'Land of Lincoln'!F16+Lumbermens!F16+'Memorial Service'!F16+'National Heritage'!F16+NNIC!F16+Reliance!F16+'Standard Life IN'!F16+'Universal Health Care'!F16</f>
        <v>0</v>
      </c>
      <c r="G16" s="30">
        <f t="shared" si="0"/>
        <v>5847792.1952293431</v>
      </c>
      <c r="H16" s="30"/>
      <c r="I16" s="30" t="s">
        <v>264</v>
      </c>
      <c r="J16" s="30">
        <f>Summary!TOTAL_15197</f>
        <v>23625000</v>
      </c>
    </row>
    <row r="17" spans="1:10">
      <c r="A17" s="1" t="s">
        <v>29</v>
      </c>
      <c r="B17" s="30">
        <f>+'Andrew Jackson'!B17+'Colorado Health'!B17+'Compass (dbs Meritus)'!B17+'Consumers Choice'!B17+'Consumers Mutual'!B17+CoOportunity!B17+'Coordinated Hlth'!B17+ELNY!B17+'Farmers &amp; Ranchers'!B17+'First Natl (Thrnr)'!B17+'Freelancers CO-OP'!B17+HealthyCT!B17+'Land of Lincoln'!B17+Lumbermens!B17+'Memorial Service'!B17+'National Heritage'!B17+NNIC!B17+Reliance!B17+'Standard Life IN'!B17+'Universal Health Care'!B17</f>
        <v>5389.0295755017578</v>
      </c>
      <c r="C17" s="30">
        <f>+'Andrew Jackson'!C17+'Colorado Health'!C17+'Compass (dbs Meritus)'!C17+'Consumers Choice'!C17+'Consumers Mutual'!C17+CoOportunity!C17+'Coordinated Hlth'!C17+ELNY!C17+'Farmers &amp; Ranchers'!C17+'First Natl (Thrnr)'!C17+'Freelancers CO-OP'!C17+HealthyCT!C17+'Land of Lincoln'!C17+Lumbermens!C17+'Memorial Service'!C17+'National Heritage'!C17+NNIC!C17+Reliance!C17+'Standard Life IN'!C17+'Universal Health Care'!C17</f>
        <v>637940.89292296336</v>
      </c>
      <c r="D17" s="30">
        <f>+'Andrew Jackson'!D17+'Colorado Health'!D17+'Compass (dbs Meritus)'!D17+'Consumers Choice'!D17+'Consumers Mutual'!D17+CoOportunity!D17+'Coordinated Hlth'!D17+ELNY!D17+'Farmers &amp; Ranchers'!D17+'First Natl (Thrnr)'!D17+'Freelancers CO-OP'!D17+HealthyCT!D17+'Land of Lincoln'!D17+Lumbermens!D17+'Memorial Service'!D17+'National Heritage'!D17+NNIC!D17+Reliance!D17+'Standard Life IN'!D17+'Universal Health Care'!D17</f>
        <v>274523.13939404319</v>
      </c>
      <c r="E17" s="30">
        <f>+'Andrew Jackson'!E17+'Colorado Health'!E17+'Compass (dbs Meritus)'!E17+'Consumers Choice'!E17+'Consumers Mutual'!E17+CoOportunity!E17+'Coordinated Hlth'!E17+ELNY!E17+'Farmers &amp; Ranchers'!E17+'First Natl (Thrnr)'!E17+'Freelancers CO-OP'!E17+HealthyCT!E17+'Land of Lincoln'!E17+Lumbermens!E17+'Memorial Service'!E17+'National Heritage'!E17+NNIC!E17+Reliance!E17+'Standard Life IN'!E17+'Universal Health Care'!E17</f>
        <v>0</v>
      </c>
      <c r="F17" s="30">
        <f>+'Andrew Jackson'!F17+'Colorado Health'!F17+'Compass (dbs Meritus)'!F17+'Consumers Choice'!F17+'Consumers Mutual'!F17+CoOportunity!F17+'Coordinated Hlth'!F17+ELNY!F17+'Farmers &amp; Ranchers'!F17+'First Natl (Thrnr)'!F17+'Freelancers CO-OP'!F17+HealthyCT!F17+'Land of Lincoln'!F17+Lumbermens!F17+'Memorial Service'!F17+'National Heritage'!F17+NNIC!F17+Reliance!F17+'Standard Life IN'!F17+'Universal Health Care'!F17</f>
        <v>0</v>
      </c>
      <c r="G17" s="30">
        <f t="shared" si="0"/>
        <v>917853.0618925083</v>
      </c>
      <c r="H17" s="30"/>
      <c r="I17" s="30" t="s">
        <v>124</v>
      </c>
      <c r="J17" s="30">
        <f>Summary!TOTAL_15046</f>
        <v>9165</v>
      </c>
    </row>
    <row r="18" spans="1:10">
      <c r="A18" s="1" t="s">
        <v>30</v>
      </c>
      <c r="B18" s="30">
        <f>+'Andrew Jackson'!B18+'Colorado Health'!B18+'Compass (dbs Meritus)'!B18+'Consumers Choice'!B18+'Consumers Mutual'!B18+CoOportunity!B18+'Coordinated Hlth'!B18+ELNY!B18+'Farmers &amp; Ranchers'!B18+'First Natl (Thrnr)'!B18+'Freelancers CO-OP'!B18+HealthyCT!B18+'Land of Lincoln'!B18+Lumbermens!B18+'Memorial Service'!B18+'National Heritage'!B18+NNIC!B18+Reliance!B18+'Standard Life IN'!B18+'Universal Health Care'!B18</f>
        <v>0</v>
      </c>
      <c r="C18" s="30">
        <f>+'Andrew Jackson'!C18+'Colorado Health'!C18+'Compass (dbs Meritus)'!C18+'Consumers Choice'!C18+'Consumers Mutual'!C18+CoOportunity!C18+'Coordinated Hlth'!C18+ELNY!C18+'Farmers &amp; Ranchers'!C18+'First Natl (Thrnr)'!C18+'Freelancers CO-OP'!C18+HealthyCT!C18+'Land of Lincoln'!C18+Lumbermens!C18+'Memorial Service'!C18+'National Heritage'!C18+NNIC!C18+Reliance!C18+'Standard Life IN'!C18+'Universal Health Care'!C18</f>
        <v>325651.19066075643</v>
      </c>
      <c r="D18" s="30">
        <f>+'Andrew Jackson'!D18+'Colorado Health'!D18+'Compass (dbs Meritus)'!D18+'Consumers Choice'!D18+'Consumers Mutual'!D18+CoOportunity!D18+'Coordinated Hlth'!D18+ELNY!D18+'Farmers &amp; Ranchers'!D18+'First Natl (Thrnr)'!D18+'Freelancers CO-OP'!D18+HealthyCT!D18+'Land of Lincoln'!D18+Lumbermens!D18+'Memorial Service'!D18+'National Heritage'!D18+NNIC!D18+Reliance!D18+'Standard Life IN'!D18+'Universal Health Care'!D18</f>
        <v>15632.169999999998</v>
      </c>
      <c r="E18" s="30">
        <f>+'Andrew Jackson'!E18+'Colorado Health'!E18+'Compass (dbs Meritus)'!E18+'Consumers Choice'!E18+'Consumers Mutual'!E18+CoOportunity!E18+'Coordinated Hlth'!E18+ELNY!E18+'Farmers &amp; Ranchers'!E18+'First Natl (Thrnr)'!E18+'Freelancers CO-OP'!E18+HealthyCT!E18+'Land of Lincoln'!E18+Lumbermens!E18+'Memorial Service'!E18+'National Heritage'!E18+NNIC!E18+Reliance!E18+'Standard Life IN'!E18+'Universal Health Care'!E18</f>
        <v>0</v>
      </c>
      <c r="F18" s="30">
        <f>+'Andrew Jackson'!F18+'Colorado Health'!F18+'Compass (dbs Meritus)'!F18+'Consumers Choice'!F18+'Consumers Mutual'!F18+CoOportunity!F18+'Coordinated Hlth'!F18+ELNY!F18+'Farmers &amp; Ranchers'!F18+'First Natl (Thrnr)'!F18+'Freelancers CO-OP'!F18+HealthyCT!F18+'Land of Lincoln'!F18+Lumbermens!F18+'Memorial Service'!F18+'National Heritage'!F18+NNIC!F18+Reliance!F18+'Standard Life IN'!F18+'Universal Health Care'!F18</f>
        <v>0</v>
      </c>
      <c r="G18" s="30">
        <f t="shared" si="0"/>
        <v>341283.36066075641</v>
      </c>
      <c r="H18" s="30"/>
      <c r="I18" s="30" t="s">
        <v>273</v>
      </c>
      <c r="J18" s="30">
        <f>Summary!TOTAL_15102</f>
        <v>9776890</v>
      </c>
    </row>
    <row r="19" spans="1:10">
      <c r="A19" s="1" t="s">
        <v>32</v>
      </c>
      <c r="B19" s="30">
        <f>+'Andrew Jackson'!B19+'Colorado Health'!B19+'Compass (dbs Meritus)'!B19+'Consumers Choice'!B19+'Consumers Mutual'!B19+CoOportunity!B19+'Coordinated Hlth'!B19+ELNY!B19+'Farmers &amp; Ranchers'!B19+'First Natl (Thrnr)'!B19+'Freelancers CO-OP'!B19+HealthyCT!B19+'Land of Lincoln'!B19+Lumbermens!B19+'Memorial Service'!B19+'National Heritage'!B19+NNIC!B19+Reliance!B19+'Standard Life IN'!B19+'Universal Health Care'!B19</f>
        <v>17820.804736599675</v>
      </c>
      <c r="C19" s="30">
        <f>+'Andrew Jackson'!C19+'Colorado Health'!C19+'Compass (dbs Meritus)'!C19+'Consumers Choice'!C19+'Consumers Mutual'!C19+CoOportunity!C19+'Coordinated Hlth'!C19+ELNY!C19+'Farmers &amp; Ranchers'!C19+'First Natl (Thrnr)'!C19+'Freelancers CO-OP'!C19+HealthyCT!C19+'Land of Lincoln'!C19+Lumbermens!C19+'Memorial Service'!C19+'National Heritage'!C19+NNIC!C19+Reliance!C19+'Standard Life IN'!C19+'Universal Health Care'!C19</f>
        <v>22209960.239322253</v>
      </c>
      <c r="D19" s="30">
        <f>+'Andrew Jackson'!D19+'Colorado Health'!D19+'Compass (dbs Meritus)'!D19+'Consumers Choice'!D19+'Consumers Mutual'!D19+CoOportunity!D19+'Coordinated Hlth'!D19+ELNY!D19+'Farmers &amp; Ranchers'!D19+'First Natl (Thrnr)'!D19+'Freelancers CO-OP'!D19+HealthyCT!D19+'Land of Lincoln'!D19+Lumbermens!D19+'Memorial Service'!D19+'National Heritage'!D19+NNIC!D19+Reliance!D19+'Standard Life IN'!D19+'Universal Health Care'!D19</f>
        <v>10410376.364115326</v>
      </c>
      <c r="E19" s="30">
        <f>+'Andrew Jackson'!E19+'Colorado Health'!E19+'Compass (dbs Meritus)'!E19+'Consumers Choice'!E19+'Consumers Mutual'!E19+CoOportunity!E19+'Coordinated Hlth'!E19+ELNY!E19+'Farmers &amp; Ranchers'!E19+'First Natl (Thrnr)'!E19+'Freelancers CO-OP'!E19+HealthyCT!E19+'Land of Lincoln'!E19+Lumbermens!E19+'Memorial Service'!E19+'National Heritage'!E19+NNIC!E19+Reliance!E19+'Standard Life IN'!E19+'Universal Health Care'!E19</f>
        <v>0</v>
      </c>
      <c r="F19" s="30">
        <f>+'Andrew Jackson'!F19+'Colorado Health'!F19+'Compass (dbs Meritus)'!F19+'Consumers Choice'!F19+'Consumers Mutual'!F19+CoOportunity!F19+'Coordinated Hlth'!F19+ELNY!F19+'Farmers &amp; Ranchers'!F19+'First Natl (Thrnr)'!F19+'Freelancers CO-OP'!F19+HealthyCT!F19+'Land of Lincoln'!F19+Lumbermens!F19+'Memorial Service'!F19+'National Heritage'!F19+NNIC!F19+Reliance!F19+'Standard Life IN'!F19+'Universal Health Care'!F19</f>
        <v>0</v>
      </c>
      <c r="G19" s="30">
        <f t="shared" si="0"/>
        <v>32638157.408174179</v>
      </c>
      <c r="H19" s="30"/>
      <c r="I19" s="30" t="s">
        <v>278</v>
      </c>
      <c r="J19" s="30">
        <f>Summary!TOTAL_22977</f>
        <v>13513688.821880531</v>
      </c>
    </row>
    <row r="20" spans="1:10">
      <c r="A20" s="1" t="s">
        <v>34</v>
      </c>
      <c r="B20" s="30">
        <f>+'Andrew Jackson'!B20+'Colorado Health'!B20+'Compass (dbs Meritus)'!B20+'Consumers Choice'!B20+'Consumers Mutual'!B20+CoOportunity!B20+'Coordinated Hlth'!B20+ELNY!B20+'Farmers &amp; Ranchers'!B20+'First Natl (Thrnr)'!B20+'Freelancers CO-OP'!B20+HealthyCT!B20+'Land of Lincoln'!B20+Lumbermens!B20+'Memorial Service'!B20+'National Heritage'!B20+NNIC!B20+Reliance!B20+'Standard Life IN'!B20+'Universal Health Care'!B20</f>
        <v>90838.748029214039</v>
      </c>
      <c r="C20" s="30">
        <f>+'Andrew Jackson'!C20+'Colorado Health'!C20+'Compass (dbs Meritus)'!C20+'Consumers Choice'!C20+'Consumers Mutual'!C20+CoOportunity!C20+'Coordinated Hlth'!C20+ELNY!C20+'Farmers &amp; Ranchers'!C20+'First Natl (Thrnr)'!C20+'Freelancers CO-OP'!C20+HealthyCT!C20+'Land of Lincoln'!C20+Lumbermens!C20+'Memorial Service'!C20+'National Heritage'!C20+NNIC!C20+Reliance!C20+'Standard Life IN'!C20+'Universal Health Care'!C20</f>
        <v>8297649.4173647622</v>
      </c>
      <c r="D20" s="30">
        <f>+'Andrew Jackson'!D20+'Colorado Health'!D20+'Compass (dbs Meritus)'!D20+'Consumers Choice'!D20+'Consumers Mutual'!D20+CoOportunity!D20+'Coordinated Hlth'!D20+ELNY!D20+'Farmers &amp; Ranchers'!D20+'First Natl (Thrnr)'!D20+'Freelancers CO-OP'!D20+HealthyCT!D20+'Land of Lincoln'!D20+Lumbermens!D20+'Memorial Service'!D20+'National Heritage'!D20+NNIC!D20+Reliance!D20+'Standard Life IN'!D20+'Universal Health Care'!D20</f>
        <v>63053.708795314917</v>
      </c>
      <c r="E20" s="30">
        <f>+'Andrew Jackson'!E20+'Colorado Health'!E20+'Compass (dbs Meritus)'!E20+'Consumers Choice'!E20+'Consumers Mutual'!E20+CoOportunity!E20+'Coordinated Hlth'!E20+ELNY!E20+'Farmers &amp; Ranchers'!E20+'First Natl (Thrnr)'!E20+'Freelancers CO-OP'!E20+HealthyCT!E20+'Land of Lincoln'!E20+Lumbermens!E20+'Memorial Service'!E20+'National Heritage'!E20+NNIC!E20+Reliance!E20+'Standard Life IN'!E20+'Universal Health Care'!E20</f>
        <v>0</v>
      </c>
      <c r="F20" s="30">
        <f>+'Andrew Jackson'!F20+'Colorado Health'!F20+'Compass (dbs Meritus)'!F20+'Consumers Choice'!F20+'Consumers Mutual'!F20+CoOportunity!F20+'Coordinated Hlth'!F20+ELNY!F20+'Farmers &amp; Ranchers'!F20+'First Natl (Thrnr)'!F20+'Freelancers CO-OP'!F20+HealthyCT!F20+'Land of Lincoln'!F20+Lumbermens!F20+'Memorial Service'!F20+'National Heritage'!F20+NNIC!F20+Reliance!F20+'Standard Life IN'!F20+'Universal Health Care'!F20</f>
        <v>0</v>
      </c>
      <c r="G20" s="30">
        <f t="shared" si="0"/>
        <v>8451541.8741892911</v>
      </c>
      <c r="H20" s="30"/>
      <c r="I20" s="30" t="s">
        <v>282</v>
      </c>
      <c r="J20" s="30">
        <f>Summary!TOTAL_74926</f>
        <v>67684511.65409556</v>
      </c>
    </row>
    <row r="21" spans="1:10">
      <c r="A21" s="1" t="s">
        <v>36</v>
      </c>
      <c r="B21" s="30">
        <f>+'Andrew Jackson'!B21+'Colorado Health'!B21+'Compass (dbs Meritus)'!B21+'Consumers Choice'!B21+'Consumers Mutual'!B21+CoOportunity!B21+'Coordinated Hlth'!B21+ELNY!B21+'Farmers &amp; Ranchers'!B21+'First Natl (Thrnr)'!B21+'Freelancers CO-OP'!B21+HealthyCT!B21+'Land of Lincoln'!B21+Lumbermens!B21+'Memorial Service'!B21+'National Heritage'!B21+NNIC!B21+Reliance!B21+'Standard Life IN'!B21+'Universal Health Care'!B21</f>
        <v>598614.79795605503</v>
      </c>
      <c r="C21" s="30">
        <f>+'Andrew Jackson'!C21+'Colorado Health'!C21+'Compass (dbs Meritus)'!C21+'Consumers Choice'!C21+'Consumers Mutual'!C21+CoOportunity!C21+'Coordinated Hlth'!C21+ELNY!C21+'Farmers &amp; Ranchers'!C21+'First Natl (Thrnr)'!C21+'Freelancers CO-OP'!C21+HealthyCT!C21+'Land of Lincoln'!C21+Lumbermens!C21+'Memorial Service'!C21+'National Heritage'!C21+NNIC!C21+Reliance!C21+'Standard Life IN'!C21+'Universal Health Care'!C21</f>
        <v>9398969.9478969872</v>
      </c>
      <c r="D21" s="30">
        <f>+'Andrew Jackson'!D21+'Colorado Health'!D21+'Compass (dbs Meritus)'!D21+'Consumers Choice'!D21+'Consumers Mutual'!D21+CoOportunity!D21+'Coordinated Hlth'!D21+ELNY!D21+'Farmers &amp; Ranchers'!D21+'First Natl (Thrnr)'!D21+'Freelancers CO-OP'!D21+HealthyCT!D21+'Land of Lincoln'!D21+Lumbermens!D21+'Memorial Service'!D21+'National Heritage'!D21+NNIC!D21+Reliance!D21+'Standard Life IN'!D21+'Universal Health Care'!D21</f>
        <v>9994289.4628311675</v>
      </c>
      <c r="E21" s="30">
        <f>+'Andrew Jackson'!E21+'Colorado Health'!E21+'Compass (dbs Meritus)'!E21+'Consumers Choice'!E21+'Consumers Mutual'!E21+CoOportunity!E21+'Coordinated Hlth'!E21+ELNY!E21+'Farmers &amp; Ranchers'!E21+'First Natl (Thrnr)'!E21+'Freelancers CO-OP'!E21+HealthyCT!E21+'Land of Lincoln'!E21+Lumbermens!E21+'Memorial Service'!E21+'National Heritage'!E21+NNIC!E21+Reliance!E21+'Standard Life IN'!E21+'Universal Health Care'!E21</f>
        <v>0</v>
      </c>
      <c r="F21" s="30">
        <f>+'Andrew Jackson'!F21+'Colorado Health'!F21+'Compass (dbs Meritus)'!F21+'Consumers Choice'!F21+'Consumers Mutual'!F21+CoOportunity!F21+'Coordinated Hlth'!F21+ELNY!F21+'Farmers &amp; Ranchers'!F21+'First Natl (Thrnr)'!F21+'Freelancers CO-OP'!F21+HealthyCT!F21+'Land of Lincoln'!F21+Lumbermens!F21+'Memorial Service'!F21+'National Heritage'!F21+NNIC!F21+Reliance!F21+'Standard Life IN'!F21+'Universal Health Care'!F21</f>
        <v>0</v>
      </c>
      <c r="G21" s="30">
        <f t="shared" si="0"/>
        <v>19991874.20868421</v>
      </c>
      <c r="H21" s="30"/>
      <c r="I21" s="30" t="s">
        <v>284</v>
      </c>
      <c r="J21" s="30">
        <f>Summary!TOTAL_97284</f>
        <v>151612141.98532999</v>
      </c>
    </row>
    <row r="22" spans="1:10">
      <c r="A22" s="1" t="s">
        <v>38</v>
      </c>
      <c r="B22" s="30">
        <f>+'Andrew Jackson'!B22+'Colorado Health'!B22+'Compass (dbs Meritus)'!B22+'Consumers Choice'!B22+'Consumers Mutual'!B22+CoOportunity!B22+'Coordinated Hlth'!B22+ELNY!B22+'Farmers &amp; Ranchers'!B22+'First Natl (Thrnr)'!B22+'Freelancers CO-OP'!B22+HealthyCT!B22+'Land of Lincoln'!B22+Lumbermens!B22+'Memorial Service'!B22+'National Heritage'!B22+NNIC!B22+Reliance!B22+'Standard Life IN'!B22+'Universal Health Care'!B22</f>
        <v>43805.657132817767</v>
      </c>
      <c r="C22" s="30">
        <f>+'Andrew Jackson'!C22+'Colorado Health'!C22+'Compass (dbs Meritus)'!C22+'Consumers Choice'!C22+'Consumers Mutual'!C22+CoOportunity!C22+'Coordinated Hlth'!C22+ELNY!C22+'Farmers &amp; Ranchers'!C22+'First Natl (Thrnr)'!C22+'Freelancers CO-OP'!C22+HealthyCT!C22+'Land of Lincoln'!C22+Lumbermens!C22+'Memorial Service'!C22+'National Heritage'!C22+NNIC!C22+Reliance!C22+'Standard Life IN'!C22+'Universal Health Care'!C22</f>
        <v>907192.66223536059</v>
      </c>
      <c r="D22" s="30">
        <f>+'Andrew Jackson'!D22+'Colorado Health'!D22+'Compass (dbs Meritus)'!D22+'Consumers Choice'!D22+'Consumers Mutual'!D22+CoOportunity!D22+'Coordinated Hlth'!D22+ELNY!D22+'Farmers &amp; Ranchers'!D22+'First Natl (Thrnr)'!D22+'Freelancers CO-OP'!D22+HealthyCT!D22+'Land of Lincoln'!D22+Lumbermens!D22+'Memorial Service'!D22+'National Heritage'!D22+NNIC!D22+Reliance!D22+'Standard Life IN'!D22+'Universal Health Care'!D22</f>
        <v>74895.878027349303</v>
      </c>
      <c r="E22" s="30">
        <f>+'Andrew Jackson'!E22+'Colorado Health'!E22+'Compass (dbs Meritus)'!E22+'Consumers Choice'!E22+'Consumers Mutual'!E22+CoOportunity!E22+'Coordinated Hlth'!E22+ELNY!E22+'Farmers &amp; Ranchers'!E22+'First Natl (Thrnr)'!E22+'Freelancers CO-OP'!E22+HealthyCT!E22+'Land of Lincoln'!E22+Lumbermens!E22+'Memorial Service'!E22+'National Heritage'!E22+NNIC!E22+Reliance!E22+'Standard Life IN'!E22+'Universal Health Care'!E22</f>
        <v>0</v>
      </c>
      <c r="F22" s="30">
        <f>+'Andrew Jackson'!F22+'Colorado Health'!F22+'Compass (dbs Meritus)'!F22+'Consumers Choice'!F22+'Consumers Mutual'!F22+CoOportunity!F22+'Coordinated Hlth'!F22+ELNY!F22+'Farmers &amp; Ranchers'!F22+'First Natl (Thrnr)'!F22+'Freelancers CO-OP'!F22+HealthyCT!F22+'Land of Lincoln'!F22+Lumbermens!F22+'Memorial Service'!F22+'National Heritage'!F22+NNIC!F22+Reliance!F22+'Standard Life IN'!F22+'Universal Health Care'!F22</f>
        <v>0</v>
      </c>
      <c r="G22" s="30">
        <f t="shared" si="0"/>
        <v>1025894.1973955277</v>
      </c>
      <c r="H22" s="30"/>
      <c r="I22" s="30" t="s">
        <v>289</v>
      </c>
      <c r="J22" s="30">
        <f>Summary!TOTAL_23914</f>
        <v>7852343.2159051551</v>
      </c>
    </row>
    <row r="23" spans="1:10">
      <c r="A23" s="1" t="s">
        <v>40</v>
      </c>
      <c r="B23" s="30">
        <f>+'Andrew Jackson'!B23+'Colorado Health'!B23+'Compass (dbs Meritus)'!B23+'Consumers Choice'!B23+'Consumers Mutual'!B23+CoOportunity!B23+'Coordinated Hlth'!B23+ELNY!B23+'Farmers &amp; Ranchers'!B23+'First Natl (Thrnr)'!B23+'Freelancers CO-OP'!B23+HealthyCT!B23+'Land of Lincoln'!B23+Lumbermens!B23+'Memorial Service'!B23+'National Heritage'!B23+NNIC!B23+Reliance!B23+'Standard Life IN'!B23+'Universal Health Care'!B23</f>
        <v>15652.620815461181</v>
      </c>
      <c r="C23" s="30">
        <f>+'Andrew Jackson'!C23+'Colorado Health'!C23+'Compass (dbs Meritus)'!C23+'Consumers Choice'!C23+'Consumers Mutual'!C23+CoOportunity!C23+'Coordinated Hlth'!C23+ELNY!C23+'Farmers &amp; Ranchers'!C23+'First Natl (Thrnr)'!C23+'Freelancers CO-OP'!C23+HealthyCT!C23+'Land of Lincoln'!C23+Lumbermens!C23+'Memorial Service'!C23+'National Heritage'!C23+NNIC!C23+Reliance!C23+'Standard Life IN'!C23+'Universal Health Care'!C23</f>
        <v>1186921.841816305</v>
      </c>
      <c r="D23" s="30">
        <f>+'Andrew Jackson'!D23+'Colorado Health'!D23+'Compass (dbs Meritus)'!D23+'Consumers Choice'!D23+'Consumers Mutual'!D23+CoOportunity!D23+'Coordinated Hlth'!D23+ELNY!D23+'Farmers &amp; Ranchers'!D23+'First Natl (Thrnr)'!D23+'Freelancers CO-OP'!D23+HealthyCT!D23+'Land of Lincoln'!D23+Lumbermens!D23+'Memorial Service'!D23+'National Heritage'!D23+NNIC!D23+Reliance!D23+'Standard Life IN'!D23+'Universal Health Care'!D23</f>
        <v>90532.334722634638</v>
      </c>
      <c r="E23" s="30">
        <f>+'Andrew Jackson'!E23+'Colorado Health'!E23+'Compass (dbs Meritus)'!E23+'Consumers Choice'!E23+'Consumers Mutual'!E23+CoOportunity!E23+'Coordinated Hlth'!E23+ELNY!E23+'Farmers &amp; Ranchers'!E23+'First Natl (Thrnr)'!E23+'Freelancers CO-OP'!E23+HealthyCT!E23+'Land of Lincoln'!E23+Lumbermens!E23+'Memorial Service'!E23+'National Heritage'!E23+NNIC!E23+Reliance!E23+'Standard Life IN'!E23+'Universal Health Care'!E23</f>
        <v>0</v>
      </c>
      <c r="F23" s="30">
        <f>+'Andrew Jackson'!F23+'Colorado Health'!F23+'Compass (dbs Meritus)'!F23+'Consumers Choice'!F23+'Consumers Mutual'!F23+CoOportunity!F23+'Coordinated Hlth'!F23+ELNY!F23+'Farmers &amp; Ranchers'!F23+'First Natl (Thrnr)'!F23+'Freelancers CO-OP'!F23+HealthyCT!F23+'Land of Lincoln'!F23+Lumbermens!F23+'Memorial Service'!F23+'National Heritage'!F23+NNIC!F23+Reliance!F23+'Standard Life IN'!F23+'Universal Health Care'!F23</f>
        <v>0</v>
      </c>
      <c r="G23" s="30">
        <f t="shared" si="0"/>
        <v>1293106.7973544009</v>
      </c>
      <c r="H23" s="30"/>
      <c r="I23" s="30" t="s">
        <v>294</v>
      </c>
      <c r="J23" s="30">
        <f>Summary!TOTAL_24457</f>
        <v>512896.03599999979</v>
      </c>
    </row>
    <row r="24" spans="1:10">
      <c r="A24" s="1" t="s">
        <v>42</v>
      </c>
      <c r="B24" s="30">
        <f>+'Andrew Jackson'!B24+'Colorado Health'!B24+'Compass (dbs Meritus)'!B24+'Consumers Choice'!B24+'Consumers Mutual'!B24+CoOportunity!B24+'Coordinated Hlth'!B24+ELNY!B24+'Farmers &amp; Ranchers'!B24+'First Natl (Thrnr)'!B24+'Freelancers CO-OP'!B24+HealthyCT!B24+'Land of Lincoln'!B24+Lumbermens!B24+'Memorial Service'!B24+'National Heritage'!B24+NNIC!B24+Reliance!B24+'Standard Life IN'!B24+'Universal Health Care'!B24</f>
        <v>2430463.8599828407</v>
      </c>
      <c r="C24" s="30">
        <f>+'Andrew Jackson'!C24+'Colorado Health'!C24+'Compass (dbs Meritus)'!C24+'Consumers Choice'!C24+'Consumers Mutual'!C24+CoOportunity!C24+'Coordinated Hlth'!C24+ELNY!C24+'Farmers &amp; Ranchers'!C24+'First Natl (Thrnr)'!C24+'Freelancers CO-OP'!C24+HealthyCT!C24+'Land of Lincoln'!C24+Lumbermens!C24+'Memorial Service'!C24+'National Heritage'!C24+NNIC!C24+Reliance!C24+'Standard Life IN'!C24+'Universal Health Care'!C24</f>
        <v>4142950.9677173947</v>
      </c>
      <c r="D24" s="30">
        <f>+'Andrew Jackson'!D24+'Colorado Health'!D24+'Compass (dbs Meritus)'!D24+'Consumers Choice'!D24+'Consumers Mutual'!D24+CoOportunity!D24+'Coordinated Hlth'!D24+ELNY!D24+'Farmers &amp; Ranchers'!D24+'First Natl (Thrnr)'!D24+'Freelancers CO-OP'!D24+HealthyCT!D24+'Land of Lincoln'!D24+Lumbermens!D24+'Memorial Service'!D24+'National Heritage'!D24+NNIC!D24+Reliance!D24+'Standard Life IN'!D24+'Universal Health Care'!D24</f>
        <v>84876.615350892462</v>
      </c>
      <c r="E24" s="30">
        <f>+'Andrew Jackson'!E24+'Colorado Health'!E24+'Compass (dbs Meritus)'!E24+'Consumers Choice'!E24+'Consumers Mutual'!E24+CoOportunity!E24+'Coordinated Hlth'!E24+ELNY!E24+'Farmers &amp; Ranchers'!E24+'First Natl (Thrnr)'!E24+'Freelancers CO-OP'!E24+HealthyCT!E24+'Land of Lincoln'!E24+Lumbermens!E24+'Memorial Service'!E24+'National Heritage'!E24+NNIC!E24+Reliance!E24+'Standard Life IN'!E24+'Universal Health Care'!E24</f>
        <v>0</v>
      </c>
      <c r="F24" s="30">
        <f>+'Andrew Jackson'!F24+'Colorado Health'!F24+'Compass (dbs Meritus)'!F24+'Consumers Choice'!F24+'Consumers Mutual'!F24+CoOportunity!F24+'Coordinated Hlth'!F24+ELNY!F24+'Farmers &amp; Ranchers'!F24+'First Natl (Thrnr)'!F24+'Freelancers CO-OP'!F24+HealthyCT!F24+'Land of Lincoln'!F24+Lumbermens!F24+'Memorial Service'!F24+'National Heritage'!F24+NNIC!F24+Reliance!F24+'Standard Life IN'!F24+'Universal Health Care'!F24</f>
        <v>0</v>
      </c>
      <c r="G24" s="30">
        <f t="shared" si="0"/>
        <v>6658291.4430511277</v>
      </c>
      <c r="H24" s="30"/>
      <c r="I24" s="30" t="s">
        <v>298</v>
      </c>
      <c r="J24" s="30">
        <f>Summary!TOTAL_69051</f>
        <v>3028888.897625369</v>
      </c>
    </row>
    <row r="25" spans="1:10">
      <c r="A25" s="1" t="s">
        <v>44</v>
      </c>
      <c r="B25" s="30">
        <f>+'Andrew Jackson'!B25+'Colorado Health'!B25+'Compass (dbs Meritus)'!B25+'Consumers Choice'!B25+'Consumers Mutual'!B25+CoOportunity!B25+'Coordinated Hlth'!B25+ELNY!B25+'Farmers &amp; Ranchers'!B25+'First Natl (Thrnr)'!B25+'Freelancers CO-OP'!B25+HealthyCT!B25+'Land of Lincoln'!B25+Lumbermens!B25+'Memorial Service'!B25+'National Heritage'!B25+NNIC!B25+Reliance!B25+'Standard Life IN'!B25+'Universal Health Care'!B25</f>
        <v>0</v>
      </c>
      <c r="C25" s="30">
        <f>+'Andrew Jackson'!C25+'Colorado Health'!C25+'Compass (dbs Meritus)'!C25+'Consumers Choice'!C25+'Consumers Mutual'!C25+CoOportunity!C25+'Coordinated Hlth'!C25+ELNY!C25+'Farmers &amp; Ranchers'!C25+'First Natl (Thrnr)'!C25+'Freelancers CO-OP'!C25+HealthyCT!C25+'Land of Lincoln'!C25+Lumbermens!C25+'Memorial Service'!C25+'National Heritage'!C25+NNIC!C25+Reliance!C25+'Standard Life IN'!C25+'Universal Health Care'!C25</f>
        <v>1347394.8288805129</v>
      </c>
      <c r="D25" s="30">
        <f>+'Andrew Jackson'!D25+'Colorado Health'!D25+'Compass (dbs Meritus)'!D25+'Consumers Choice'!D25+'Consumers Mutual'!D25+CoOportunity!D25+'Coordinated Hlth'!D25+ELNY!D25+'Farmers &amp; Ranchers'!D25+'First Natl (Thrnr)'!D25+'Freelancers CO-OP'!D25+HealthyCT!D25+'Land of Lincoln'!D25+Lumbermens!D25+'Memorial Service'!D25+'National Heritage'!D25+NNIC!D25+Reliance!D25+'Standard Life IN'!D25+'Universal Health Care'!D25</f>
        <v>277424.29824925103</v>
      </c>
      <c r="E25" s="30">
        <f>+'Andrew Jackson'!E25+'Colorado Health'!E25+'Compass (dbs Meritus)'!E25+'Consumers Choice'!E25+'Consumers Mutual'!E25+CoOportunity!E25+'Coordinated Hlth'!E25+ELNY!E25+'Farmers &amp; Ranchers'!E25+'First Natl (Thrnr)'!E25+'Freelancers CO-OP'!E25+HealthyCT!E25+'Land of Lincoln'!E25+Lumbermens!E25+'Memorial Service'!E25+'National Heritage'!E25+NNIC!E25+Reliance!E25+'Standard Life IN'!E25+'Universal Health Care'!E25</f>
        <v>0</v>
      </c>
      <c r="F25" s="30">
        <f>+'Andrew Jackson'!F25+'Colorado Health'!F25+'Compass (dbs Meritus)'!F25+'Consumers Choice'!F25+'Consumers Mutual'!F25+CoOportunity!F25+'Coordinated Hlth'!F25+ELNY!F25+'Farmers &amp; Ranchers'!F25+'First Natl (Thrnr)'!F25+'Freelancers CO-OP'!F25+HealthyCT!F25+'Land of Lincoln'!F25+Lumbermens!F25+'Memorial Service'!F25+'National Heritage'!F25+NNIC!F25+Reliance!F25+'Standard Life IN'!F25+'Universal Health Care'!F25</f>
        <v>0</v>
      </c>
      <c r="G25" s="30">
        <f t="shared" si="0"/>
        <v>1624819.1271297638</v>
      </c>
      <c r="H25" s="30"/>
      <c r="I25" s="30" t="s">
        <v>303</v>
      </c>
      <c r="J25" s="30">
        <f>Summary!TOTAL_12577</f>
        <v>358340.68864415365</v>
      </c>
    </row>
    <row r="26" spans="1:10">
      <c r="A26" s="1" t="s">
        <v>45</v>
      </c>
      <c r="B26" s="30">
        <f>+'Andrew Jackson'!B26+'Colorado Health'!B26+'Compass (dbs Meritus)'!B26+'Consumers Choice'!B26+'Consumers Mutual'!B26+CoOportunity!B26+'Coordinated Hlth'!B26+ELNY!B26+'Farmers &amp; Ranchers'!B26+'First Natl (Thrnr)'!B26+'Freelancers CO-OP'!B26+HealthyCT!B26+'Land of Lincoln'!B26+Lumbermens!B26+'Memorial Service'!B26+'National Heritage'!B26+NNIC!B26+Reliance!B26+'Standard Life IN'!B26+'Universal Health Care'!B26</f>
        <v>22766.076258009591</v>
      </c>
      <c r="C26" s="30">
        <f>+'Andrew Jackson'!C26+'Colorado Health'!C26+'Compass (dbs Meritus)'!C26+'Consumers Choice'!C26+'Consumers Mutual'!C26+CoOportunity!C26+'Coordinated Hlth'!C26+ELNY!C26+'Farmers &amp; Ranchers'!C26+'First Natl (Thrnr)'!C26+'Freelancers CO-OP'!C26+HealthyCT!C26+'Land of Lincoln'!C26+Lumbermens!C26+'Memorial Service'!C26+'National Heritage'!C26+NNIC!C26+Reliance!C26+'Standard Life IN'!C26+'Universal Health Care'!C26</f>
        <v>5995444.0954837538</v>
      </c>
      <c r="D26" s="30">
        <f>+'Andrew Jackson'!D26+'Colorado Health'!D26+'Compass (dbs Meritus)'!D26+'Consumers Choice'!D26+'Consumers Mutual'!D26+CoOportunity!D26+'Coordinated Hlth'!D26+ELNY!D26+'Farmers &amp; Ranchers'!D26+'First Natl (Thrnr)'!D26+'Freelancers CO-OP'!D26+HealthyCT!D26+'Land of Lincoln'!D26+Lumbermens!D26+'Memorial Service'!D26+'National Heritage'!D26+NNIC!D26+Reliance!D26+'Standard Life IN'!D26+'Universal Health Care'!D26</f>
        <v>1006970.2661539653</v>
      </c>
      <c r="E26" s="30">
        <f>+'Andrew Jackson'!E26+'Colorado Health'!E26+'Compass (dbs Meritus)'!E26+'Consumers Choice'!E26+'Consumers Mutual'!E26+CoOportunity!E26+'Coordinated Hlth'!E26+ELNY!E26+'Farmers &amp; Ranchers'!E26+'First Natl (Thrnr)'!E26+'Freelancers CO-OP'!E26+HealthyCT!E26+'Land of Lincoln'!E26+Lumbermens!E26+'Memorial Service'!E26+'National Heritage'!E26+NNIC!E26+Reliance!E26+'Standard Life IN'!E26+'Universal Health Care'!E26</f>
        <v>0</v>
      </c>
      <c r="F26" s="30">
        <f>+'Andrew Jackson'!F26+'Colorado Health'!F26+'Compass (dbs Meritus)'!F26+'Consumers Choice'!F26+'Consumers Mutual'!F26+CoOportunity!F26+'Coordinated Hlth'!F26+ELNY!F26+'Farmers &amp; Ranchers'!F26+'First Natl (Thrnr)'!F26+'Freelancers CO-OP'!F26+HealthyCT!F26+'Land of Lincoln'!F26+Lumbermens!F26+'Memorial Service'!F26+'National Heritage'!F26+NNIC!F26+Reliance!F26+'Standard Life IN'!F26+'Universal Health Care'!F26</f>
        <v>0</v>
      </c>
      <c r="G26" s="30">
        <f t="shared" si="0"/>
        <v>7025180.4378957283</v>
      </c>
      <c r="H26" s="30"/>
      <c r="I26" s="30"/>
      <c r="J26" s="30"/>
    </row>
    <row r="27" spans="1:10">
      <c r="A27" s="1" t="s">
        <v>47</v>
      </c>
      <c r="B27" s="30">
        <f>+'Andrew Jackson'!B27+'Colorado Health'!B27+'Compass (dbs Meritus)'!B27+'Consumers Choice'!B27+'Consumers Mutual'!B27+CoOportunity!B27+'Coordinated Hlth'!B27+ELNY!B27+'Farmers &amp; Ranchers'!B27+'First Natl (Thrnr)'!B27+'Freelancers CO-OP'!B27+HealthyCT!B27+'Land of Lincoln'!B27+Lumbermens!B27+'Memorial Service'!B27+'National Heritage'!B27+NNIC!B27+Reliance!B27+'Standard Life IN'!B27+'Universal Health Care'!B27</f>
        <v>0</v>
      </c>
      <c r="C27" s="30">
        <f>+'Andrew Jackson'!C27+'Colorado Health'!C27+'Compass (dbs Meritus)'!C27+'Consumers Choice'!C27+'Consumers Mutual'!C27+CoOportunity!C27+'Coordinated Hlth'!C27+ELNY!C27+'Farmers &amp; Ranchers'!C27+'First Natl (Thrnr)'!C27+'Freelancers CO-OP'!C27+HealthyCT!C27+'Land of Lincoln'!C27+Lumbermens!C27+'Memorial Service'!C27+'National Heritage'!C27+NNIC!C27+Reliance!C27+'Standard Life IN'!C27+'Universal Health Care'!C27</f>
        <v>96032.100758286804</v>
      </c>
      <c r="D27" s="30">
        <f>+'Andrew Jackson'!D27+'Colorado Health'!D27+'Compass (dbs Meritus)'!D27+'Consumers Choice'!D27+'Consumers Mutual'!D27+CoOportunity!D27+'Coordinated Hlth'!D27+ELNY!D27+'Farmers &amp; Ranchers'!D27+'First Natl (Thrnr)'!D27+'Freelancers CO-OP'!D27+HealthyCT!D27+'Land of Lincoln'!D27+Lumbermens!D27+'Memorial Service'!D27+'National Heritage'!D27+NNIC!D27+Reliance!D27+'Standard Life IN'!D27+'Universal Health Care'!D27</f>
        <v>958423.16857376636</v>
      </c>
      <c r="E27" s="30">
        <f>+'Andrew Jackson'!E27+'Colorado Health'!E27+'Compass (dbs Meritus)'!E27+'Consumers Choice'!E27+'Consumers Mutual'!E27+CoOportunity!E27+'Coordinated Hlth'!E27+ELNY!E27+'Farmers &amp; Ranchers'!E27+'First Natl (Thrnr)'!E27+'Freelancers CO-OP'!E27+HealthyCT!E27+'Land of Lincoln'!E27+Lumbermens!E27+'Memorial Service'!E27+'National Heritage'!E27+NNIC!E27+Reliance!E27+'Standard Life IN'!E27+'Universal Health Care'!E27</f>
        <v>0</v>
      </c>
      <c r="F27" s="30">
        <f>+'Andrew Jackson'!F27+'Colorado Health'!F27+'Compass (dbs Meritus)'!F27+'Consumers Choice'!F27+'Consumers Mutual'!F27+CoOportunity!F27+'Coordinated Hlth'!F27+ELNY!F27+'Farmers &amp; Ranchers'!F27+'First Natl (Thrnr)'!F27+'Freelancers CO-OP'!F27+HealthyCT!F27+'Land of Lincoln'!F27+Lumbermens!F27+'Memorial Service'!F27+'National Heritage'!F27+NNIC!F27+Reliance!F27+'Standard Life IN'!F27+'Universal Health Care'!F27</f>
        <v>0</v>
      </c>
      <c r="G27" s="30">
        <f t="shared" si="0"/>
        <v>1054455.2693320531</v>
      </c>
      <c r="H27" s="30"/>
      <c r="I27" s="30" t="s">
        <v>8</v>
      </c>
      <c r="J27" s="30">
        <f>SUM(REC_TOTAL)</f>
        <v>1283619583.0238585</v>
      </c>
    </row>
    <row r="28" spans="1:10">
      <c r="A28" s="1" t="s">
        <v>49</v>
      </c>
      <c r="B28" s="30">
        <f>+'Andrew Jackson'!B28+'Colorado Health'!B28+'Compass (dbs Meritus)'!B28+'Consumers Choice'!B28+'Consumers Mutual'!B28+CoOportunity!B28+'Coordinated Hlth'!B28+ELNY!B28+'Farmers &amp; Ranchers'!B28+'First Natl (Thrnr)'!B28+'Freelancers CO-OP'!B28+HealthyCT!B28+'Land of Lincoln'!B28+Lumbermens!B28+'Memorial Service'!B28+'National Heritage'!B28+NNIC!B28+Reliance!B28+'Standard Life IN'!B28+'Universal Health Care'!B28</f>
        <v>945577.32777621655</v>
      </c>
      <c r="C28" s="30">
        <f>+'Andrew Jackson'!C28+'Colorado Health'!C28+'Compass (dbs Meritus)'!C28+'Consumers Choice'!C28+'Consumers Mutual'!C28+CoOportunity!C28+'Coordinated Hlth'!C28+ELNY!C28+'Farmers &amp; Ranchers'!C28+'First Natl (Thrnr)'!C28+'Freelancers CO-OP'!C28+HealthyCT!C28+'Land of Lincoln'!C28+Lumbermens!C28+'Memorial Service'!C28+'National Heritage'!C28+NNIC!C28+Reliance!C28+'Standard Life IN'!C28+'Universal Health Care'!C28</f>
        <v>39624012.70371443</v>
      </c>
      <c r="D28" s="30">
        <f>+'Andrew Jackson'!D28+'Colorado Health'!D28+'Compass (dbs Meritus)'!D28+'Consumers Choice'!D28+'Consumers Mutual'!D28+CoOportunity!D28+'Coordinated Hlth'!D28+ELNY!D28+'Farmers &amp; Ranchers'!D28+'First Natl (Thrnr)'!D28+'Freelancers CO-OP'!D28+HealthyCT!D28+'Land of Lincoln'!D28+Lumbermens!D28+'Memorial Service'!D28+'National Heritage'!D28+NNIC!D28+Reliance!D28+'Standard Life IN'!D28+'Universal Health Care'!D28</f>
        <v>6514807.1825412698</v>
      </c>
      <c r="E28" s="30">
        <f>+'Andrew Jackson'!E28+'Colorado Health'!E28+'Compass (dbs Meritus)'!E28+'Consumers Choice'!E28+'Consumers Mutual'!E28+CoOportunity!E28+'Coordinated Hlth'!E28+ELNY!E28+'Farmers &amp; Ranchers'!E28+'First Natl (Thrnr)'!E28+'Freelancers CO-OP'!E28+HealthyCT!E28+'Land of Lincoln'!E28+Lumbermens!E28+'Memorial Service'!E28+'National Heritage'!E28+NNIC!E28+Reliance!E28+'Standard Life IN'!E28+'Universal Health Care'!E28</f>
        <v>0</v>
      </c>
      <c r="F28" s="30">
        <f>+'Andrew Jackson'!F28+'Colorado Health'!F28+'Compass (dbs Meritus)'!F28+'Consumers Choice'!F28+'Consumers Mutual'!F28+CoOportunity!F28+'Coordinated Hlth'!F28+ELNY!F28+'Farmers &amp; Ranchers'!F28+'First Natl (Thrnr)'!F28+'Freelancers CO-OP'!F28+HealthyCT!F28+'Land of Lincoln'!F28+Lumbermens!F28+'Memorial Service'!F28+'National Heritage'!F28+NNIC!F28+Reliance!F28+'Standard Life IN'!F28+'Universal Health Care'!F28</f>
        <v>0</v>
      </c>
      <c r="G28" s="30">
        <f t="shared" si="0"/>
        <v>47084397.21403192</v>
      </c>
      <c r="H28" s="30"/>
      <c r="I28" s="30" t="s">
        <v>617</v>
      </c>
      <c r="J28" s="30">
        <f>SUM(TOTAL)</f>
        <v>1283619583.0238585</v>
      </c>
    </row>
    <row r="29" spans="1:10">
      <c r="A29" s="1" t="s">
        <v>50</v>
      </c>
      <c r="B29" s="30">
        <f>+'Andrew Jackson'!B29+'Colorado Health'!B29+'Compass (dbs Meritus)'!B29+'Consumers Choice'!B29+'Consumers Mutual'!B29+CoOportunity!B29+'Coordinated Hlth'!B29+ELNY!B29+'Farmers &amp; Ranchers'!B29+'First Natl (Thrnr)'!B29+'Freelancers CO-OP'!B29+HealthyCT!B29+'Land of Lincoln'!B29+Lumbermens!B29+'Memorial Service'!B29+'National Heritage'!B29+NNIC!B29+Reliance!B29+'Standard Life IN'!B29+'Universal Health Care'!B29</f>
        <v>0</v>
      </c>
      <c r="C29" s="30">
        <f>+'Andrew Jackson'!C29+'Colorado Health'!C29+'Compass (dbs Meritus)'!C29+'Consumers Choice'!C29+'Consumers Mutual'!C29+CoOportunity!C29+'Coordinated Hlth'!C29+ELNY!C29+'Farmers &amp; Ranchers'!C29+'First Natl (Thrnr)'!C29+'Freelancers CO-OP'!C29+HealthyCT!C29+'Land of Lincoln'!C29+Lumbermens!C29+'Memorial Service'!C29+'National Heritage'!C29+NNIC!C29+Reliance!C29+'Standard Life IN'!C29+'Universal Health Care'!C29</f>
        <v>4062652.0974184829</v>
      </c>
      <c r="D29" s="30">
        <f>+'Andrew Jackson'!D29+'Colorado Health'!D29+'Compass (dbs Meritus)'!D29+'Consumers Choice'!D29+'Consumers Mutual'!D29+CoOportunity!D29+'Coordinated Hlth'!D29+ELNY!D29+'Farmers &amp; Ranchers'!D29+'First Natl (Thrnr)'!D29+'Freelancers CO-OP'!D29+HealthyCT!D29+'Land of Lincoln'!D29+Lumbermens!D29+'Memorial Service'!D29+'National Heritage'!D29+NNIC!D29+Reliance!D29+'Standard Life IN'!D29+'Universal Health Care'!D29</f>
        <v>224097.37664049343</v>
      </c>
      <c r="E29" s="30">
        <f>+'Andrew Jackson'!E29+'Colorado Health'!E29+'Compass (dbs Meritus)'!E29+'Consumers Choice'!E29+'Consumers Mutual'!E29+CoOportunity!E29+'Coordinated Hlth'!E29+ELNY!E29+'Farmers &amp; Ranchers'!E29+'First Natl (Thrnr)'!E29+'Freelancers CO-OP'!E29+HealthyCT!E29+'Land of Lincoln'!E29+Lumbermens!E29+'Memorial Service'!E29+'National Heritage'!E29+NNIC!E29+Reliance!E29+'Standard Life IN'!E29+'Universal Health Care'!E29</f>
        <v>0</v>
      </c>
      <c r="F29" s="30">
        <f>+'Andrew Jackson'!F29+'Colorado Health'!F29+'Compass (dbs Meritus)'!F29+'Consumers Choice'!F29+'Consumers Mutual'!F29+CoOportunity!F29+'Coordinated Hlth'!F29+ELNY!F29+'Farmers &amp; Ranchers'!F29+'First Natl (Thrnr)'!F29+'Freelancers CO-OP'!F29+HealthyCT!F29+'Land of Lincoln'!F29+Lumbermens!F29+'Memorial Service'!F29+'National Heritage'!F29+NNIC!F29+Reliance!F29+'Standard Life IN'!F29+'Universal Health Care'!F29</f>
        <v>0</v>
      </c>
      <c r="G29" s="30">
        <f t="shared" si="0"/>
        <v>4286749.4740589764</v>
      </c>
      <c r="H29" s="30"/>
      <c r="I29" s="30"/>
      <c r="J29" s="30">
        <f>SUM(TOTAL)-SUM(REC_TOTAL)</f>
        <v>0</v>
      </c>
    </row>
    <row r="30" spans="1:10">
      <c r="A30" s="1" t="s">
        <v>51</v>
      </c>
      <c r="B30" s="30">
        <f>+'Andrew Jackson'!B30+'Colorado Health'!B30+'Compass (dbs Meritus)'!B30+'Consumers Choice'!B30+'Consumers Mutual'!B30+CoOportunity!B30+'Coordinated Hlth'!B30+ELNY!B30+'Farmers &amp; Ranchers'!B30+'First Natl (Thrnr)'!B30+'Freelancers CO-OP'!B30+HealthyCT!B30+'Land of Lincoln'!B30+Lumbermens!B30+'Memorial Service'!B30+'National Heritage'!B30+NNIC!B30+Reliance!B30+'Standard Life IN'!B30+'Universal Health Care'!B30</f>
        <v>10248824.360662002</v>
      </c>
      <c r="C30" s="30">
        <f>+'Andrew Jackson'!C30+'Colorado Health'!C30+'Compass (dbs Meritus)'!C30+'Consumers Choice'!C30+'Consumers Mutual'!C30+CoOportunity!C30+'Coordinated Hlth'!C30+ELNY!C30+'Farmers &amp; Ranchers'!C30+'First Natl (Thrnr)'!C30+'Freelancers CO-OP'!C30+HealthyCT!C30+'Land of Lincoln'!C30+Lumbermens!C30+'Memorial Service'!C30+'National Heritage'!C30+NNIC!C30+Reliance!C30+'Standard Life IN'!C30+'Universal Health Care'!C30</f>
        <v>6881561.2130934624</v>
      </c>
      <c r="D30" s="30">
        <f>+'Andrew Jackson'!D30+'Colorado Health'!D30+'Compass (dbs Meritus)'!D30+'Consumers Choice'!D30+'Consumers Mutual'!D30+CoOportunity!D30+'Coordinated Hlth'!D30+ELNY!D30+'Farmers &amp; Ranchers'!D30+'First Natl (Thrnr)'!D30+'Freelancers CO-OP'!D30+HealthyCT!D30+'Land of Lincoln'!D30+Lumbermens!D30+'Memorial Service'!D30+'National Heritage'!D30+NNIC!D30+Reliance!D30+'Standard Life IN'!D30+'Universal Health Care'!D30</f>
        <v>130493.91808274829</v>
      </c>
      <c r="E30" s="30">
        <f>+'Andrew Jackson'!E30+'Colorado Health'!E30+'Compass (dbs Meritus)'!E30+'Consumers Choice'!E30+'Consumers Mutual'!E30+CoOportunity!E30+'Coordinated Hlth'!E30+ELNY!E30+'Farmers &amp; Ranchers'!E30+'First Natl (Thrnr)'!E30+'Freelancers CO-OP'!E30+HealthyCT!E30+'Land of Lincoln'!E30+Lumbermens!E30+'Memorial Service'!E30+'National Heritage'!E30+NNIC!E30+Reliance!E30+'Standard Life IN'!E30+'Universal Health Care'!E30</f>
        <v>0</v>
      </c>
      <c r="F30" s="30">
        <f>+'Andrew Jackson'!F30+'Colorado Health'!F30+'Compass (dbs Meritus)'!F30+'Consumers Choice'!F30+'Consumers Mutual'!F30+CoOportunity!F30+'Coordinated Hlth'!F30+ELNY!F30+'Farmers &amp; Ranchers'!F30+'First Natl (Thrnr)'!F30+'Freelancers CO-OP'!F30+HealthyCT!F30+'Land of Lincoln'!F30+Lumbermens!F30+'Memorial Service'!F30+'National Heritage'!F30+NNIC!F30+Reliance!F30+'Standard Life IN'!F30+'Universal Health Care'!F30</f>
        <v>0</v>
      </c>
      <c r="G30" s="30">
        <f t="shared" si="0"/>
        <v>17260879.491838213</v>
      </c>
      <c r="H30" s="30"/>
      <c r="I30" s="30"/>
      <c r="J30" s="30"/>
    </row>
    <row r="31" spans="1:10">
      <c r="A31" s="1" t="s">
        <v>52</v>
      </c>
      <c r="B31" s="30">
        <f>+'Andrew Jackson'!B31+'Colorado Health'!B31+'Compass (dbs Meritus)'!B31+'Consumers Choice'!B31+'Consumers Mutual'!B31+CoOportunity!B31+'Coordinated Hlth'!B31+ELNY!B31+'Farmers &amp; Ranchers'!B31+'First Natl (Thrnr)'!B31+'Freelancers CO-OP'!B31+HealthyCT!B31+'Land of Lincoln'!B31+Lumbermens!B31+'Memorial Service'!B31+'National Heritage'!B31+NNIC!B31+Reliance!B31+'Standard Life IN'!B31+'Universal Health Care'!B31</f>
        <v>94830.840721283515</v>
      </c>
      <c r="C31" s="30">
        <f>+'Andrew Jackson'!C31+'Colorado Health'!C31+'Compass (dbs Meritus)'!C31+'Consumers Choice'!C31+'Consumers Mutual'!C31+CoOportunity!C31+'Coordinated Hlth'!C31+ELNY!C31+'Farmers &amp; Ranchers'!C31+'First Natl (Thrnr)'!C31+'Freelancers CO-OP'!C31+HealthyCT!C31+'Land of Lincoln'!C31+Lumbermens!C31+'Memorial Service'!C31+'National Heritage'!C31+NNIC!C31+Reliance!C31+'Standard Life IN'!C31+'Universal Health Care'!C31</f>
        <v>1991332.6271883252</v>
      </c>
      <c r="D31" s="30">
        <f>+'Andrew Jackson'!D31+'Colorado Health'!D31+'Compass (dbs Meritus)'!D31+'Consumers Choice'!D31+'Consumers Mutual'!D31+CoOportunity!D31+'Coordinated Hlth'!D31+ELNY!D31+'Farmers &amp; Ranchers'!D31+'First Natl (Thrnr)'!D31+'Freelancers CO-OP'!D31+HealthyCT!D31+'Land of Lincoln'!D31+Lumbermens!D31+'Memorial Service'!D31+'National Heritage'!D31+NNIC!D31+Reliance!D31+'Standard Life IN'!D31+'Universal Health Care'!D31</f>
        <v>123359.32773188945</v>
      </c>
      <c r="E31" s="30">
        <f>+'Andrew Jackson'!E31+'Colorado Health'!E31+'Compass (dbs Meritus)'!E31+'Consumers Choice'!E31+'Consumers Mutual'!E31+CoOportunity!E31+'Coordinated Hlth'!E31+ELNY!E31+'Farmers &amp; Ranchers'!E31+'First Natl (Thrnr)'!E31+'Freelancers CO-OP'!E31+HealthyCT!E31+'Land of Lincoln'!E31+Lumbermens!E31+'Memorial Service'!E31+'National Heritage'!E31+NNIC!E31+Reliance!E31+'Standard Life IN'!E31+'Universal Health Care'!E31</f>
        <v>0</v>
      </c>
      <c r="F31" s="30">
        <f>+'Andrew Jackson'!F31+'Colorado Health'!F31+'Compass (dbs Meritus)'!F31+'Consumers Choice'!F31+'Consumers Mutual'!F31+CoOportunity!F31+'Coordinated Hlth'!F31+ELNY!F31+'Farmers &amp; Ranchers'!F31+'First Natl (Thrnr)'!F31+'Freelancers CO-OP'!F31+HealthyCT!F31+'Land of Lincoln'!F31+Lumbermens!F31+'Memorial Service'!F31+'National Heritage'!F31+NNIC!F31+Reliance!F31+'Standard Life IN'!F31+'Universal Health Care'!F31</f>
        <v>0</v>
      </c>
      <c r="G31" s="30">
        <f t="shared" si="0"/>
        <v>2209522.7956414982</v>
      </c>
      <c r="H31" s="30"/>
      <c r="I31" s="30"/>
      <c r="J31" s="30"/>
    </row>
    <row r="32" spans="1:10">
      <c r="A32" s="1" t="s">
        <v>53</v>
      </c>
      <c r="B32" s="30">
        <f>+'Andrew Jackson'!B32+'Colorado Health'!B32+'Compass (dbs Meritus)'!B32+'Consumers Choice'!B32+'Consumers Mutual'!B32+CoOportunity!B32+'Coordinated Hlth'!B32+ELNY!B32+'Farmers &amp; Ranchers'!B32+'First Natl (Thrnr)'!B32+'Freelancers CO-OP'!B32+HealthyCT!B32+'Land of Lincoln'!B32+Lumbermens!B32+'Memorial Service'!B32+'National Heritage'!B32+NNIC!B32+Reliance!B32+'Standard Life IN'!B32+'Universal Health Care'!B32</f>
        <v>0</v>
      </c>
      <c r="C32" s="30">
        <f>+'Andrew Jackson'!C32+'Colorado Health'!C32+'Compass (dbs Meritus)'!C32+'Consumers Choice'!C32+'Consumers Mutual'!C32+CoOportunity!C32+'Coordinated Hlth'!C32+ELNY!C32+'Farmers &amp; Ranchers'!C32+'First Natl (Thrnr)'!C32+'Freelancers CO-OP'!C32+HealthyCT!C32+'Land of Lincoln'!C32+Lumbermens!C32+'Memorial Service'!C32+'National Heritage'!C32+NNIC!C32+Reliance!C32+'Standard Life IN'!C32+'Universal Health Care'!C32</f>
        <v>782944.34619835485</v>
      </c>
      <c r="D32" s="30">
        <f>+'Andrew Jackson'!D32+'Colorado Health'!D32+'Compass (dbs Meritus)'!D32+'Consumers Choice'!D32+'Consumers Mutual'!D32+CoOportunity!D32+'Coordinated Hlth'!D32+ELNY!D32+'Farmers &amp; Ranchers'!D32+'First Natl (Thrnr)'!D32+'Freelancers CO-OP'!D32+HealthyCT!D32+'Land of Lincoln'!D32+Lumbermens!D32+'Memorial Service'!D32+'National Heritage'!D32+NNIC!D32+Reliance!D32+'Standard Life IN'!D32+'Universal Health Care'!D32</f>
        <v>73510.248112305009</v>
      </c>
      <c r="E32" s="30">
        <f>+'Andrew Jackson'!E32+'Colorado Health'!E32+'Compass (dbs Meritus)'!E32+'Consumers Choice'!E32+'Consumers Mutual'!E32+CoOportunity!E32+'Coordinated Hlth'!E32+ELNY!E32+'Farmers &amp; Ranchers'!E32+'First Natl (Thrnr)'!E32+'Freelancers CO-OP'!E32+HealthyCT!E32+'Land of Lincoln'!E32+Lumbermens!E32+'Memorial Service'!E32+'National Heritage'!E32+NNIC!E32+Reliance!E32+'Standard Life IN'!E32+'Universal Health Care'!E32</f>
        <v>0</v>
      </c>
      <c r="F32" s="30">
        <f>+'Andrew Jackson'!F32+'Colorado Health'!F32+'Compass (dbs Meritus)'!F32+'Consumers Choice'!F32+'Consumers Mutual'!F32+CoOportunity!F32+'Coordinated Hlth'!F32+ELNY!F32+'Farmers &amp; Ranchers'!F32+'First Natl (Thrnr)'!F32+'Freelancers CO-OP'!F32+HealthyCT!F32+'Land of Lincoln'!F32+Lumbermens!F32+'Memorial Service'!F32+'National Heritage'!F32+NNIC!F32+Reliance!F32+'Standard Life IN'!F32+'Universal Health Care'!F32</f>
        <v>0</v>
      </c>
      <c r="G32" s="30">
        <f t="shared" si="0"/>
        <v>856454.59431065992</v>
      </c>
      <c r="H32" s="30"/>
      <c r="I32" s="30"/>
      <c r="J32" s="30"/>
    </row>
    <row r="33" spans="1:10">
      <c r="A33" s="1" t="s">
        <v>54</v>
      </c>
      <c r="B33" s="30">
        <f>+'Andrew Jackson'!B33+'Colorado Health'!B33+'Compass (dbs Meritus)'!B33+'Consumers Choice'!B33+'Consumers Mutual'!B33+CoOportunity!B33+'Coordinated Hlth'!B33+ELNY!B33+'Farmers &amp; Ranchers'!B33+'First Natl (Thrnr)'!B33+'Freelancers CO-OP'!B33+HealthyCT!B33+'Land of Lincoln'!B33+Lumbermens!B33+'Memorial Service'!B33+'National Heritage'!B33+NNIC!B33+Reliance!B33+'Standard Life IN'!B33+'Universal Health Care'!B33</f>
        <v>136440.1958857592</v>
      </c>
      <c r="C33" s="30">
        <f>+'Andrew Jackson'!C33+'Colorado Health'!C33+'Compass (dbs Meritus)'!C33+'Consumers Choice'!C33+'Consumers Mutual'!C33+CoOportunity!C33+'Coordinated Hlth'!C33+ELNY!C33+'Farmers &amp; Ranchers'!C33+'First Natl (Thrnr)'!C33+'Freelancers CO-OP'!C33+HealthyCT!C33+'Land of Lincoln'!C33+Lumbermens!C33+'Memorial Service'!C33+'National Heritage'!C33+NNIC!C33+Reliance!C33+'Standard Life IN'!C33+'Universal Health Care'!C33</f>
        <v>2844804.5066594104</v>
      </c>
      <c r="D33" s="30">
        <f>+'Andrew Jackson'!D33+'Colorado Health'!D33+'Compass (dbs Meritus)'!D33+'Consumers Choice'!D33+'Consumers Mutual'!D33+CoOportunity!D33+'Coordinated Hlth'!D33+ELNY!D33+'Farmers &amp; Ranchers'!D33+'First Natl (Thrnr)'!D33+'Freelancers CO-OP'!D33+HealthyCT!D33+'Land of Lincoln'!D33+Lumbermens!D33+'Memorial Service'!D33+'National Heritage'!D33+NNIC!D33+Reliance!D33+'Standard Life IN'!D33+'Universal Health Care'!D33</f>
        <v>19106538.334292244</v>
      </c>
      <c r="E33" s="30">
        <f>+'Andrew Jackson'!E33+'Colorado Health'!E33+'Compass (dbs Meritus)'!E33+'Consumers Choice'!E33+'Consumers Mutual'!E33+CoOportunity!E33+'Coordinated Hlth'!E33+ELNY!E33+'Farmers &amp; Ranchers'!E33+'First Natl (Thrnr)'!E33+'Freelancers CO-OP'!E33+HealthyCT!E33+'Land of Lincoln'!E33+Lumbermens!E33+'Memorial Service'!E33+'National Heritage'!E33+NNIC!E33+Reliance!E33+'Standard Life IN'!E33+'Universal Health Care'!E33</f>
        <v>0</v>
      </c>
      <c r="F33" s="30">
        <f>+'Andrew Jackson'!F33+'Colorado Health'!F33+'Compass (dbs Meritus)'!F33+'Consumers Choice'!F33+'Consumers Mutual'!F33+CoOportunity!F33+'Coordinated Hlth'!F33+ELNY!F33+'Farmers &amp; Ranchers'!F33+'First Natl (Thrnr)'!F33+'Freelancers CO-OP'!F33+HealthyCT!F33+'Land of Lincoln'!F33+Lumbermens!F33+'Memorial Service'!F33+'National Heritage'!F33+NNIC!F33+Reliance!F33+'Standard Life IN'!F33+'Universal Health Care'!F33</f>
        <v>0</v>
      </c>
      <c r="G33" s="30">
        <f t="shared" si="0"/>
        <v>22087783.036837414</v>
      </c>
      <c r="H33" s="30"/>
      <c r="I33" s="30"/>
      <c r="J33" s="30"/>
    </row>
    <row r="34" spans="1:10">
      <c r="A34" s="1" t="s">
        <v>55</v>
      </c>
      <c r="B34" s="30">
        <f>+'Andrew Jackson'!B34+'Colorado Health'!B34+'Compass (dbs Meritus)'!B34+'Consumers Choice'!B34+'Consumers Mutual'!B34+CoOportunity!B34+'Coordinated Hlth'!B34+ELNY!B34+'Farmers &amp; Ranchers'!B34+'First Natl (Thrnr)'!B34+'Freelancers CO-OP'!B34+HealthyCT!B34+'Land of Lincoln'!B34+Lumbermens!B34+'Memorial Service'!B34+'National Heritage'!B34+NNIC!B34+Reliance!B34+'Standard Life IN'!B34+'Universal Health Care'!B34</f>
        <v>1386.6700254525422</v>
      </c>
      <c r="C34" s="30">
        <f>+'Andrew Jackson'!C34+'Colorado Health'!C34+'Compass (dbs Meritus)'!C34+'Consumers Choice'!C34+'Consumers Mutual'!C34+CoOportunity!C34+'Coordinated Hlth'!C34+ELNY!C34+'Farmers &amp; Ranchers'!C34+'First Natl (Thrnr)'!C34+'Freelancers CO-OP'!C34+HealthyCT!C34+'Land of Lincoln'!C34+Lumbermens!C34+'Memorial Service'!C34+'National Heritage'!C34+NNIC!C34+Reliance!C34+'Standard Life IN'!C34+'Universal Health Care'!C34</f>
        <v>313439.30895424361</v>
      </c>
      <c r="D34" s="30">
        <f>+'Andrew Jackson'!D34+'Colorado Health'!D34+'Compass (dbs Meritus)'!D34+'Consumers Choice'!D34+'Consumers Mutual'!D34+CoOportunity!D34+'Coordinated Hlth'!D34+ELNY!D34+'Farmers &amp; Ranchers'!D34+'First Natl (Thrnr)'!D34+'Freelancers CO-OP'!D34+HealthyCT!D34+'Land of Lincoln'!D34+Lumbermens!D34+'Memorial Service'!D34+'National Heritage'!D34+NNIC!D34+Reliance!D34+'Standard Life IN'!D34+'Universal Health Care'!D34</f>
        <v>199954.64380768518</v>
      </c>
      <c r="E34" s="30">
        <f>+'Andrew Jackson'!E34+'Colorado Health'!E34+'Compass (dbs Meritus)'!E34+'Consumers Choice'!E34+'Consumers Mutual'!E34+CoOportunity!E34+'Coordinated Hlth'!E34+ELNY!E34+'Farmers &amp; Ranchers'!E34+'First Natl (Thrnr)'!E34+'Freelancers CO-OP'!E34+HealthyCT!E34+'Land of Lincoln'!E34+Lumbermens!E34+'Memorial Service'!E34+'National Heritage'!E34+NNIC!E34+Reliance!E34+'Standard Life IN'!E34+'Universal Health Care'!E34</f>
        <v>0</v>
      </c>
      <c r="F34" s="30">
        <f>+'Andrew Jackson'!F34+'Colorado Health'!F34+'Compass (dbs Meritus)'!F34+'Consumers Choice'!F34+'Consumers Mutual'!F34+CoOportunity!F34+'Coordinated Hlth'!F34+ELNY!F34+'Farmers &amp; Ranchers'!F34+'First Natl (Thrnr)'!F34+'Freelancers CO-OP'!F34+HealthyCT!F34+'Land of Lincoln'!F34+Lumbermens!F34+'Memorial Service'!F34+'National Heritage'!F34+NNIC!F34+Reliance!F34+'Standard Life IN'!F34+'Universal Health Care'!F34</f>
        <v>0</v>
      </c>
      <c r="G34" s="30">
        <f t="shared" si="0"/>
        <v>514780.62278738135</v>
      </c>
      <c r="H34" s="30"/>
      <c r="I34" s="30"/>
      <c r="J34" s="30"/>
    </row>
    <row r="35" spans="1:10">
      <c r="A35" s="1" t="s">
        <v>56</v>
      </c>
      <c r="B35" s="30">
        <f>+'Andrew Jackson'!B35+'Colorado Health'!B35+'Compass (dbs Meritus)'!B35+'Consumers Choice'!B35+'Consumers Mutual'!B35+CoOportunity!B35+'Coordinated Hlth'!B35+ELNY!B35+'Farmers &amp; Ranchers'!B35+'First Natl (Thrnr)'!B35+'Freelancers CO-OP'!B35+HealthyCT!B35+'Land of Lincoln'!B35+Lumbermens!B35+'Memorial Service'!B35+'National Heritage'!B35+NNIC!B35+Reliance!B35+'Standard Life IN'!B35+'Universal Health Care'!B35</f>
        <v>0</v>
      </c>
      <c r="C35" s="30">
        <f>+'Andrew Jackson'!C35+'Colorado Health'!C35+'Compass (dbs Meritus)'!C35+'Consumers Choice'!C35+'Consumers Mutual'!C35+CoOportunity!C35+'Coordinated Hlth'!C35+ELNY!C35+'Farmers &amp; Ranchers'!C35+'First Natl (Thrnr)'!C35+'Freelancers CO-OP'!C35+HealthyCT!C35+'Land of Lincoln'!C35+Lumbermens!C35+'Memorial Service'!C35+'National Heritage'!C35+NNIC!C35+Reliance!C35+'Standard Life IN'!C35+'Universal Health Care'!C35</f>
        <v>1874843.3152104144</v>
      </c>
      <c r="D35" s="30">
        <f>+'Andrew Jackson'!D35+'Colorado Health'!D35+'Compass (dbs Meritus)'!D35+'Consumers Choice'!D35+'Consumers Mutual'!D35+CoOportunity!D35+'Coordinated Hlth'!D35+ELNY!D35+'Farmers &amp; Ranchers'!D35+'First Natl (Thrnr)'!D35+'Freelancers CO-OP'!D35+HealthyCT!D35+'Land of Lincoln'!D35+Lumbermens!D35+'Memorial Service'!D35+'National Heritage'!D35+NNIC!D35+Reliance!D35+'Standard Life IN'!D35+'Universal Health Care'!D35</f>
        <v>487211.66481200594</v>
      </c>
      <c r="E35" s="30">
        <f>+'Andrew Jackson'!E35+'Colorado Health'!E35+'Compass (dbs Meritus)'!E35+'Consumers Choice'!E35+'Consumers Mutual'!E35+CoOportunity!E35+'Coordinated Hlth'!E35+ELNY!E35+'Farmers &amp; Ranchers'!E35+'First Natl (Thrnr)'!E35+'Freelancers CO-OP'!E35+HealthyCT!E35+'Land of Lincoln'!E35+Lumbermens!E35+'Memorial Service'!E35+'National Heritage'!E35+NNIC!E35+Reliance!E35+'Standard Life IN'!E35+'Universal Health Care'!E35</f>
        <v>0</v>
      </c>
      <c r="F35" s="30">
        <f>+'Andrew Jackson'!F35+'Colorado Health'!F35+'Compass (dbs Meritus)'!F35+'Consumers Choice'!F35+'Consumers Mutual'!F35+CoOportunity!F35+'Coordinated Hlth'!F35+ELNY!F35+'Farmers &amp; Ranchers'!F35+'First Natl (Thrnr)'!F35+'Freelancers CO-OP'!F35+HealthyCT!F35+'Land of Lincoln'!F35+Lumbermens!F35+'Memorial Service'!F35+'National Heritage'!F35+NNIC!F35+Reliance!F35+'Standard Life IN'!F35+'Universal Health Care'!F35</f>
        <v>0</v>
      </c>
      <c r="G35" s="30">
        <f t="shared" si="0"/>
        <v>2362054.9800224202</v>
      </c>
      <c r="H35" s="30"/>
      <c r="I35" s="30"/>
      <c r="J35" s="30"/>
    </row>
    <row r="36" spans="1:10">
      <c r="A36" s="1" t="s">
        <v>57</v>
      </c>
      <c r="B36" s="30">
        <f>+'Andrew Jackson'!B36+'Colorado Health'!B36+'Compass (dbs Meritus)'!B36+'Consumers Choice'!B36+'Consumers Mutual'!B36+CoOportunity!B36+'Coordinated Hlth'!B36+ELNY!B36+'Farmers &amp; Ranchers'!B36+'First Natl (Thrnr)'!B36+'Freelancers CO-OP'!B36+HealthyCT!B36+'Land of Lincoln'!B36+Lumbermens!B36+'Memorial Service'!B36+'National Heritage'!B36+NNIC!B36+Reliance!B36+'Standard Life IN'!B36+'Universal Health Care'!B36</f>
        <v>0</v>
      </c>
      <c r="C36" s="30">
        <f>+'Andrew Jackson'!C36+'Colorado Health'!C36+'Compass (dbs Meritus)'!C36+'Consumers Choice'!C36+'Consumers Mutual'!C36+CoOportunity!C36+'Coordinated Hlth'!C36+ELNY!C36+'Farmers &amp; Ranchers'!C36+'First Natl (Thrnr)'!C36+'Freelancers CO-OP'!C36+HealthyCT!C36+'Land of Lincoln'!C36+Lumbermens!C36+'Memorial Service'!C36+'National Heritage'!C36+NNIC!C36+Reliance!C36+'Standard Life IN'!C36+'Universal Health Care'!C36</f>
        <v>55882696.267626844</v>
      </c>
      <c r="D36" s="30">
        <f>+'Andrew Jackson'!D36+'Colorado Health'!D36+'Compass (dbs Meritus)'!D36+'Consumers Choice'!D36+'Consumers Mutual'!D36+CoOportunity!D36+'Coordinated Hlth'!D36+ELNY!D36+'Farmers &amp; Ranchers'!D36+'First Natl (Thrnr)'!D36+'Freelancers CO-OP'!D36+HealthyCT!D36+'Land of Lincoln'!D36+Lumbermens!D36+'Memorial Service'!D36+'National Heritage'!D36+NNIC!D36+Reliance!D36+'Standard Life IN'!D36+'Universal Health Care'!D36</f>
        <v>25041650.292433701</v>
      </c>
      <c r="E36" s="30">
        <f>+'Andrew Jackson'!E36+'Colorado Health'!E36+'Compass (dbs Meritus)'!E36+'Consumers Choice'!E36+'Consumers Mutual'!E36+CoOportunity!E36+'Coordinated Hlth'!E36+ELNY!E36+'Farmers &amp; Ranchers'!E36+'First Natl (Thrnr)'!E36+'Freelancers CO-OP'!E36+HealthyCT!E36+'Land of Lincoln'!E36+Lumbermens!E36+'Memorial Service'!E36+'National Heritage'!E36+NNIC!E36+Reliance!E36+'Standard Life IN'!E36+'Universal Health Care'!E36</f>
        <v>0</v>
      </c>
      <c r="F36" s="30">
        <f>+'Andrew Jackson'!F36+'Colorado Health'!F36+'Compass (dbs Meritus)'!F36+'Consumers Choice'!F36+'Consumers Mutual'!F36+CoOportunity!F36+'Coordinated Hlth'!F36+ELNY!F36+'Farmers &amp; Ranchers'!F36+'First Natl (Thrnr)'!F36+'Freelancers CO-OP'!F36+HealthyCT!F36+'Land of Lincoln'!F36+Lumbermens!F36+'Memorial Service'!F36+'National Heritage'!F36+NNIC!F36+Reliance!F36+'Standard Life IN'!F36+'Universal Health Care'!F36</f>
        <v>0</v>
      </c>
      <c r="G36" s="30">
        <f t="shared" si="0"/>
        <v>80924346.560060546</v>
      </c>
      <c r="H36" s="30"/>
      <c r="I36" s="30"/>
      <c r="J36" s="30"/>
    </row>
    <row r="37" spans="1:10">
      <c r="A37" s="1" t="s">
        <v>58</v>
      </c>
      <c r="B37" s="30">
        <f>+'Andrew Jackson'!B37+'Colorado Health'!B37+'Compass (dbs Meritus)'!B37+'Consumers Choice'!B37+'Consumers Mutual'!B37+CoOportunity!B37+'Coordinated Hlth'!B37+ELNY!B37+'Farmers &amp; Ranchers'!B37+'First Natl (Thrnr)'!B37+'Freelancers CO-OP'!B37+HealthyCT!B37+'Land of Lincoln'!B37+Lumbermens!B37+'Memorial Service'!B37+'National Heritage'!B37+NNIC!B37+Reliance!B37+'Standard Life IN'!B37+'Universal Health Care'!B37</f>
        <v>-426.86937904061415</v>
      </c>
      <c r="C37" s="30">
        <f>+'Andrew Jackson'!C37+'Colorado Health'!C37+'Compass (dbs Meritus)'!C37+'Consumers Choice'!C37+'Consumers Mutual'!C37+CoOportunity!C37+'Coordinated Hlth'!C37+ELNY!C37+'Farmers &amp; Ranchers'!C37+'First Natl (Thrnr)'!C37+'Freelancers CO-OP'!C37+HealthyCT!C37+'Land of Lincoln'!C37+Lumbermens!C37+'Memorial Service'!C37+'National Heritage'!C37+NNIC!C37+Reliance!C37+'Standard Life IN'!C37+'Universal Health Care'!C37</f>
        <v>381014.69698549446</v>
      </c>
      <c r="D37" s="30">
        <f>+'Andrew Jackson'!D37+'Colorado Health'!D37+'Compass (dbs Meritus)'!D37+'Consumers Choice'!D37+'Consumers Mutual'!D37+CoOportunity!D37+'Coordinated Hlth'!D37+ELNY!D37+'Farmers &amp; Ranchers'!D37+'First Natl (Thrnr)'!D37+'Freelancers CO-OP'!D37+HealthyCT!D37+'Land of Lincoln'!D37+Lumbermens!D37+'Memorial Service'!D37+'National Heritage'!D37+NNIC!D37+Reliance!D37+'Standard Life IN'!D37+'Universal Health Care'!D37</f>
        <v>246480.82321028016</v>
      </c>
      <c r="E37" s="30">
        <f>+'Andrew Jackson'!E37+'Colorado Health'!E37+'Compass (dbs Meritus)'!E37+'Consumers Choice'!E37+'Consumers Mutual'!E37+CoOportunity!E37+'Coordinated Hlth'!E37+ELNY!E37+'Farmers &amp; Ranchers'!E37+'First Natl (Thrnr)'!E37+'Freelancers CO-OP'!E37+HealthyCT!E37+'Land of Lincoln'!E37+Lumbermens!E37+'Memorial Service'!E37+'National Heritage'!E37+NNIC!E37+Reliance!E37+'Standard Life IN'!E37+'Universal Health Care'!E37</f>
        <v>0</v>
      </c>
      <c r="F37" s="30">
        <f>+'Andrew Jackson'!F37+'Colorado Health'!F37+'Compass (dbs Meritus)'!F37+'Consumers Choice'!F37+'Consumers Mutual'!F37+CoOportunity!F37+'Coordinated Hlth'!F37+ELNY!F37+'Farmers &amp; Ranchers'!F37+'First Natl (Thrnr)'!F37+'Freelancers CO-OP'!F37+HealthyCT!F37+'Land of Lincoln'!F37+Lumbermens!F37+'Memorial Service'!F37+'National Heritage'!F37+NNIC!F37+Reliance!F37+'Standard Life IN'!F37+'Universal Health Care'!F37</f>
        <v>0</v>
      </c>
      <c r="G37" s="30">
        <f t="shared" si="0"/>
        <v>627068.65081673395</v>
      </c>
      <c r="H37" s="30"/>
      <c r="I37" s="30"/>
      <c r="J37" s="30"/>
    </row>
    <row r="38" spans="1:10">
      <c r="A38" s="1" t="s">
        <v>59</v>
      </c>
      <c r="B38" s="30">
        <f>+'Andrew Jackson'!B38+'Colorado Health'!B38+'Compass (dbs Meritus)'!B38+'Consumers Choice'!B38+'Consumers Mutual'!B38+CoOportunity!B38+'Coordinated Hlth'!B38+ELNY!B38+'Farmers &amp; Ranchers'!B38+'First Natl (Thrnr)'!B38+'Freelancers CO-OP'!B38+HealthyCT!B38+'Land of Lincoln'!B38+Lumbermens!B38+'Memorial Service'!B38+'National Heritage'!B38+NNIC!B38+Reliance!B38+'Standard Life IN'!B38+'Universal Health Care'!B38</f>
        <v>0</v>
      </c>
      <c r="C38" s="30">
        <f>+'Andrew Jackson'!C38+'Colorado Health'!C38+'Compass (dbs Meritus)'!C38+'Consumers Choice'!C38+'Consumers Mutual'!C38+CoOportunity!C38+'Coordinated Hlth'!C38+ELNY!C38+'Farmers &amp; Ranchers'!C38+'First Natl (Thrnr)'!C38+'Freelancers CO-OP'!C38+HealthyCT!C38+'Land of Lincoln'!C38+Lumbermens!C38+'Memorial Service'!C38+'National Heritage'!C38+NNIC!C38+Reliance!C38+'Standard Life IN'!C38+'Universal Health Care'!C38</f>
        <v>537970827.55575466</v>
      </c>
      <c r="D38" s="30">
        <f>+'Andrew Jackson'!D38+'Colorado Health'!D38+'Compass (dbs Meritus)'!D38+'Consumers Choice'!D38+'Consumers Mutual'!D38+CoOportunity!D38+'Coordinated Hlth'!D38+ELNY!D38+'Farmers &amp; Ranchers'!D38+'First Natl (Thrnr)'!D38+'Freelancers CO-OP'!D38+HealthyCT!D38+'Land of Lincoln'!D38+Lumbermens!D38+'Memorial Service'!D38+'National Heritage'!D38+NNIC!D38+Reliance!D38+'Standard Life IN'!D38+'Universal Health Care'!D38</f>
        <v>0</v>
      </c>
      <c r="E38" s="30">
        <f>+'Andrew Jackson'!E38+'Colorado Health'!E38+'Compass (dbs Meritus)'!E38+'Consumers Choice'!E38+'Consumers Mutual'!E38+CoOportunity!E38+'Coordinated Hlth'!E38+ELNY!E38+'Farmers &amp; Ranchers'!E38+'First Natl (Thrnr)'!E38+'Freelancers CO-OP'!E38+HealthyCT!E38+'Land of Lincoln'!E38+Lumbermens!E38+'Memorial Service'!E38+'National Heritage'!E38+NNIC!E38+Reliance!E38+'Standard Life IN'!E38+'Universal Health Care'!E38</f>
        <v>0</v>
      </c>
      <c r="F38" s="30">
        <f>+'Andrew Jackson'!F38+'Colorado Health'!F38+'Compass (dbs Meritus)'!F38+'Consumers Choice'!F38+'Consumers Mutual'!F38+CoOportunity!F38+'Coordinated Hlth'!F38+ELNY!F38+'Farmers &amp; Ranchers'!F38+'First Natl (Thrnr)'!F38+'Freelancers CO-OP'!F38+HealthyCT!F38+'Land of Lincoln'!F38+Lumbermens!F38+'Memorial Service'!F38+'National Heritage'!F38+NNIC!F38+Reliance!F38+'Standard Life IN'!F38+'Universal Health Care'!F38</f>
        <v>0</v>
      </c>
      <c r="G38" s="30">
        <f t="shared" ref="G38:G58" si="1">SUM(B38:F38)</f>
        <v>537970827.55575466</v>
      </c>
      <c r="H38" s="30"/>
      <c r="I38" s="30"/>
      <c r="J38" s="30"/>
    </row>
    <row r="39" spans="1:10">
      <c r="A39" s="1" t="s">
        <v>60</v>
      </c>
      <c r="B39" s="30">
        <f>+'Andrew Jackson'!B39+'Colorado Health'!B39+'Compass (dbs Meritus)'!B39+'Consumers Choice'!B39+'Consumers Mutual'!B39+CoOportunity!B39+'Coordinated Hlth'!B39+ELNY!B39+'Farmers &amp; Ranchers'!B39+'First Natl (Thrnr)'!B39+'Freelancers CO-OP'!B39+HealthyCT!B39+'Land of Lincoln'!B39+Lumbermens!B39+'Memorial Service'!B39+'National Heritage'!B39+NNIC!B39+Reliance!B39+'Standard Life IN'!B39+'Universal Health Care'!B39</f>
        <v>1695936.684533292</v>
      </c>
      <c r="C39" s="30">
        <f>+'Andrew Jackson'!C39+'Colorado Health'!C39+'Compass (dbs Meritus)'!C39+'Consumers Choice'!C39+'Consumers Mutual'!C39+CoOportunity!C39+'Coordinated Hlth'!C39+ELNY!C39+'Farmers &amp; Ranchers'!C39+'First Natl (Thrnr)'!C39+'Freelancers CO-OP'!C39+HealthyCT!C39+'Land of Lincoln'!C39+Lumbermens!C39+'Memorial Service'!C39+'National Heritage'!C39+NNIC!C39+Reliance!C39+'Standard Life IN'!C39+'Universal Health Care'!C39</f>
        <v>20740565.607493352</v>
      </c>
      <c r="D39" s="30">
        <f>+'Andrew Jackson'!D39+'Colorado Health'!D39+'Compass (dbs Meritus)'!D39+'Consumers Choice'!D39+'Consumers Mutual'!D39+CoOportunity!D39+'Coordinated Hlth'!D39+ELNY!D39+'Farmers &amp; Ranchers'!D39+'First Natl (Thrnr)'!D39+'Freelancers CO-OP'!D39+HealthyCT!D39+'Land of Lincoln'!D39+Lumbermens!D39+'Memorial Service'!D39+'National Heritage'!D39+NNIC!D39+Reliance!D39+'Standard Life IN'!D39+'Universal Health Care'!D39</f>
        <v>883060.59695317969</v>
      </c>
      <c r="E39" s="30">
        <f>+'Andrew Jackson'!E39+'Colorado Health'!E39+'Compass (dbs Meritus)'!E39+'Consumers Choice'!E39+'Consumers Mutual'!E39+CoOportunity!E39+'Coordinated Hlth'!E39+ELNY!E39+'Farmers &amp; Ranchers'!E39+'First Natl (Thrnr)'!E39+'Freelancers CO-OP'!E39+HealthyCT!E39+'Land of Lincoln'!E39+Lumbermens!E39+'Memorial Service'!E39+'National Heritage'!E39+NNIC!E39+Reliance!E39+'Standard Life IN'!E39+'Universal Health Care'!E39</f>
        <v>0</v>
      </c>
      <c r="F39" s="30">
        <f>+'Andrew Jackson'!F39+'Colorado Health'!F39+'Compass (dbs Meritus)'!F39+'Consumers Choice'!F39+'Consumers Mutual'!F39+CoOportunity!F39+'Coordinated Hlth'!F39+ELNY!F39+'Farmers &amp; Ranchers'!F39+'First Natl (Thrnr)'!F39+'Freelancers CO-OP'!F39+HealthyCT!F39+'Land of Lincoln'!F39+Lumbermens!F39+'Memorial Service'!F39+'National Heritage'!F39+NNIC!F39+Reliance!F39+'Standard Life IN'!F39+'Universal Health Care'!F39</f>
        <v>0</v>
      </c>
      <c r="G39" s="30">
        <f t="shared" si="1"/>
        <v>23319562.888979822</v>
      </c>
      <c r="H39" s="30"/>
      <c r="I39" s="30"/>
      <c r="J39" s="30"/>
    </row>
    <row r="40" spans="1:10">
      <c r="A40" s="1" t="s">
        <v>61</v>
      </c>
      <c r="B40" s="30">
        <f>+'Andrew Jackson'!B40+'Colorado Health'!B40+'Compass (dbs Meritus)'!B40+'Consumers Choice'!B40+'Consumers Mutual'!B40+CoOportunity!B40+'Coordinated Hlth'!B40+ELNY!B40+'Farmers &amp; Ranchers'!B40+'First Natl (Thrnr)'!B40+'Freelancers CO-OP'!B40+HealthyCT!B40+'Land of Lincoln'!B40+Lumbermens!B40+'Memorial Service'!B40+'National Heritage'!B40+NNIC!B40+Reliance!B40+'Standard Life IN'!B40+'Universal Health Care'!B40</f>
        <v>0</v>
      </c>
      <c r="C40" s="30">
        <f>+'Andrew Jackson'!C40+'Colorado Health'!C40+'Compass (dbs Meritus)'!C40+'Consumers Choice'!C40+'Consumers Mutual'!C40+CoOportunity!C40+'Coordinated Hlth'!C40+ELNY!C40+'Farmers &amp; Ranchers'!C40+'First Natl (Thrnr)'!C40+'Freelancers CO-OP'!C40+HealthyCT!C40+'Land of Lincoln'!C40+Lumbermens!C40+'Memorial Service'!C40+'National Heritage'!C40+NNIC!C40+Reliance!C40+'Standard Life IN'!C40+'Universal Health Care'!C40</f>
        <v>84253.566147190897</v>
      </c>
      <c r="D40" s="30">
        <f>+'Andrew Jackson'!D40+'Colorado Health'!D40+'Compass (dbs Meritus)'!D40+'Consumers Choice'!D40+'Consumers Mutual'!D40+CoOportunity!D40+'Coordinated Hlth'!D40+ELNY!D40+'Farmers &amp; Ranchers'!D40+'First Natl (Thrnr)'!D40+'Freelancers CO-OP'!D40+HealthyCT!D40+'Land of Lincoln'!D40+Lumbermens!D40+'Memorial Service'!D40+'National Heritage'!D40+NNIC!D40+Reliance!D40+'Standard Life IN'!D40+'Universal Health Care'!D40</f>
        <v>0.46000000000000796</v>
      </c>
      <c r="E40" s="30">
        <f>+'Andrew Jackson'!E40+'Colorado Health'!E40+'Compass (dbs Meritus)'!E40+'Consumers Choice'!E40+'Consumers Mutual'!E40+CoOportunity!E40+'Coordinated Hlth'!E40+ELNY!E40+'Farmers &amp; Ranchers'!E40+'First Natl (Thrnr)'!E40+'Freelancers CO-OP'!E40+HealthyCT!E40+'Land of Lincoln'!E40+Lumbermens!E40+'Memorial Service'!E40+'National Heritage'!E40+NNIC!E40+Reliance!E40+'Standard Life IN'!E40+'Universal Health Care'!E40</f>
        <v>0</v>
      </c>
      <c r="F40" s="30">
        <f>+'Andrew Jackson'!F40+'Colorado Health'!F40+'Compass (dbs Meritus)'!F40+'Consumers Choice'!F40+'Consumers Mutual'!F40+CoOportunity!F40+'Coordinated Hlth'!F40+ELNY!F40+'Farmers &amp; Ranchers'!F40+'First Natl (Thrnr)'!F40+'Freelancers CO-OP'!F40+HealthyCT!F40+'Land of Lincoln'!F40+Lumbermens!F40+'Memorial Service'!F40+'National Heritage'!F40+NNIC!F40+Reliance!F40+'Standard Life IN'!F40+'Universal Health Care'!F40</f>
        <v>0</v>
      </c>
      <c r="G40" s="30">
        <f t="shared" si="1"/>
        <v>84254.026147190903</v>
      </c>
      <c r="H40" s="30"/>
      <c r="I40" s="30"/>
      <c r="J40" s="30"/>
    </row>
    <row r="41" spans="1:10">
      <c r="A41" s="1" t="s">
        <v>62</v>
      </c>
      <c r="B41" s="30">
        <f>+'Andrew Jackson'!B41+'Colorado Health'!B41+'Compass (dbs Meritus)'!B41+'Consumers Choice'!B41+'Consumers Mutual'!B41+CoOportunity!B41+'Coordinated Hlth'!B41+ELNY!B41+'Farmers &amp; Ranchers'!B41+'First Natl (Thrnr)'!B41+'Freelancers CO-OP'!B41+HealthyCT!B41+'Land of Lincoln'!B41+Lumbermens!B41+'Memorial Service'!B41+'National Heritage'!B41+NNIC!B41+Reliance!B41+'Standard Life IN'!B41+'Universal Health Care'!B41</f>
        <v>9539.1038642450003</v>
      </c>
      <c r="C41" s="30">
        <f>+'Andrew Jackson'!C41+'Colorado Health'!C41+'Compass (dbs Meritus)'!C41+'Consumers Choice'!C41+'Consumers Mutual'!C41+CoOportunity!C41+'Coordinated Hlth'!C41+ELNY!C41+'Farmers &amp; Ranchers'!C41+'First Natl (Thrnr)'!C41+'Freelancers CO-OP'!C41+HealthyCT!C41+'Land of Lincoln'!C41+Lumbermens!C41+'Memorial Service'!C41+'National Heritage'!C41+NNIC!C41+Reliance!C41+'Standard Life IN'!C41+'Universal Health Care'!C41</f>
        <v>5377812.0751202647</v>
      </c>
      <c r="D41" s="30">
        <f>+'Andrew Jackson'!D41+'Colorado Health'!D41+'Compass (dbs Meritus)'!D41+'Consumers Choice'!D41+'Consumers Mutual'!D41+CoOportunity!D41+'Coordinated Hlth'!D41+ELNY!D41+'Farmers &amp; Ranchers'!D41+'First Natl (Thrnr)'!D41+'Freelancers CO-OP'!D41+HealthyCT!D41+'Land of Lincoln'!D41+Lumbermens!D41+'Memorial Service'!D41+'National Heritage'!D41+NNIC!D41+Reliance!D41+'Standard Life IN'!D41+'Universal Health Care'!D41</f>
        <v>9838470.5258982442</v>
      </c>
      <c r="E41" s="30">
        <f>+'Andrew Jackson'!E41+'Colorado Health'!E41+'Compass (dbs Meritus)'!E41+'Consumers Choice'!E41+'Consumers Mutual'!E41+CoOportunity!E41+'Coordinated Hlth'!E41+ELNY!E41+'Farmers &amp; Ranchers'!E41+'First Natl (Thrnr)'!E41+'Freelancers CO-OP'!E41+HealthyCT!E41+'Land of Lincoln'!E41+Lumbermens!E41+'Memorial Service'!E41+'National Heritage'!E41+NNIC!E41+Reliance!E41+'Standard Life IN'!E41+'Universal Health Care'!E41</f>
        <v>0</v>
      </c>
      <c r="F41" s="30">
        <f>+'Andrew Jackson'!F41+'Colorado Health'!F41+'Compass (dbs Meritus)'!F41+'Consumers Choice'!F41+'Consumers Mutual'!F41+CoOportunity!F41+'Coordinated Hlth'!F41+ELNY!F41+'Farmers &amp; Ranchers'!F41+'First Natl (Thrnr)'!F41+'Freelancers CO-OP'!F41+HealthyCT!F41+'Land of Lincoln'!F41+Lumbermens!F41+'Memorial Service'!F41+'National Heritage'!F41+NNIC!F41+Reliance!F41+'Standard Life IN'!F41+'Universal Health Care'!F41</f>
        <v>0</v>
      </c>
      <c r="G41" s="30">
        <f t="shared" si="1"/>
        <v>15225821.704882754</v>
      </c>
      <c r="H41" s="30"/>
      <c r="I41" s="30"/>
      <c r="J41" s="30"/>
    </row>
    <row r="42" spans="1:10">
      <c r="A42" s="1" t="s">
        <v>63</v>
      </c>
      <c r="B42" s="30">
        <f>+'Andrew Jackson'!B42+'Colorado Health'!B42+'Compass (dbs Meritus)'!B42+'Consumers Choice'!B42+'Consumers Mutual'!B42+CoOportunity!B42+'Coordinated Hlth'!B42+ELNY!B42+'Farmers &amp; Ranchers'!B42+'First Natl (Thrnr)'!B42+'Freelancers CO-OP'!B42+HealthyCT!B42+'Land of Lincoln'!B42+Lumbermens!B42+'Memorial Service'!B42+'National Heritage'!B42+NNIC!B42+Reliance!B42+'Standard Life IN'!B42+'Universal Health Care'!B42</f>
        <v>4792947.4309742479</v>
      </c>
      <c r="C42" s="30">
        <f>+'Andrew Jackson'!C42+'Colorado Health'!C42+'Compass (dbs Meritus)'!C42+'Consumers Choice'!C42+'Consumers Mutual'!C42+CoOportunity!C42+'Coordinated Hlth'!C42+ELNY!C42+'Farmers &amp; Ranchers'!C42+'First Natl (Thrnr)'!C42+'Freelancers CO-OP'!C42+HealthyCT!C42+'Land of Lincoln'!C42+Lumbermens!C42+'Memorial Service'!C42+'National Heritage'!C42+NNIC!C42+Reliance!C42+'Standard Life IN'!C42+'Universal Health Care'!C42</f>
        <v>4817912.3177020531</v>
      </c>
      <c r="D42" s="30">
        <f>+'Andrew Jackson'!D42+'Colorado Health'!D42+'Compass (dbs Meritus)'!D42+'Consumers Choice'!D42+'Consumers Mutual'!D42+CoOportunity!D42+'Coordinated Hlth'!D42+ELNY!D42+'Farmers &amp; Ranchers'!D42+'First Natl (Thrnr)'!D42+'Freelancers CO-OP'!D42+HealthyCT!D42+'Land of Lincoln'!D42+Lumbermens!D42+'Memorial Service'!D42+'National Heritage'!D42+NNIC!D42+Reliance!D42+'Standard Life IN'!D42+'Universal Health Care'!D42</f>
        <v>16044.589999999967</v>
      </c>
      <c r="E42" s="30">
        <f>+'Andrew Jackson'!E42+'Colorado Health'!E42+'Compass (dbs Meritus)'!E42+'Consumers Choice'!E42+'Consumers Mutual'!E42+CoOportunity!E42+'Coordinated Hlth'!E42+ELNY!E42+'Farmers &amp; Ranchers'!E42+'First Natl (Thrnr)'!E42+'Freelancers CO-OP'!E42+HealthyCT!E42+'Land of Lincoln'!E42+Lumbermens!E42+'Memorial Service'!E42+'National Heritage'!E42+NNIC!E42+Reliance!E42+'Standard Life IN'!E42+'Universal Health Care'!E42</f>
        <v>0</v>
      </c>
      <c r="F42" s="30">
        <f>+'Andrew Jackson'!F42+'Colorado Health'!F42+'Compass (dbs Meritus)'!F42+'Consumers Choice'!F42+'Consumers Mutual'!F42+CoOportunity!F42+'Coordinated Hlth'!F42+ELNY!F42+'Farmers &amp; Ranchers'!F42+'First Natl (Thrnr)'!F42+'Freelancers CO-OP'!F42+HealthyCT!F42+'Land of Lincoln'!F42+Lumbermens!F42+'Memorial Service'!F42+'National Heritage'!F42+NNIC!F42+Reliance!F42+'Standard Life IN'!F42+'Universal Health Care'!F42</f>
        <v>0</v>
      </c>
      <c r="G42" s="30">
        <f t="shared" si="1"/>
        <v>9626904.3386762999</v>
      </c>
      <c r="H42" s="30"/>
      <c r="I42" s="30"/>
      <c r="J42" s="30"/>
    </row>
    <row r="43" spans="1:10">
      <c r="A43" s="1" t="s">
        <v>64</v>
      </c>
      <c r="B43" s="30">
        <f>+'Andrew Jackson'!B43+'Colorado Health'!B43+'Compass (dbs Meritus)'!B43+'Consumers Choice'!B43+'Consumers Mutual'!B43+CoOportunity!B43+'Coordinated Hlth'!B43+ELNY!B43+'Farmers &amp; Ranchers'!B43+'First Natl (Thrnr)'!B43+'Freelancers CO-OP'!B43+HealthyCT!B43+'Land of Lincoln'!B43+Lumbermens!B43+'Memorial Service'!B43+'National Heritage'!B43+NNIC!B43+Reliance!B43+'Standard Life IN'!B43+'Universal Health Care'!B43</f>
        <v>2884.7261059137454</v>
      </c>
      <c r="C43" s="30">
        <f>+'Andrew Jackson'!C43+'Colorado Health'!C43+'Compass (dbs Meritus)'!C43+'Consumers Choice'!C43+'Consumers Mutual'!C43+CoOportunity!C43+'Coordinated Hlth'!C43+ELNY!C43+'Farmers &amp; Ranchers'!C43+'First Natl (Thrnr)'!C43+'Freelancers CO-OP'!C43+HealthyCT!C43+'Land of Lincoln'!C43+Lumbermens!C43+'Memorial Service'!C43+'National Heritage'!C43+NNIC!C43+Reliance!C43+'Standard Life IN'!C43+'Universal Health Care'!C43</f>
        <v>60798.411740266754</v>
      </c>
      <c r="D43" s="30">
        <f>+'Andrew Jackson'!D43+'Colorado Health'!D43+'Compass (dbs Meritus)'!D43+'Consumers Choice'!D43+'Consumers Mutual'!D43+CoOportunity!D43+'Coordinated Hlth'!D43+ELNY!D43+'Farmers &amp; Ranchers'!D43+'First Natl (Thrnr)'!D43+'Freelancers CO-OP'!D43+HealthyCT!D43+'Land of Lincoln'!D43+Lumbermens!D43+'Memorial Service'!D43+'National Heritage'!D43+NNIC!D43+Reliance!D43+'Standard Life IN'!D43+'Universal Health Care'!D43</f>
        <v>60075.58548038132</v>
      </c>
      <c r="E43" s="30">
        <f>+'Andrew Jackson'!E43+'Colorado Health'!E43+'Compass (dbs Meritus)'!E43+'Consumers Choice'!E43+'Consumers Mutual'!E43+CoOportunity!E43+'Coordinated Hlth'!E43+ELNY!E43+'Farmers &amp; Ranchers'!E43+'First Natl (Thrnr)'!E43+'Freelancers CO-OP'!E43+HealthyCT!E43+'Land of Lincoln'!E43+Lumbermens!E43+'Memorial Service'!E43+'National Heritage'!E43+NNIC!E43+Reliance!E43+'Standard Life IN'!E43+'Universal Health Care'!E43</f>
        <v>0</v>
      </c>
      <c r="F43" s="30">
        <f>+'Andrew Jackson'!F43+'Colorado Health'!F43+'Compass (dbs Meritus)'!F43+'Consumers Choice'!F43+'Consumers Mutual'!F43+CoOportunity!F43+'Coordinated Hlth'!F43+ELNY!F43+'Farmers &amp; Ranchers'!F43+'First Natl (Thrnr)'!F43+'Freelancers CO-OP'!F43+HealthyCT!F43+'Land of Lincoln'!F43+Lumbermens!F43+'Memorial Service'!F43+'National Heritage'!F43+NNIC!F43+Reliance!F43+'Standard Life IN'!F43+'Universal Health Care'!F43</f>
        <v>0</v>
      </c>
      <c r="G43" s="30">
        <f t="shared" si="1"/>
        <v>123758.72332656183</v>
      </c>
      <c r="H43" s="30"/>
      <c r="I43" s="30"/>
      <c r="J43" s="30"/>
    </row>
    <row r="44" spans="1:10">
      <c r="A44" s="1" t="s">
        <v>65</v>
      </c>
      <c r="B44" s="30">
        <f>+'Andrew Jackson'!B44+'Colorado Health'!B44+'Compass (dbs Meritus)'!B44+'Consumers Choice'!B44+'Consumers Mutual'!B44+CoOportunity!B44+'Coordinated Hlth'!B44+ELNY!B44+'Farmers &amp; Ranchers'!B44+'First Natl (Thrnr)'!B44+'Freelancers CO-OP'!B44+HealthyCT!B44+'Land of Lincoln'!B44+Lumbermens!B44+'Memorial Service'!B44+'National Heritage'!B44+NNIC!B44+Reliance!B44+'Standard Life IN'!B44+'Universal Health Care'!B44</f>
        <v>0</v>
      </c>
      <c r="C44" s="30">
        <f>+'Andrew Jackson'!C44+'Colorado Health'!C44+'Compass (dbs Meritus)'!C44+'Consumers Choice'!C44+'Consumers Mutual'!C44+CoOportunity!C44+'Coordinated Hlth'!C44+ELNY!C44+'Farmers &amp; Ranchers'!C44+'First Natl (Thrnr)'!C44+'Freelancers CO-OP'!C44+HealthyCT!C44+'Land of Lincoln'!C44+Lumbermens!C44+'Memorial Service'!C44+'National Heritage'!C44+NNIC!C44+Reliance!C44+'Standard Life IN'!C44+'Universal Health Care'!C44</f>
        <v>45325832.18114385</v>
      </c>
      <c r="D44" s="30">
        <f>+'Andrew Jackson'!D44+'Colorado Health'!D44+'Compass (dbs Meritus)'!D44+'Consumers Choice'!D44+'Consumers Mutual'!D44+CoOportunity!D44+'Coordinated Hlth'!D44+ELNY!D44+'Farmers &amp; Ranchers'!D44+'First Natl (Thrnr)'!D44+'Freelancers CO-OP'!D44+HealthyCT!D44+'Land of Lincoln'!D44+Lumbermens!D44+'Memorial Service'!D44+'National Heritage'!D44+NNIC!D44+Reliance!D44+'Standard Life IN'!D44+'Universal Health Care'!D44</f>
        <v>1995605.759652325</v>
      </c>
      <c r="E44" s="30">
        <f>+'Andrew Jackson'!E44+'Colorado Health'!E44+'Compass (dbs Meritus)'!E44+'Consumers Choice'!E44+'Consumers Mutual'!E44+CoOportunity!E44+'Coordinated Hlth'!E44+ELNY!E44+'Farmers &amp; Ranchers'!E44+'First Natl (Thrnr)'!E44+'Freelancers CO-OP'!E44+HealthyCT!E44+'Land of Lincoln'!E44+Lumbermens!E44+'Memorial Service'!E44+'National Heritage'!E44+NNIC!E44+Reliance!E44+'Standard Life IN'!E44+'Universal Health Care'!E44</f>
        <v>0</v>
      </c>
      <c r="F44" s="30">
        <f>+'Andrew Jackson'!F44+'Colorado Health'!F44+'Compass (dbs Meritus)'!F44+'Consumers Choice'!F44+'Consumers Mutual'!F44+CoOportunity!F44+'Coordinated Hlth'!F44+ELNY!F44+'Farmers &amp; Ranchers'!F44+'First Natl (Thrnr)'!F44+'Freelancers CO-OP'!F44+HealthyCT!F44+'Land of Lincoln'!F44+Lumbermens!F44+'Memorial Service'!F44+'National Heritage'!F44+NNIC!F44+Reliance!F44+'Standard Life IN'!F44+'Universal Health Care'!F44</f>
        <v>0</v>
      </c>
      <c r="G44" s="30">
        <f t="shared" si="1"/>
        <v>47321437.940796174</v>
      </c>
      <c r="H44" s="30"/>
      <c r="I44" s="30"/>
      <c r="J44" s="30"/>
    </row>
    <row r="45" spans="1:10">
      <c r="A45" s="1" t="s">
        <v>66</v>
      </c>
      <c r="B45" s="30">
        <f>+'Andrew Jackson'!B45+'Colorado Health'!B45+'Compass (dbs Meritus)'!B45+'Consumers Choice'!B45+'Consumers Mutual'!B45+CoOportunity!B45+'Coordinated Hlth'!B45+ELNY!B45+'Farmers &amp; Ranchers'!B45+'First Natl (Thrnr)'!B45+'Freelancers CO-OP'!B45+HealthyCT!B45+'Land of Lincoln'!B45+Lumbermens!B45+'Memorial Service'!B45+'National Heritage'!B45+NNIC!B45+Reliance!B45+'Standard Life IN'!B45+'Universal Health Care'!B45</f>
        <v>0</v>
      </c>
      <c r="C45" s="30">
        <f>+'Andrew Jackson'!C45+'Colorado Health'!C45+'Compass (dbs Meritus)'!C45+'Consumers Choice'!C45+'Consumers Mutual'!C45+CoOportunity!C45+'Coordinated Hlth'!C45+ELNY!C45+'Farmers &amp; Ranchers'!C45+'First Natl (Thrnr)'!C45+'Freelancers CO-OP'!C45+HealthyCT!C45+'Land of Lincoln'!C45+Lumbermens!C45+'Memorial Service'!C45+'National Heritage'!C45+NNIC!C45+Reliance!C45+'Standard Life IN'!C45+'Universal Health Care'!C45</f>
        <v>48703.951362923312</v>
      </c>
      <c r="D45" s="30">
        <f>+'Andrew Jackson'!D45+'Colorado Health'!D45+'Compass (dbs Meritus)'!D45+'Consumers Choice'!D45+'Consumers Mutual'!D45+CoOportunity!D45+'Coordinated Hlth'!D45+ELNY!D45+'Farmers &amp; Ranchers'!D45+'First Natl (Thrnr)'!D45+'Freelancers CO-OP'!D45+HealthyCT!D45+'Land of Lincoln'!D45+Lumbermens!D45+'Memorial Service'!D45+'National Heritage'!D45+NNIC!D45+Reliance!D45+'Standard Life IN'!D45+'Universal Health Care'!D45</f>
        <v>0</v>
      </c>
      <c r="E45" s="30">
        <f>+'Andrew Jackson'!E45+'Colorado Health'!E45+'Compass (dbs Meritus)'!E45+'Consumers Choice'!E45+'Consumers Mutual'!E45+CoOportunity!E45+'Coordinated Hlth'!E45+ELNY!E45+'Farmers &amp; Ranchers'!E45+'First Natl (Thrnr)'!E45+'Freelancers CO-OP'!E45+HealthyCT!E45+'Land of Lincoln'!E45+Lumbermens!E45+'Memorial Service'!E45+'National Heritage'!E45+NNIC!E45+Reliance!E45+'Standard Life IN'!E45+'Universal Health Care'!E45</f>
        <v>0</v>
      </c>
      <c r="F45" s="30">
        <f>+'Andrew Jackson'!F45+'Colorado Health'!F45+'Compass (dbs Meritus)'!F45+'Consumers Choice'!F45+'Consumers Mutual'!F45+CoOportunity!F45+'Coordinated Hlth'!F45+ELNY!F45+'Farmers &amp; Ranchers'!F45+'First Natl (Thrnr)'!F45+'Freelancers CO-OP'!F45+HealthyCT!F45+'Land of Lincoln'!F45+Lumbermens!F45+'Memorial Service'!F45+'National Heritage'!F45+NNIC!F45+Reliance!F45+'Standard Life IN'!F45+'Universal Health Care'!F45</f>
        <v>0</v>
      </c>
      <c r="G45" s="30">
        <f t="shared" si="1"/>
        <v>48703.951362923312</v>
      </c>
      <c r="H45" s="30"/>
      <c r="I45" s="30"/>
      <c r="J45" s="30"/>
    </row>
    <row r="46" spans="1:10">
      <c r="A46" s="1" t="s">
        <v>67</v>
      </c>
      <c r="B46" s="30">
        <f>+'Andrew Jackson'!B46+'Colorado Health'!B46+'Compass (dbs Meritus)'!B46+'Consumers Choice'!B46+'Consumers Mutual'!B46+CoOportunity!B46+'Coordinated Hlth'!B46+ELNY!B46+'Farmers &amp; Ranchers'!B46+'First Natl (Thrnr)'!B46+'Freelancers CO-OP'!B46+HealthyCT!B46+'Land of Lincoln'!B46+Lumbermens!B46+'Memorial Service'!B46+'National Heritage'!B46+NNIC!B46+Reliance!B46+'Standard Life IN'!B46+'Universal Health Care'!B46</f>
        <v>0</v>
      </c>
      <c r="C46" s="30">
        <f>+'Andrew Jackson'!C46+'Colorado Health'!C46+'Compass (dbs Meritus)'!C46+'Consumers Choice'!C46+'Consumers Mutual'!C46+CoOportunity!C46+'Coordinated Hlth'!C46+ELNY!C46+'Farmers &amp; Ranchers'!C46+'First Natl (Thrnr)'!C46+'Freelancers CO-OP'!C46+HealthyCT!C46+'Land of Lincoln'!C46+Lumbermens!C46+'Memorial Service'!C46+'National Heritage'!C46+NNIC!C46+Reliance!C46+'Standard Life IN'!C46+'Universal Health Care'!C46</f>
        <v>4666331.2225140827</v>
      </c>
      <c r="D46" s="30">
        <f>+'Andrew Jackson'!D46+'Colorado Health'!D46+'Compass (dbs Meritus)'!D46+'Consumers Choice'!D46+'Consumers Mutual'!D46+CoOportunity!D46+'Coordinated Hlth'!D46+ELNY!D46+'Farmers &amp; Ranchers'!D46+'First Natl (Thrnr)'!D46+'Freelancers CO-OP'!D46+HealthyCT!D46+'Land of Lincoln'!D46+Lumbermens!D46+'Memorial Service'!D46+'National Heritage'!D46+NNIC!D46+Reliance!D46+'Standard Life IN'!D46+'Universal Health Care'!D46</f>
        <v>57264.894457545772</v>
      </c>
      <c r="E46" s="30">
        <f>+'Andrew Jackson'!E46+'Colorado Health'!E46+'Compass (dbs Meritus)'!E46+'Consumers Choice'!E46+'Consumers Mutual'!E46+CoOportunity!E46+'Coordinated Hlth'!E46+ELNY!E46+'Farmers &amp; Ranchers'!E46+'First Natl (Thrnr)'!E46+'Freelancers CO-OP'!E46+HealthyCT!E46+'Land of Lincoln'!E46+Lumbermens!E46+'Memorial Service'!E46+'National Heritage'!E46+NNIC!E46+Reliance!E46+'Standard Life IN'!E46+'Universal Health Care'!E46</f>
        <v>0</v>
      </c>
      <c r="F46" s="30">
        <f>+'Andrew Jackson'!F46+'Colorado Health'!F46+'Compass (dbs Meritus)'!F46+'Consumers Choice'!F46+'Consumers Mutual'!F46+CoOportunity!F46+'Coordinated Hlth'!F46+ELNY!F46+'Farmers &amp; Ranchers'!F46+'First Natl (Thrnr)'!F46+'Freelancers CO-OP'!F46+HealthyCT!F46+'Land of Lincoln'!F46+Lumbermens!F46+'Memorial Service'!F46+'National Heritage'!F46+NNIC!F46+Reliance!F46+'Standard Life IN'!F46+'Universal Health Care'!F46</f>
        <v>0</v>
      </c>
      <c r="G46" s="30">
        <f t="shared" si="1"/>
        <v>4723596.1169716287</v>
      </c>
      <c r="H46" s="30"/>
      <c r="I46" s="30"/>
      <c r="J46" s="30"/>
    </row>
    <row r="47" spans="1:10">
      <c r="A47" s="1" t="s">
        <v>68</v>
      </c>
      <c r="B47" s="30">
        <f>+'Andrew Jackson'!B47+'Colorado Health'!B47+'Compass (dbs Meritus)'!B47+'Consumers Choice'!B47+'Consumers Mutual'!B47+CoOportunity!B47+'Coordinated Hlth'!B47+ELNY!B47+'Farmers &amp; Ranchers'!B47+'First Natl (Thrnr)'!B47+'Freelancers CO-OP'!B47+HealthyCT!B47+'Land of Lincoln'!B47+Lumbermens!B47+'Memorial Service'!B47+'National Heritage'!B47+NNIC!B47+Reliance!B47+'Standard Life IN'!B47+'Universal Health Care'!B47</f>
        <v>33848.792016730178</v>
      </c>
      <c r="C47" s="30">
        <f>+'Andrew Jackson'!C47+'Colorado Health'!C47+'Compass (dbs Meritus)'!C47+'Consumers Choice'!C47+'Consumers Mutual'!C47+CoOportunity!C47+'Coordinated Hlth'!C47+ELNY!C47+'Farmers &amp; Ranchers'!C47+'First Natl (Thrnr)'!C47+'Freelancers CO-OP'!C47+HealthyCT!C47+'Land of Lincoln'!C47+Lumbermens!C47+'Memorial Service'!C47+'National Heritage'!C47+NNIC!C47+Reliance!C47+'Standard Life IN'!C47+'Universal Health Care'!C47</f>
        <v>1173474.9220884787</v>
      </c>
      <c r="D47" s="30">
        <f>+'Andrew Jackson'!D47+'Colorado Health'!D47+'Compass (dbs Meritus)'!D47+'Consumers Choice'!D47+'Consumers Mutual'!D47+CoOportunity!D47+'Coordinated Hlth'!D47+ELNY!D47+'Farmers &amp; Ranchers'!D47+'First Natl (Thrnr)'!D47+'Freelancers CO-OP'!D47+HealthyCT!D47+'Land of Lincoln'!D47+Lumbermens!D47+'Memorial Service'!D47+'National Heritage'!D47+NNIC!D47+Reliance!D47+'Standard Life IN'!D47+'Universal Health Care'!D47</f>
        <v>35200733.503233746</v>
      </c>
      <c r="E47" s="30">
        <f>+'Andrew Jackson'!E47+'Colorado Health'!E47+'Compass (dbs Meritus)'!E47+'Consumers Choice'!E47+'Consumers Mutual'!E47+CoOportunity!E47+'Coordinated Hlth'!E47+ELNY!E47+'Farmers &amp; Ranchers'!E47+'First Natl (Thrnr)'!E47+'Freelancers CO-OP'!E47+HealthyCT!E47+'Land of Lincoln'!E47+Lumbermens!E47+'Memorial Service'!E47+'National Heritage'!E47+NNIC!E47+Reliance!E47+'Standard Life IN'!E47+'Universal Health Care'!E47</f>
        <v>0</v>
      </c>
      <c r="F47" s="30">
        <f>+'Andrew Jackson'!F47+'Colorado Health'!F47+'Compass (dbs Meritus)'!F47+'Consumers Choice'!F47+'Consumers Mutual'!F47+CoOportunity!F47+'Coordinated Hlth'!F47+ELNY!F47+'Farmers &amp; Ranchers'!F47+'First Natl (Thrnr)'!F47+'Freelancers CO-OP'!F47+HealthyCT!F47+'Land of Lincoln'!F47+Lumbermens!F47+'Memorial Service'!F47+'National Heritage'!F47+NNIC!F47+Reliance!F47+'Standard Life IN'!F47+'Universal Health Care'!F47</f>
        <v>0</v>
      </c>
      <c r="G47" s="30">
        <f t="shared" si="1"/>
        <v>36408057.217338957</v>
      </c>
      <c r="H47" s="30"/>
      <c r="I47" s="30"/>
      <c r="J47" s="30"/>
    </row>
    <row r="48" spans="1:10">
      <c r="A48" s="1" t="s">
        <v>69</v>
      </c>
      <c r="B48" s="30">
        <f>+'Andrew Jackson'!B48+'Colorado Health'!B48+'Compass (dbs Meritus)'!B48+'Consumers Choice'!B48+'Consumers Mutual'!B48+CoOportunity!B48+'Coordinated Hlth'!B48+ELNY!B48+'Farmers &amp; Ranchers'!B48+'First Natl (Thrnr)'!B48+'Freelancers CO-OP'!B48+HealthyCT!B48+'Land of Lincoln'!B48+Lumbermens!B48+'Memorial Service'!B48+'National Heritage'!B48+NNIC!B48+Reliance!B48+'Standard Life IN'!B48+'Universal Health Care'!B48</f>
        <v>0</v>
      </c>
      <c r="C48" s="30">
        <f>+'Andrew Jackson'!C48+'Colorado Health'!C48+'Compass (dbs Meritus)'!C48+'Consumers Choice'!C48+'Consumers Mutual'!C48+CoOportunity!C48+'Coordinated Hlth'!C48+ELNY!C48+'Farmers &amp; Ranchers'!C48+'First Natl (Thrnr)'!C48+'Freelancers CO-OP'!C48+HealthyCT!C48+'Land of Lincoln'!C48+Lumbermens!C48+'Memorial Service'!C48+'National Heritage'!C48+NNIC!C48+Reliance!C48+'Standard Life IN'!C48+'Universal Health Care'!C48</f>
        <v>881730.26016095001</v>
      </c>
      <c r="D48" s="30">
        <f>+'Andrew Jackson'!D48+'Colorado Health'!D48+'Compass (dbs Meritus)'!D48+'Consumers Choice'!D48+'Consumers Mutual'!D48+CoOportunity!D48+'Coordinated Hlth'!D48+ELNY!D48+'Farmers &amp; Ranchers'!D48+'First Natl (Thrnr)'!D48+'Freelancers CO-OP'!D48+HealthyCT!D48+'Land of Lincoln'!D48+Lumbermens!D48+'Memorial Service'!D48+'National Heritage'!D48+NNIC!D48+Reliance!D48+'Standard Life IN'!D48+'Universal Health Care'!D48</f>
        <v>0.56999999999965212</v>
      </c>
      <c r="E48" s="30">
        <f>+'Andrew Jackson'!E48+'Colorado Health'!E48+'Compass (dbs Meritus)'!E48+'Consumers Choice'!E48+'Consumers Mutual'!E48+CoOportunity!E48+'Coordinated Hlth'!E48+ELNY!E48+'Farmers &amp; Ranchers'!E48+'First Natl (Thrnr)'!E48+'Freelancers CO-OP'!E48+HealthyCT!E48+'Land of Lincoln'!E48+Lumbermens!E48+'Memorial Service'!E48+'National Heritage'!E48+NNIC!E48+Reliance!E48+'Standard Life IN'!E48+'Universal Health Care'!E48</f>
        <v>0</v>
      </c>
      <c r="F48" s="30">
        <f>+'Andrew Jackson'!F48+'Colorado Health'!F48+'Compass (dbs Meritus)'!F48+'Consumers Choice'!F48+'Consumers Mutual'!F48+CoOportunity!F48+'Coordinated Hlth'!F48+ELNY!F48+'Farmers &amp; Ranchers'!F48+'First Natl (Thrnr)'!F48+'Freelancers CO-OP'!F48+HealthyCT!F48+'Land of Lincoln'!F48+Lumbermens!F48+'Memorial Service'!F48+'National Heritage'!F48+NNIC!F48+Reliance!F48+'Standard Life IN'!F48+'Universal Health Care'!F48</f>
        <v>0</v>
      </c>
      <c r="G48" s="30">
        <f t="shared" si="1"/>
        <v>881730.83016094996</v>
      </c>
      <c r="H48" s="30"/>
      <c r="I48" s="30"/>
      <c r="J48" s="30"/>
    </row>
    <row r="49" spans="1:10">
      <c r="A49" s="1" t="s">
        <v>70</v>
      </c>
      <c r="B49" s="30">
        <f>+'Andrew Jackson'!B49+'Colorado Health'!B49+'Compass (dbs Meritus)'!B49+'Consumers Choice'!B49+'Consumers Mutual'!B49+CoOportunity!B49+'Coordinated Hlth'!B49+ELNY!B49+'Farmers &amp; Ranchers'!B49+'First Natl (Thrnr)'!B49+'Freelancers CO-OP'!B49+HealthyCT!B49+'Land of Lincoln'!B49+Lumbermens!B49+'Memorial Service'!B49+'National Heritage'!B49+NNIC!B49+Reliance!B49+'Standard Life IN'!B49+'Universal Health Care'!B49</f>
        <v>3612384.1685686768</v>
      </c>
      <c r="C49" s="30">
        <f>+'Andrew Jackson'!C49+'Colorado Health'!C49+'Compass (dbs Meritus)'!C49+'Consumers Choice'!C49+'Consumers Mutual'!C49+CoOportunity!C49+'Coordinated Hlth'!C49+ELNY!C49+'Farmers &amp; Ranchers'!C49+'First Natl (Thrnr)'!C49+'Freelancers CO-OP'!C49+HealthyCT!C49+'Land of Lincoln'!C49+Lumbermens!C49+'Memorial Service'!C49+'National Heritage'!C49+NNIC!C49+Reliance!C49+'Standard Life IN'!C49+'Universal Health Care'!C49</f>
        <v>10720269.361719375</v>
      </c>
      <c r="D49" s="30">
        <f>+'Andrew Jackson'!D49+'Colorado Health'!D49+'Compass (dbs Meritus)'!D49+'Consumers Choice'!D49+'Consumers Mutual'!D49+CoOportunity!D49+'Coordinated Hlth'!D49+ELNY!D49+'Farmers &amp; Ranchers'!D49+'First Natl (Thrnr)'!D49+'Freelancers CO-OP'!D49+HealthyCT!D49+'Land of Lincoln'!D49+Lumbermens!D49+'Memorial Service'!D49+'National Heritage'!D49+NNIC!D49+Reliance!D49+'Standard Life IN'!D49+'Universal Health Care'!D49</f>
        <v>127419.47540253642</v>
      </c>
      <c r="E49" s="30">
        <f>+'Andrew Jackson'!E49+'Colorado Health'!E49+'Compass (dbs Meritus)'!E49+'Consumers Choice'!E49+'Consumers Mutual'!E49+CoOportunity!E49+'Coordinated Hlth'!E49+ELNY!E49+'Farmers &amp; Ranchers'!E49+'First Natl (Thrnr)'!E49+'Freelancers CO-OP'!E49+HealthyCT!E49+'Land of Lincoln'!E49+Lumbermens!E49+'Memorial Service'!E49+'National Heritage'!E49+NNIC!E49+Reliance!E49+'Standard Life IN'!E49+'Universal Health Care'!E49</f>
        <v>0</v>
      </c>
      <c r="F49" s="30">
        <f>+'Andrew Jackson'!F49+'Colorado Health'!F49+'Compass (dbs Meritus)'!F49+'Consumers Choice'!F49+'Consumers Mutual'!F49+CoOportunity!F49+'Coordinated Hlth'!F49+ELNY!F49+'Farmers &amp; Ranchers'!F49+'First Natl (Thrnr)'!F49+'Freelancers CO-OP'!F49+HealthyCT!F49+'Land of Lincoln'!F49+Lumbermens!F49+'Memorial Service'!F49+'National Heritage'!F49+NNIC!F49+Reliance!F49+'Standard Life IN'!F49+'Universal Health Care'!F49</f>
        <v>0</v>
      </c>
      <c r="G49" s="30">
        <f t="shared" si="1"/>
        <v>14460073.005690588</v>
      </c>
      <c r="H49" s="30"/>
      <c r="I49" s="30"/>
      <c r="J49" s="30"/>
    </row>
    <row r="50" spans="1:10">
      <c r="A50" s="1" t="s">
        <v>71</v>
      </c>
      <c r="B50" s="30">
        <f>+'Andrew Jackson'!B50+'Colorado Health'!B50+'Compass (dbs Meritus)'!B50+'Consumers Choice'!B50+'Consumers Mutual'!B50+CoOportunity!B50+'Coordinated Hlth'!B50+ELNY!B50+'Farmers &amp; Ranchers'!B50+'First Natl (Thrnr)'!B50+'Freelancers CO-OP'!B50+HealthyCT!B50+'Land of Lincoln'!B50+Lumbermens!B50+'Memorial Service'!B50+'National Heritage'!B50+NNIC!B50+Reliance!B50+'Standard Life IN'!B50+'Universal Health Care'!B50</f>
        <v>69059576.335544959</v>
      </c>
      <c r="C50" s="30">
        <f>+'Andrew Jackson'!C50+'Colorado Health'!C50+'Compass (dbs Meritus)'!C50+'Consumers Choice'!C50+'Consumers Mutual'!C50+CoOportunity!C50+'Coordinated Hlth'!C50+ELNY!C50+'Farmers &amp; Ranchers'!C50+'First Natl (Thrnr)'!C50+'Freelancers CO-OP'!C50+HealthyCT!C50+'Land of Lincoln'!C50+Lumbermens!C50+'Memorial Service'!C50+'National Heritage'!C50+NNIC!C50+Reliance!C50+'Standard Life IN'!C50+'Universal Health Care'!C50</f>
        <v>25872729.834275715</v>
      </c>
      <c r="D50" s="30">
        <f>+'Andrew Jackson'!D50+'Colorado Health'!D50+'Compass (dbs Meritus)'!D50+'Consumers Choice'!D50+'Consumers Mutual'!D50+CoOportunity!D50+'Coordinated Hlth'!D50+ELNY!D50+'Farmers &amp; Ranchers'!D50+'First Natl (Thrnr)'!D50+'Freelancers CO-OP'!D50+HealthyCT!D50+'Land of Lincoln'!D50+Lumbermens!D50+'Memorial Service'!D50+'National Heritage'!D50+NNIC!D50+Reliance!D50+'Standard Life IN'!D50+'Universal Health Care'!D50</f>
        <v>1037404.3822014977</v>
      </c>
      <c r="E50" s="30">
        <f>+'Andrew Jackson'!E50+'Colorado Health'!E50+'Compass (dbs Meritus)'!E50+'Consumers Choice'!E50+'Consumers Mutual'!E50+CoOportunity!E50+'Coordinated Hlth'!E50+ELNY!E50+'Farmers &amp; Ranchers'!E50+'First Natl (Thrnr)'!E50+'Freelancers CO-OP'!E50+HealthyCT!E50+'Land of Lincoln'!E50+Lumbermens!E50+'Memorial Service'!E50+'National Heritage'!E50+NNIC!E50+Reliance!E50+'Standard Life IN'!E50+'Universal Health Care'!E50</f>
        <v>0</v>
      </c>
      <c r="F50" s="30">
        <f>+'Andrew Jackson'!F50+'Colorado Health'!F50+'Compass (dbs Meritus)'!F50+'Consumers Choice'!F50+'Consumers Mutual'!F50+CoOportunity!F50+'Coordinated Hlth'!F50+ELNY!F50+'Farmers &amp; Ranchers'!F50+'First Natl (Thrnr)'!F50+'Freelancers CO-OP'!F50+HealthyCT!F50+'Land of Lincoln'!F50+Lumbermens!F50+'Memorial Service'!F50+'National Heritage'!F50+NNIC!F50+Reliance!F50+'Standard Life IN'!F50+'Universal Health Care'!F50</f>
        <v>0</v>
      </c>
      <c r="G50" s="30">
        <f t="shared" si="1"/>
        <v>95969710.552022159</v>
      </c>
      <c r="H50" s="30"/>
      <c r="I50" s="30"/>
      <c r="J50" s="30"/>
    </row>
    <row r="51" spans="1:10">
      <c r="A51" s="1" t="s">
        <v>72</v>
      </c>
      <c r="B51" s="30">
        <f>+'Andrew Jackson'!B51+'Colorado Health'!B51+'Compass (dbs Meritus)'!B51+'Consumers Choice'!B51+'Consumers Mutual'!B51+CoOportunity!B51+'Coordinated Hlth'!B51+ELNY!B51+'Farmers &amp; Ranchers'!B51+'First Natl (Thrnr)'!B51+'Freelancers CO-OP'!B51+HealthyCT!B51+'Land of Lincoln'!B51+Lumbermens!B51+'Memorial Service'!B51+'National Heritage'!B51+NNIC!B51+Reliance!B51+'Standard Life IN'!B51+'Universal Health Care'!B51</f>
        <v>1846.5229149733314</v>
      </c>
      <c r="C51" s="30">
        <f>+'Andrew Jackson'!C51+'Colorado Health'!C51+'Compass (dbs Meritus)'!C51+'Consumers Choice'!C51+'Consumers Mutual'!C51+CoOportunity!C51+'Coordinated Hlth'!C51+ELNY!C51+'Farmers &amp; Ranchers'!C51+'First Natl (Thrnr)'!C51+'Freelancers CO-OP'!C51+HealthyCT!C51+'Land of Lincoln'!C51+Lumbermens!C51+'Memorial Service'!C51+'National Heritage'!C51+NNIC!C51+Reliance!C51+'Standard Life IN'!C51+'Universal Health Care'!C51</f>
        <v>730566.09101034224</v>
      </c>
      <c r="D51" s="30">
        <f>+'Andrew Jackson'!D51+'Colorado Health'!D51+'Compass (dbs Meritus)'!D51+'Consumers Choice'!D51+'Consumers Mutual'!D51+CoOportunity!D51+'Coordinated Hlth'!D51+ELNY!D51+'Farmers &amp; Ranchers'!D51+'First Natl (Thrnr)'!D51+'Freelancers CO-OP'!D51+HealthyCT!D51+'Land of Lincoln'!D51+Lumbermens!D51+'Memorial Service'!D51+'National Heritage'!D51+NNIC!D51+Reliance!D51+'Standard Life IN'!D51+'Universal Health Care'!D51</f>
        <v>70139.820991498229</v>
      </c>
      <c r="E51" s="30">
        <f>+'Andrew Jackson'!E51+'Colorado Health'!E51+'Compass (dbs Meritus)'!E51+'Consumers Choice'!E51+'Consumers Mutual'!E51+CoOportunity!E51+'Coordinated Hlth'!E51+ELNY!E51+'Farmers &amp; Ranchers'!E51+'First Natl (Thrnr)'!E51+'Freelancers CO-OP'!E51+HealthyCT!E51+'Land of Lincoln'!E51+Lumbermens!E51+'Memorial Service'!E51+'National Heritage'!E51+NNIC!E51+Reliance!E51+'Standard Life IN'!E51+'Universal Health Care'!E51</f>
        <v>0</v>
      </c>
      <c r="F51" s="30">
        <f>+'Andrew Jackson'!F51+'Colorado Health'!F51+'Compass (dbs Meritus)'!F51+'Consumers Choice'!F51+'Consumers Mutual'!F51+CoOportunity!F51+'Coordinated Hlth'!F51+ELNY!F51+'Farmers &amp; Ranchers'!F51+'First Natl (Thrnr)'!F51+'Freelancers CO-OP'!F51+HealthyCT!F51+'Land of Lincoln'!F51+Lumbermens!F51+'Memorial Service'!F51+'National Heritage'!F51+NNIC!F51+Reliance!F51+'Standard Life IN'!F51+'Universal Health Care'!F51</f>
        <v>0</v>
      </c>
      <c r="G51" s="30">
        <f t="shared" si="1"/>
        <v>802552.43491681374</v>
      </c>
      <c r="H51" s="30"/>
      <c r="I51" s="30"/>
      <c r="J51" s="30"/>
    </row>
    <row r="52" spans="1:10">
      <c r="A52" s="1" t="s">
        <v>73</v>
      </c>
      <c r="B52" s="30">
        <f>+'Andrew Jackson'!B52+'Colorado Health'!B52+'Compass (dbs Meritus)'!B52+'Consumers Choice'!B52+'Consumers Mutual'!B52+CoOportunity!B52+'Coordinated Hlth'!B52+ELNY!B52+'Farmers &amp; Ranchers'!B52+'First Natl (Thrnr)'!B52+'Freelancers CO-OP'!B52+HealthyCT!B52+'Land of Lincoln'!B52+Lumbermens!B52+'Memorial Service'!B52+'National Heritage'!B52+NNIC!B52+Reliance!B52+'Standard Life IN'!B52+'Universal Health Care'!B52</f>
        <v>0</v>
      </c>
      <c r="C52" s="30">
        <f>+'Andrew Jackson'!C52+'Colorado Health'!C52+'Compass (dbs Meritus)'!C52+'Consumers Choice'!C52+'Consumers Mutual'!C52+CoOportunity!C52+'Coordinated Hlth'!C52+ELNY!C52+'Farmers &amp; Ranchers'!C52+'First Natl (Thrnr)'!C52+'Freelancers CO-OP'!C52+HealthyCT!C52+'Land of Lincoln'!C52+Lumbermens!C52+'Memorial Service'!C52+'National Heritage'!C52+NNIC!C52+Reliance!C52+'Standard Life IN'!C52+'Universal Health Care'!C52</f>
        <v>961098.90011794667</v>
      </c>
      <c r="D52" s="30">
        <f>+'Andrew Jackson'!D52+'Colorado Health'!D52+'Compass (dbs Meritus)'!D52+'Consumers Choice'!D52+'Consumers Mutual'!D52+CoOportunity!D52+'Coordinated Hlth'!D52+ELNY!D52+'Farmers &amp; Ranchers'!D52+'First Natl (Thrnr)'!D52+'Freelancers CO-OP'!D52+HealthyCT!D52+'Land of Lincoln'!D52+Lumbermens!D52+'Memorial Service'!D52+'National Heritage'!D52+NNIC!D52+Reliance!D52+'Standard Life IN'!D52+'Universal Health Care'!D52</f>
        <v>-1219.8802518382431</v>
      </c>
      <c r="E52" s="30">
        <f>+'Andrew Jackson'!E52+'Colorado Health'!E52+'Compass (dbs Meritus)'!E52+'Consumers Choice'!E52+'Consumers Mutual'!E52+CoOportunity!E52+'Coordinated Hlth'!E52+ELNY!E52+'Farmers &amp; Ranchers'!E52+'First Natl (Thrnr)'!E52+'Freelancers CO-OP'!E52+HealthyCT!E52+'Land of Lincoln'!E52+Lumbermens!E52+'Memorial Service'!E52+'National Heritage'!E52+NNIC!E52+Reliance!E52+'Standard Life IN'!E52+'Universal Health Care'!E52</f>
        <v>0</v>
      </c>
      <c r="F52" s="30">
        <f>+'Andrew Jackson'!F52+'Colorado Health'!F52+'Compass (dbs Meritus)'!F52+'Consumers Choice'!F52+'Consumers Mutual'!F52+CoOportunity!F52+'Coordinated Hlth'!F52+ELNY!F52+'Farmers &amp; Ranchers'!F52+'First Natl (Thrnr)'!F52+'Freelancers CO-OP'!F52+HealthyCT!F52+'Land of Lincoln'!F52+Lumbermens!F52+'Memorial Service'!F52+'National Heritage'!F52+NNIC!F52+Reliance!F52+'Standard Life IN'!F52+'Universal Health Care'!F52</f>
        <v>0</v>
      </c>
      <c r="G52" s="30">
        <f t="shared" si="1"/>
        <v>959879.01986610843</v>
      </c>
      <c r="H52" s="30"/>
      <c r="I52" s="30"/>
      <c r="J52" s="30"/>
    </row>
    <row r="53" spans="1:10">
      <c r="A53" s="1" t="s">
        <v>74</v>
      </c>
      <c r="B53" s="30">
        <f>+'Andrew Jackson'!B53+'Colorado Health'!B53+'Compass (dbs Meritus)'!B53+'Consumers Choice'!B53+'Consumers Mutual'!B53+CoOportunity!B53+'Coordinated Hlth'!B53+ELNY!B53+'Farmers &amp; Ranchers'!B53+'First Natl (Thrnr)'!B53+'Freelancers CO-OP'!B53+HealthyCT!B53+'Land of Lincoln'!B53+Lumbermens!B53+'Memorial Service'!B53+'National Heritage'!B53+NNIC!B53+Reliance!B53+'Standard Life IN'!B53+'Universal Health Care'!B53</f>
        <v>28083.547269983741</v>
      </c>
      <c r="C53" s="30">
        <f>+'Andrew Jackson'!C53+'Colorado Health'!C53+'Compass (dbs Meritus)'!C53+'Consumers Choice'!C53+'Consumers Mutual'!C53+CoOportunity!C53+'Coordinated Hlth'!C53+ELNY!C53+'Farmers &amp; Ranchers'!C53+'First Natl (Thrnr)'!C53+'Freelancers CO-OP'!C53+HealthyCT!C53+'Land of Lincoln'!C53+Lumbermens!C53+'Memorial Service'!C53+'National Heritage'!C53+NNIC!C53+Reliance!C53+'Standard Life IN'!C53+'Universal Health Care'!C53</f>
        <v>2949109.2226732764</v>
      </c>
      <c r="D53" s="30">
        <f>+'Andrew Jackson'!D53+'Colorado Health'!D53+'Compass (dbs Meritus)'!D53+'Consumers Choice'!D53+'Consumers Mutual'!D53+CoOportunity!D53+'Coordinated Hlth'!D53+ELNY!D53+'Farmers &amp; Ranchers'!D53+'First Natl (Thrnr)'!D53+'Freelancers CO-OP'!D53+HealthyCT!D53+'Land of Lincoln'!D53+Lumbermens!D53+'Memorial Service'!D53+'National Heritage'!D53+NNIC!D53+Reliance!D53+'Standard Life IN'!D53+'Universal Health Care'!D53</f>
        <v>242037.79104632331</v>
      </c>
      <c r="E53" s="30">
        <f>+'Andrew Jackson'!E53+'Colorado Health'!E53+'Compass (dbs Meritus)'!E53+'Consumers Choice'!E53+'Consumers Mutual'!E53+CoOportunity!E53+'Coordinated Hlth'!E53+ELNY!E53+'Farmers &amp; Ranchers'!E53+'First Natl (Thrnr)'!E53+'Freelancers CO-OP'!E53+HealthyCT!E53+'Land of Lincoln'!E53+Lumbermens!E53+'Memorial Service'!E53+'National Heritage'!E53+NNIC!E53+Reliance!E53+'Standard Life IN'!E53+'Universal Health Care'!E53</f>
        <v>0</v>
      </c>
      <c r="F53" s="30">
        <f>+'Andrew Jackson'!F53+'Colorado Health'!F53+'Compass (dbs Meritus)'!F53+'Consumers Choice'!F53+'Consumers Mutual'!F53+CoOportunity!F53+'Coordinated Hlth'!F53+ELNY!F53+'Farmers &amp; Ranchers'!F53+'First Natl (Thrnr)'!F53+'Freelancers CO-OP'!F53+HealthyCT!F53+'Land of Lincoln'!F53+Lumbermens!F53+'Memorial Service'!F53+'National Heritage'!F53+NNIC!F53+Reliance!F53+'Standard Life IN'!F53+'Universal Health Care'!F53</f>
        <v>0</v>
      </c>
      <c r="G53" s="30">
        <f t="shared" si="1"/>
        <v>3219230.5609895834</v>
      </c>
      <c r="H53" s="30"/>
      <c r="I53" s="30"/>
      <c r="J53" s="30"/>
    </row>
    <row r="54" spans="1:10">
      <c r="A54" s="1" t="s">
        <v>75</v>
      </c>
      <c r="B54" s="30">
        <f>+'Andrew Jackson'!B54+'Colorado Health'!B54+'Compass (dbs Meritus)'!B54+'Consumers Choice'!B54+'Consumers Mutual'!B54+CoOportunity!B54+'Coordinated Hlth'!B54+ELNY!B54+'Farmers &amp; Ranchers'!B54+'First Natl (Thrnr)'!B54+'Freelancers CO-OP'!B54+HealthyCT!B54+'Land of Lincoln'!B54+Lumbermens!B54+'Memorial Service'!B54+'National Heritage'!B54+NNIC!B54+Reliance!B54+'Standard Life IN'!B54+'Universal Health Care'!B54</f>
        <v>4397.6050432067132</v>
      </c>
      <c r="C54" s="30">
        <f>+'Andrew Jackson'!C54+'Colorado Health'!C54+'Compass (dbs Meritus)'!C54+'Consumers Choice'!C54+'Consumers Mutual'!C54+CoOportunity!C54+'Coordinated Hlth'!C54+ELNY!C54+'Farmers &amp; Ranchers'!C54+'First Natl (Thrnr)'!C54+'Freelancers CO-OP'!C54+HealthyCT!C54+'Land of Lincoln'!C54+Lumbermens!C54+'Memorial Service'!C54+'National Heritage'!C54+NNIC!C54+Reliance!C54+'Standard Life IN'!C54+'Universal Health Care'!C54</f>
        <v>5387402.2101272726</v>
      </c>
      <c r="D54" s="30">
        <f>+'Andrew Jackson'!D54+'Colorado Health'!D54+'Compass (dbs Meritus)'!D54+'Consumers Choice'!D54+'Consumers Mutual'!D54+CoOportunity!D54+'Coordinated Hlth'!D54+ELNY!D54+'Farmers &amp; Ranchers'!D54+'First Natl (Thrnr)'!D54+'Freelancers CO-OP'!D54+HealthyCT!D54+'Land of Lincoln'!D54+Lumbermens!D54+'Memorial Service'!D54+'National Heritage'!D54+NNIC!D54+Reliance!D54+'Standard Life IN'!D54+'Universal Health Care'!D54</f>
        <v>450517.01348379784</v>
      </c>
      <c r="E54" s="30">
        <f>+'Andrew Jackson'!E54+'Colorado Health'!E54+'Compass (dbs Meritus)'!E54+'Consumers Choice'!E54+'Consumers Mutual'!E54+CoOportunity!E54+'Coordinated Hlth'!E54+ELNY!E54+'Farmers &amp; Ranchers'!E54+'First Natl (Thrnr)'!E54+'Freelancers CO-OP'!E54+HealthyCT!E54+'Land of Lincoln'!E54+Lumbermens!E54+'Memorial Service'!E54+'National Heritage'!E54+NNIC!E54+Reliance!E54+'Standard Life IN'!E54+'Universal Health Care'!E54</f>
        <v>0</v>
      </c>
      <c r="F54" s="30">
        <f>+'Andrew Jackson'!F54+'Colorado Health'!F54+'Compass (dbs Meritus)'!F54+'Consumers Choice'!F54+'Consumers Mutual'!F54+CoOportunity!F54+'Coordinated Hlth'!F54+ELNY!F54+'Farmers &amp; Ranchers'!F54+'First Natl (Thrnr)'!F54+'Freelancers CO-OP'!F54+HealthyCT!F54+'Land of Lincoln'!F54+Lumbermens!F54+'Memorial Service'!F54+'National Heritage'!F54+NNIC!F54+Reliance!F54+'Standard Life IN'!F54+'Universal Health Care'!F54</f>
        <v>0</v>
      </c>
      <c r="G54" s="30">
        <f t="shared" si="1"/>
        <v>5842316.8286542771</v>
      </c>
      <c r="H54" s="30"/>
      <c r="I54" s="30"/>
      <c r="J54" s="30"/>
    </row>
    <row r="55" spans="1:10">
      <c r="A55" s="1" t="s">
        <v>76</v>
      </c>
      <c r="B55" s="30">
        <f>+'Andrew Jackson'!B55+'Colorado Health'!B55+'Compass (dbs Meritus)'!B55+'Consumers Choice'!B55+'Consumers Mutual'!B55+CoOportunity!B55+'Coordinated Hlth'!B55+ELNY!B55+'Farmers &amp; Ranchers'!B55+'First Natl (Thrnr)'!B55+'Freelancers CO-OP'!B55+HealthyCT!B55+'Land of Lincoln'!B55+Lumbermens!B55+'Memorial Service'!B55+'National Heritage'!B55+NNIC!B55+Reliance!B55+'Standard Life IN'!B55+'Universal Health Care'!B55</f>
        <v>72382.198641072318</v>
      </c>
      <c r="C55" s="30">
        <f>+'Andrew Jackson'!C55+'Colorado Health'!C55+'Compass (dbs Meritus)'!C55+'Consumers Choice'!C55+'Consumers Mutual'!C55+CoOportunity!C55+'Coordinated Hlth'!C55+ELNY!C55+'Farmers &amp; Ranchers'!C55+'First Natl (Thrnr)'!C55+'Freelancers CO-OP'!C55+HealthyCT!C55+'Land of Lincoln'!C55+Lumbermens!C55+'Memorial Service'!C55+'National Heritage'!C55+NNIC!C55+Reliance!C55+'Standard Life IN'!C55+'Universal Health Care'!C55</f>
        <v>3607354.469064848</v>
      </c>
      <c r="D55" s="30">
        <f>+'Andrew Jackson'!D55+'Colorado Health'!D55+'Compass (dbs Meritus)'!D55+'Consumers Choice'!D55+'Consumers Mutual'!D55+CoOportunity!D55+'Coordinated Hlth'!D55+ELNY!D55+'Farmers &amp; Ranchers'!D55+'First Natl (Thrnr)'!D55+'Freelancers CO-OP'!D55+HealthyCT!D55+'Land of Lincoln'!D55+Lumbermens!D55+'Memorial Service'!D55+'National Heritage'!D55+NNIC!D55+Reliance!D55+'Standard Life IN'!D55+'Universal Health Care'!D55</f>
        <v>61318.924417099843</v>
      </c>
      <c r="E55" s="30">
        <f>+'Andrew Jackson'!E55+'Colorado Health'!E55+'Compass (dbs Meritus)'!E55+'Consumers Choice'!E55+'Consumers Mutual'!E55+CoOportunity!E55+'Coordinated Hlth'!E55+ELNY!E55+'Farmers &amp; Ranchers'!E55+'First Natl (Thrnr)'!E55+'Freelancers CO-OP'!E55+HealthyCT!E55+'Land of Lincoln'!E55+Lumbermens!E55+'Memorial Service'!E55+'National Heritage'!E55+NNIC!E55+Reliance!E55+'Standard Life IN'!E55+'Universal Health Care'!E55</f>
        <v>0</v>
      </c>
      <c r="F55" s="30">
        <f>+'Andrew Jackson'!F55+'Colorado Health'!F55+'Compass (dbs Meritus)'!F55+'Consumers Choice'!F55+'Consumers Mutual'!F55+CoOportunity!F55+'Coordinated Hlth'!F55+ELNY!F55+'Farmers &amp; Ranchers'!F55+'First Natl (Thrnr)'!F55+'Freelancers CO-OP'!F55+HealthyCT!F55+'Land of Lincoln'!F55+Lumbermens!F55+'Memorial Service'!F55+'National Heritage'!F55+NNIC!F55+Reliance!F55+'Standard Life IN'!F55+'Universal Health Care'!F55</f>
        <v>0</v>
      </c>
      <c r="G55" s="30">
        <f t="shared" si="1"/>
        <v>3741055.5921230204</v>
      </c>
      <c r="H55" s="30"/>
      <c r="I55" s="30"/>
      <c r="J55" s="30"/>
    </row>
    <row r="56" spans="1:10">
      <c r="A56" s="1" t="s">
        <v>77</v>
      </c>
      <c r="B56" s="30">
        <f>+'Andrew Jackson'!B56+'Colorado Health'!B56+'Compass (dbs Meritus)'!B56+'Consumers Choice'!B56+'Consumers Mutual'!B56+CoOportunity!B56+'Coordinated Hlth'!B56+ELNY!B56+'Farmers &amp; Ranchers'!B56+'First Natl (Thrnr)'!B56+'Freelancers CO-OP'!B56+HealthyCT!B56+'Land of Lincoln'!B56+Lumbermens!B56+'Memorial Service'!B56+'National Heritage'!B56+NNIC!B56+Reliance!B56+'Standard Life IN'!B56+'Universal Health Care'!B56</f>
        <v>0</v>
      </c>
      <c r="C56" s="30">
        <f>+'Andrew Jackson'!C56+'Colorado Health'!C56+'Compass (dbs Meritus)'!C56+'Consumers Choice'!C56+'Consumers Mutual'!C56+CoOportunity!C56+'Coordinated Hlth'!C56+ELNY!C56+'Farmers &amp; Ranchers'!C56+'First Natl (Thrnr)'!C56+'Freelancers CO-OP'!C56+HealthyCT!C56+'Land of Lincoln'!C56+Lumbermens!C56+'Memorial Service'!C56+'National Heritage'!C56+NNIC!C56+Reliance!C56+'Standard Life IN'!C56+'Universal Health Care'!C56</f>
        <v>196610.04979960812</v>
      </c>
      <c r="D56" s="30">
        <f>+'Andrew Jackson'!D56+'Colorado Health'!D56+'Compass (dbs Meritus)'!D56+'Consumers Choice'!D56+'Consumers Mutual'!D56+CoOportunity!D56+'Coordinated Hlth'!D56+ELNY!D56+'Farmers &amp; Ranchers'!D56+'First Natl (Thrnr)'!D56+'Freelancers CO-OP'!D56+HealthyCT!D56+'Land of Lincoln'!D56+Lumbermens!D56+'Memorial Service'!D56+'National Heritage'!D56+NNIC!D56+Reliance!D56+'Standard Life IN'!D56+'Universal Health Care'!D56</f>
        <v>13117.529999999999</v>
      </c>
      <c r="E56" s="30">
        <f>+'Andrew Jackson'!E56+'Colorado Health'!E56+'Compass (dbs Meritus)'!E56+'Consumers Choice'!E56+'Consumers Mutual'!E56+CoOportunity!E56+'Coordinated Hlth'!E56+ELNY!E56+'Farmers &amp; Ranchers'!E56+'First Natl (Thrnr)'!E56+'Freelancers CO-OP'!E56+HealthyCT!E56+'Land of Lincoln'!E56+Lumbermens!E56+'Memorial Service'!E56+'National Heritage'!E56+NNIC!E56+Reliance!E56+'Standard Life IN'!E56+'Universal Health Care'!E56</f>
        <v>0</v>
      </c>
      <c r="F56" s="30">
        <f>+'Andrew Jackson'!F56+'Colorado Health'!F56+'Compass (dbs Meritus)'!F56+'Consumers Choice'!F56+'Consumers Mutual'!F56+CoOportunity!F56+'Coordinated Hlth'!F56+ELNY!F56+'Farmers &amp; Ranchers'!F56+'First Natl (Thrnr)'!F56+'Freelancers CO-OP'!F56+HealthyCT!F56+'Land of Lincoln'!F56+Lumbermens!F56+'Memorial Service'!F56+'National Heritage'!F56+NNIC!F56+Reliance!F56+'Standard Life IN'!F56+'Universal Health Care'!F56</f>
        <v>0</v>
      </c>
      <c r="G56" s="30">
        <f t="shared" si="1"/>
        <v>209727.57979960812</v>
      </c>
      <c r="H56" s="30"/>
      <c r="I56" s="30"/>
      <c r="J56" s="30"/>
    </row>
    <row r="57" spans="1:10">
      <c r="A57" s="1" t="s">
        <v>78</v>
      </c>
      <c r="B57" s="30">
        <f>+'Andrew Jackson'!B57+'Colorado Health'!B57+'Compass (dbs Meritus)'!B57+'Consumers Choice'!B57+'Consumers Mutual'!B57+CoOportunity!B57+'Coordinated Hlth'!B57+ELNY!B57+'Farmers &amp; Ranchers'!B57+'First Natl (Thrnr)'!B57+'Freelancers CO-OP'!B57+HealthyCT!B57+'Land of Lincoln'!B57+Lumbermens!B57+'Memorial Service'!B57+'National Heritage'!B57+NNIC!B57+Reliance!B57+'Standard Life IN'!B57+'Universal Health Care'!B57</f>
        <v>0</v>
      </c>
      <c r="C57" s="30">
        <f>+'Andrew Jackson'!C57+'Colorado Health'!C57+'Compass (dbs Meritus)'!C57+'Consumers Choice'!C57+'Consumers Mutual'!C57+CoOportunity!C57+'Coordinated Hlth'!C57+ELNY!C57+'Farmers &amp; Ranchers'!C57+'First Natl (Thrnr)'!C57+'Freelancers CO-OP'!C57+HealthyCT!C57+'Land of Lincoln'!C57+Lumbermens!C57+'Memorial Service'!C57+'National Heritage'!C57+NNIC!C57+Reliance!C57+'Standard Life IN'!C57+'Universal Health Care'!C57</f>
        <v>392003.81968407828</v>
      </c>
      <c r="D57" s="30">
        <f>+'Andrew Jackson'!D57+'Colorado Health'!D57+'Compass (dbs Meritus)'!D57+'Consumers Choice'!D57+'Consumers Mutual'!D57+CoOportunity!D57+'Coordinated Hlth'!D57+ELNY!D57+'Farmers &amp; Ranchers'!D57+'First Natl (Thrnr)'!D57+'Freelancers CO-OP'!D57+HealthyCT!D57+'Land of Lincoln'!D57+Lumbermens!D57+'Memorial Service'!D57+'National Heritage'!D57+NNIC!D57+Reliance!D57+'Standard Life IN'!D57+'Universal Health Care'!D57</f>
        <v>113364.00223767656</v>
      </c>
      <c r="E57" s="30">
        <f>+'Andrew Jackson'!E57+'Colorado Health'!E57+'Compass (dbs Meritus)'!E57+'Consumers Choice'!E57+'Consumers Mutual'!E57+CoOportunity!E57+'Coordinated Hlth'!E57+ELNY!E57+'Farmers &amp; Ranchers'!E57+'First Natl (Thrnr)'!E57+'Freelancers CO-OP'!E57+HealthyCT!E57+'Land of Lincoln'!E57+Lumbermens!E57+'Memorial Service'!E57+'National Heritage'!E57+NNIC!E57+Reliance!E57+'Standard Life IN'!E57+'Universal Health Care'!E57</f>
        <v>0</v>
      </c>
      <c r="F57" s="30">
        <f>+'Andrew Jackson'!F57+'Colorado Health'!F57+'Compass (dbs Meritus)'!F57+'Consumers Choice'!F57+'Consumers Mutual'!F57+CoOportunity!F57+'Coordinated Hlth'!F57+ELNY!F57+'Farmers &amp; Ranchers'!F57+'First Natl (Thrnr)'!F57+'Freelancers CO-OP'!F57+HealthyCT!F57+'Land of Lincoln'!F57+Lumbermens!F57+'Memorial Service'!F57+'National Heritage'!F57+NNIC!F57+Reliance!F57+'Standard Life IN'!F57+'Universal Health Care'!F57</f>
        <v>0</v>
      </c>
      <c r="G57" s="30">
        <f t="shared" si="1"/>
        <v>505367.82192175486</v>
      </c>
      <c r="H57" s="30"/>
      <c r="I57" s="30"/>
      <c r="J57" s="30"/>
    </row>
    <row r="58" spans="1:10">
      <c r="A58" s="1" t="s">
        <v>79</v>
      </c>
      <c r="B58" s="30">
        <f>+'Andrew Jackson'!B58+'Colorado Health'!B58+'Compass (dbs Meritus)'!B58+'Consumers Choice'!B58+'Consumers Mutual'!B58+CoOportunity!B58+'Coordinated Hlth'!B58+ELNY!B58+'Farmers &amp; Ranchers'!B58+'First Natl (Thrnr)'!B58+'Freelancers CO-OP'!B58+HealthyCT!B58+'Land of Lincoln'!B58+Lumbermens!B58+'Memorial Service'!B58+'National Heritage'!B58+NNIC!B58+Reliance!B58+'Standard Life IN'!B58+'Universal Health Care'!B58</f>
        <v>0</v>
      </c>
      <c r="C58" s="30">
        <f>+'Andrew Jackson'!C58+'Colorado Health'!C58+'Compass (dbs Meritus)'!C58+'Consumers Choice'!C58+'Consumers Mutual'!C58+CoOportunity!C58+'Coordinated Hlth'!C58+ELNY!C58+'Farmers &amp; Ranchers'!C58+'First Natl (Thrnr)'!C58+'Freelancers CO-OP'!C58+HealthyCT!C58+'Land of Lincoln'!C58+Lumbermens!C58+'Memorial Service'!C58+'National Heritage'!C58+NNIC!C58+Reliance!C58+'Standard Life IN'!C58+'Universal Health Care'!C58</f>
        <v>0</v>
      </c>
      <c r="D58" s="30">
        <f>+'Andrew Jackson'!D58+'Colorado Health'!D58+'Compass (dbs Meritus)'!D58+'Consumers Choice'!D58+'Consumers Mutual'!D58+CoOportunity!D58+'Coordinated Hlth'!D58+ELNY!D58+'Farmers &amp; Ranchers'!D58+'First Natl (Thrnr)'!D58+'Freelancers CO-OP'!D58+HealthyCT!D58+'Land of Lincoln'!D58+Lumbermens!D58+'Memorial Service'!D58+'National Heritage'!D58+NNIC!D58+Reliance!D58+'Standard Life IN'!D58+'Universal Health Care'!D58</f>
        <v>0</v>
      </c>
      <c r="E58" s="30">
        <f>+'Andrew Jackson'!E58+'Colorado Health'!E58+'Compass (dbs Meritus)'!E58+'Consumers Choice'!E58+'Consumers Mutual'!E58+CoOportunity!E58+'Coordinated Hlth'!E58+ELNY!E58+'Farmers &amp; Ranchers'!E58+'First Natl (Thrnr)'!E58+'Freelancers CO-OP'!E58+HealthyCT!E58+'Land of Lincoln'!E58+Lumbermens!E58+'Memorial Service'!E58+'National Heritage'!E58+NNIC!E58+Reliance!E58+'Standard Life IN'!E58+'Universal Health Care'!E58</f>
        <v>0</v>
      </c>
      <c r="F58" s="30">
        <f>+'Andrew Jackson'!F58+'Colorado Health'!F58+'Compass (dbs Meritus)'!F58+'Consumers Choice'!F58+'Consumers Mutual'!F58+CoOportunity!F58+'Coordinated Hlth'!F58+ELNY!F58+'Farmers &amp; Ranchers'!F58+'First Natl (Thrnr)'!F58+'Freelancers CO-OP'!F58+HealthyCT!F58+'Land of Lincoln'!F58+Lumbermens!F58+'Memorial Service'!F58+'National Heritage'!F58+NNIC!F58+Reliance!F58+'Standard Life IN'!F58+'Universal Health Care'!F58</f>
        <v>0</v>
      </c>
      <c r="G58" s="30">
        <f t="shared" si="1"/>
        <v>0</v>
      </c>
      <c r="H58" s="30"/>
      <c r="I58" s="30"/>
      <c r="J58" s="30"/>
    </row>
    <row r="59" spans="1:10">
      <c r="B59" s="30"/>
      <c r="C59" s="30"/>
      <c r="D59" s="30"/>
      <c r="E59" s="30"/>
      <c r="F59" s="30"/>
      <c r="G59" s="30"/>
      <c r="H59" s="30"/>
      <c r="I59" s="30"/>
      <c r="J59" s="30"/>
    </row>
    <row r="60" spans="1:10">
      <c r="B60" s="30"/>
      <c r="C60" s="30"/>
      <c r="D60" s="30"/>
      <c r="E60" s="30"/>
      <c r="F60" s="30"/>
      <c r="G60" s="30"/>
      <c r="H60" s="30"/>
      <c r="I60" s="30"/>
      <c r="J60" s="30"/>
    </row>
    <row r="61" spans="1:10">
      <c r="A61" s="1" t="s">
        <v>8</v>
      </c>
      <c r="B61" s="30">
        <f>SUM(LIFE)</f>
        <v>98300049.48441413</v>
      </c>
      <c r="C61" s="30">
        <f>SUM(ALLOCATED)</f>
        <v>964828967.13654315</v>
      </c>
      <c r="D61" s="30">
        <f>SUM(HEALTH)</f>
        <v>220490566.40290111</v>
      </c>
      <c r="E61" s="30">
        <f>SUM(UNALLOCATED)</f>
        <v>0</v>
      </c>
      <c r="F61" s="30">
        <f>SUM(LTC)</f>
        <v>0</v>
      </c>
      <c r="G61" s="30">
        <f>SUM(TOTAL)</f>
        <v>1283619583.0238585</v>
      </c>
      <c r="H61" s="30"/>
      <c r="I61" s="30"/>
      <c r="J61" s="30"/>
    </row>
  </sheetData>
  <mergeCells count="1">
    <mergeCell ref="A1:G1"/>
  </mergeCells>
  <pageMargins left="0.25" right="0.25" top="0.5" bottom="0.5" header="0.3" footer="0.3"/>
  <pageSetup paperSize="5" scale="59"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pageSetUpPr fitToPage="1"/>
  </sheetPr>
  <dimension ref="A1:J65"/>
  <sheetViews>
    <sheetView zoomScale="75" workbookViewId="0">
      <selection activeCell="J31" sqref="J31"/>
    </sheetView>
  </sheetViews>
  <sheetFormatPr defaultRowHeight="15"/>
  <cols>
    <col min="1" max="1" width="20" style="1" customWidth="1"/>
    <col min="2" max="7" width="15" style="1" customWidth="1"/>
    <col min="8" max="8" width="9.140625" style="1" customWidth="1"/>
    <col min="9" max="9" width="41.7109375" style="1" customWidth="1"/>
    <col min="10" max="10" width="15" style="1" customWidth="1"/>
    <col min="11" max="11" width="9.140625" style="1" customWidth="1"/>
    <col min="12" max="16384" width="9.140625" style="1"/>
  </cols>
  <sheetData>
    <row r="1" spans="1:10">
      <c r="A1" s="144" t="s">
        <v>620</v>
      </c>
      <c r="B1" s="144"/>
      <c r="C1" s="144"/>
      <c r="D1" s="144"/>
      <c r="E1" s="144"/>
      <c r="F1" s="144"/>
      <c r="G1" s="144"/>
    </row>
    <row r="2" spans="1:10">
      <c r="B2" s="2"/>
      <c r="C2" s="2"/>
      <c r="D2" s="2"/>
      <c r="E2" s="2"/>
      <c r="F2" s="2"/>
      <c r="G2" s="2"/>
    </row>
    <row r="3" spans="1:10">
      <c r="B3" s="3"/>
      <c r="C3" s="3" t="s">
        <v>614</v>
      </c>
      <c r="D3" s="3"/>
      <c r="E3" s="3" t="s">
        <v>615</v>
      </c>
      <c r="F3" s="3"/>
      <c r="G3" s="3"/>
    </row>
    <row r="4" spans="1:10">
      <c r="B4" s="3" t="s">
        <v>3</v>
      </c>
      <c r="C4" s="3" t="s">
        <v>616</v>
      </c>
      <c r="D4" s="3" t="s">
        <v>5</v>
      </c>
      <c r="E4" s="3" t="s">
        <v>616</v>
      </c>
      <c r="F4" s="3" t="s">
        <v>7</v>
      </c>
      <c r="G4" s="3" t="s">
        <v>8</v>
      </c>
    </row>
    <row r="6" spans="1:10">
      <c r="A6" s="1" t="s">
        <v>11</v>
      </c>
      <c r="B6" s="30">
        <f>+'Alabama Life'!B6+'American Chambers'!B6+'American Educators'!B6+'American Integrity'!B6+'Amer Life Asr'!B6+'Amer Std Life Acc'!B6+AmerWstrn!B6+'AMS Life'!B6+'Bankers Commercial'!B6+Benicorp!B6+'Booker T Washington'!B6+Centennial!B6+'Coastal States'!B6+'Confed Life (CLIC)'!B6+'Consolidated National'!B6+'Consumers United'!B6+'Corporate Life'!B6+'Diamond Benefits'!B6+'EBL Life'!B6+'Family Guaranty'!B6+'Fidelity Bankers'!B6+'First Natl'!B6+'Franklin American'!B6+'Franklin Protective'!B6+'George Washington'!B6+'Golden State'!B6+'Guarantee Security'!B6+Imerica!B6+'Inter-American'!B6+'International Fin'!B6+'Investment Life of America'!B6+'Investors Equity'!B6+'Kentucky Central'!B6+Legion!B6+'London Pac'!B6+'Medical Savings'!B6+'Midwest Life'!B6+'Mutual Benefit'!B6+'Mutual Security'!B6+'National Affiliated'!B6+'Natl American'!B6+'New Jersey Life'!B6+'Old Colony Life'!B6+'Old Faithful'!B6+'Pacific Standard'!B6+SeeChange!B6+'States General'!B6+Statesman!B6+'Summit National'!B6+Supreme!B6+Underwriters!B6+Unison!B6+'United Republic'!B6+'Universal Life'!B6+Universe!B6+Villanova!B6</f>
        <v>31272160.471778378</v>
      </c>
      <c r="C6" s="30">
        <f>+'Alabama Life'!C6+'American Chambers'!C6+'American Educators'!C6+'American Integrity'!C6+'Amer Life Asr'!C6+'Amer Std Life Acc'!C6+AmerWstrn!C6+'AMS Life'!C6+'Bankers Commercial'!C6+Benicorp!C6+'Booker T Washington'!C6+Centennial!C6+'Coastal States'!C6+'Confed Life (CLIC)'!C6+'Consolidated National'!C6+'Consumers United'!C6+'Corporate Life'!C6+'Diamond Benefits'!C6+'EBL Life'!C6+'Family Guaranty'!C6+'Fidelity Bankers'!C6+'First Natl'!C6+'Franklin American'!C6+'Franklin Protective'!C6+'George Washington'!C6+'Golden State'!C6+'Guarantee Security'!C6+Imerica!C6+'Inter-American'!C6+'International Fin'!C6+'Investment Life of America'!C6+'Investors Equity'!C6+'Kentucky Central'!C6+Legion!C6+'London Pac'!C6+'Medical Savings'!C6+'Midwest Life'!C6+'Mutual Benefit'!C6+'Mutual Security'!C6+'National Affiliated'!C6+'Natl American'!C6+'New Jersey Life'!C6+'Old Colony Life'!C6+'Old Faithful'!C6+'Pacific Standard'!C6+SeeChange!C6+'States General'!C6+Statesman!C6+'Summit National'!C6+Supreme!C6+Underwriters!C6+Unison!C6+'United Republic'!C6+'Universal Life'!C6+Universe!C6+Villanova!C6</f>
        <v>8371808.6899973489</v>
      </c>
      <c r="D6" s="30">
        <f>+'Alabama Life'!D6+'American Chambers'!D6+'American Educators'!D6+'American Integrity'!D6+'Amer Life Asr'!D6+'Amer Std Life Acc'!D6+AmerWstrn!D6+'AMS Life'!D6+'Bankers Commercial'!D6+Benicorp!D6+'Booker T Washington'!D6+Centennial!D6+'Coastal States'!D6+'Confed Life (CLIC)'!D6+'Consolidated National'!D6+'Consumers United'!D6+'Corporate Life'!D6+'Diamond Benefits'!D6+'EBL Life'!D6+'Family Guaranty'!D6+'Fidelity Bankers'!D6+'First Natl'!D6+'Franklin American'!D6+'Franklin Protective'!D6+'George Washington'!D6+'Golden State'!D6+'Guarantee Security'!D6+Imerica!D6+'Inter-American'!D6+'International Fin'!D6+'Investment Life of America'!D6+'Investors Equity'!D6+'Kentucky Central'!D6+Legion!D6+'London Pac'!D6+'Medical Savings'!D6+'Midwest Life'!D6+'Mutual Benefit'!D6+'Mutual Security'!D6+'National Affiliated'!D6+'Natl American'!D6+'New Jersey Life'!D6+'Old Colony Life'!D6+'Old Faithful'!D6+'Pacific Standard'!D6+SeeChange!D6+'States General'!D6+Statesman!D6+'Summit National'!D6+Supreme!D6+Underwriters!D6+Unison!D6+'United Republic'!D6+'Universal Life'!D6+Universe!D6+Villanova!D6</f>
        <v>1847162.021796559</v>
      </c>
      <c r="E6" s="30">
        <f>+'Alabama Life'!E6+'American Chambers'!E6+'American Educators'!E6+'American Integrity'!E6+'Amer Life Asr'!E6+'Amer Std Life Acc'!E6+AmerWstrn!E6+'AMS Life'!E6+'Bankers Commercial'!E6+Benicorp!E6+'Booker T Washington'!E6+Centennial!E6+'Coastal States'!E6+'Confed Life (CLIC)'!E6+'Consolidated National'!E6+'Consumers United'!E6+'Corporate Life'!E6+'Diamond Benefits'!E6+'EBL Life'!E6+'Family Guaranty'!E6+'Fidelity Bankers'!E6+'First Natl'!E6+'Franklin American'!E6+'Franklin Protective'!E6+'George Washington'!E6+'Golden State'!E6+'Guarantee Security'!E6+Imerica!E6+'Inter-American'!E6+'International Fin'!E6+'Investment Life of America'!E6+'Investors Equity'!E6+'Kentucky Central'!E6+Legion!E6+'London Pac'!E6+'Medical Savings'!E6+'Midwest Life'!E6+'Mutual Benefit'!E6+'Mutual Security'!E6+'National Affiliated'!E6+'Natl American'!E6+'New Jersey Life'!E6+'Old Colony Life'!E6+'Old Faithful'!E6+'Pacific Standard'!E6+SeeChange!E6+'States General'!E6+Statesman!E6+'Summit National'!E6+Supreme!E6+Underwriters!E6+Unison!E6+'United Republic'!E6+'Universal Life'!E6+Universe!E6+Villanova!E6</f>
        <v>0</v>
      </c>
      <c r="F6" s="30">
        <f>+'Alabama Life'!F6+'American Chambers'!F6+'American Educators'!F6+'American Integrity'!F6+'Amer Life Asr'!F6+'Amer Std Life Acc'!F6+AmerWstrn!F6+'AMS Life'!F6+'Bankers Commercial'!F6+Benicorp!F6+'Booker T Washington'!F6+Centennial!F6+'Coastal States'!F6+'Confed Life (CLIC)'!F6+'Consolidated National'!F6+'Consumers United'!F6+'Corporate Life'!F6+'Diamond Benefits'!F6+'EBL Life'!F6+'Family Guaranty'!F6+'Fidelity Bankers'!F6+'First Natl'!F6+'Franklin American'!F6+'Franklin Protective'!F6+'George Washington'!F6+'Golden State'!F6+'Guarantee Security'!F6+Imerica!F6+'Inter-American'!F6+'International Fin'!F6+'Investment Life of America'!F6+'Investors Equity'!F6+'Kentucky Central'!F6+Legion!F6+'London Pac'!F6+'Medical Savings'!F6+'Midwest Life'!F6+'Mutual Benefit'!F6+'Mutual Security'!F6+'National Affiliated'!F6+'Natl American'!F6+'New Jersey Life'!F6+'Old Colony Life'!F6+'Old Faithful'!F6+'Pacific Standard'!F6+SeeChange!F6+'States General'!F6+Statesman!F6+'Summit National'!F6+Supreme!F6+Underwriters!F6+Unison!F6+'United Republic'!F6+'Universal Life'!F6+Universe!F6+Villanova!F6</f>
        <v>0</v>
      </c>
      <c r="G6" s="30">
        <f t="shared" ref="G6:G37" si="0">SUM(B6:F6)</f>
        <v>41491131.183572285</v>
      </c>
      <c r="H6" s="30"/>
      <c r="I6" s="30" t="s">
        <v>310</v>
      </c>
      <c r="J6" s="30">
        <f>Summary!TOTAL_98825</f>
        <v>3318532.7600000002</v>
      </c>
    </row>
    <row r="7" spans="1:10">
      <c r="A7" s="1" t="s">
        <v>12</v>
      </c>
      <c r="B7" s="30">
        <f>+'Alabama Life'!B7+'American Chambers'!B7+'American Educators'!B7+'American Integrity'!B7+'Amer Life Asr'!B7+'Amer Std Life Acc'!B7+AmerWstrn!B7+'AMS Life'!B7+'Bankers Commercial'!B7+Benicorp!B7+'Booker T Washington'!B7+Centennial!B7+'Coastal States'!B7+'Confed Life (CLIC)'!B7+'Consolidated National'!B7+'Consumers United'!B7+'Corporate Life'!B7+'Diamond Benefits'!B7+'EBL Life'!B7+'Family Guaranty'!B7+'Fidelity Bankers'!B7+'First Natl'!B7+'Franklin American'!B7+'Franklin Protective'!B7+'George Washington'!B7+'Golden State'!B7+'Guarantee Security'!B7+Imerica!B7+'Inter-American'!B7+'International Fin'!B7+'Investment Life of America'!B7+'Investors Equity'!B7+'Kentucky Central'!B7+Legion!B7+'London Pac'!B7+'Medical Savings'!B7+'Midwest Life'!B7+'Mutual Benefit'!B7+'Mutual Security'!B7+'National Affiliated'!B7+'Natl American'!B7+'New Jersey Life'!B7+'Old Colony Life'!B7+'Old Faithful'!B7+'Pacific Standard'!B7+SeeChange!B7+'States General'!B7+Statesman!B7+'Summit National'!B7+Supreme!B7+Underwriters!B7+Unison!B7+'United Republic'!B7+'Universal Life'!B7+Universe!B7+Villanova!B7</f>
        <v>131433.68866481315</v>
      </c>
      <c r="C7" s="30">
        <f>+'Alabama Life'!C7+'American Chambers'!C7+'American Educators'!C7+'American Integrity'!C7+'Amer Life Asr'!C7+'Amer Std Life Acc'!C7+AmerWstrn!C7+'AMS Life'!C7+'Bankers Commercial'!C7+Benicorp!C7+'Booker T Washington'!C7+Centennial!C7+'Coastal States'!C7+'Confed Life (CLIC)'!C7+'Consolidated National'!C7+'Consumers United'!C7+'Corporate Life'!C7+'Diamond Benefits'!C7+'EBL Life'!C7+'Family Guaranty'!C7+'Fidelity Bankers'!C7+'First Natl'!C7+'Franklin American'!C7+'Franklin Protective'!C7+'George Washington'!C7+'Golden State'!C7+'Guarantee Security'!C7+Imerica!C7+'Inter-American'!C7+'International Fin'!C7+'Investment Life of America'!C7+'Investors Equity'!C7+'Kentucky Central'!C7+Legion!C7+'London Pac'!C7+'Medical Savings'!C7+'Midwest Life'!C7+'Mutual Benefit'!C7+'Mutual Security'!C7+'National Affiliated'!C7+'Natl American'!C7+'New Jersey Life'!C7+'Old Colony Life'!C7+'Old Faithful'!C7+'Pacific Standard'!C7+SeeChange!C7+'States General'!C7+Statesman!C7+'Summit National'!C7+Supreme!C7+Underwriters!C7+Unison!C7+'United Republic'!C7+'Universal Life'!C7+Universe!C7+Villanova!C7</f>
        <v>281644.83166244125</v>
      </c>
      <c r="D7" s="30">
        <f>+'Alabama Life'!D7+'American Chambers'!D7+'American Educators'!D7+'American Integrity'!D7+'Amer Life Asr'!D7+'Amer Std Life Acc'!D7+AmerWstrn!D7+'AMS Life'!D7+'Bankers Commercial'!D7+Benicorp!D7+'Booker T Washington'!D7+Centennial!D7+'Coastal States'!D7+'Confed Life (CLIC)'!D7+'Consolidated National'!D7+'Consumers United'!D7+'Corporate Life'!D7+'Diamond Benefits'!D7+'EBL Life'!D7+'Family Guaranty'!D7+'Fidelity Bankers'!D7+'First Natl'!D7+'Franklin American'!D7+'Franklin Protective'!D7+'George Washington'!D7+'Golden State'!D7+'Guarantee Security'!D7+Imerica!D7+'Inter-American'!D7+'International Fin'!D7+'Investment Life of America'!D7+'Investors Equity'!D7+'Kentucky Central'!D7+Legion!D7+'London Pac'!D7+'Medical Savings'!D7+'Midwest Life'!D7+'Mutual Benefit'!D7+'Mutual Security'!D7+'National Affiliated'!D7+'Natl American'!D7+'New Jersey Life'!D7+'Old Colony Life'!D7+'Old Faithful'!D7+'Pacific Standard'!D7+SeeChange!D7+'States General'!D7+Statesman!D7+'Summit National'!D7+Supreme!D7+Underwriters!D7+Unison!D7+'United Republic'!D7+'Universal Life'!D7+Universe!D7+Villanova!D7</f>
        <v>40453.793357462891</v>
      </c>
      <c r="E7" s="30">
        <f>+'Alabama Life'!E7+'American Chambers'!E7+'American Educators'!E7+'American Integrity'!E7+'Amer Life Asr'!E7+'Amer Std Life Acc'!E7+AmerWstrn!E7+'AMS Life'!E7+'Bankers Commercial'!E7+Benicorp!E7+'Booker T Washington'!E7+Centennial!E7+'Coastal States'!E7+'Confed Life (CLIC)'!E7+'Consolidated National'!E7+'Consumers United'!E7+'Corporate Life'!E7+'Diamond Benefits'!E7+'EBL Life'!E7+'Family Guaranty'!E7+'Fidelity Bankers'!E7+'First Natl'!E7+'Franklin American'!E7+'Franklin Protective'!E7+'George Washington'!E7+'Golden State'!E7+'Guarantee Security'!E7+Imerica!E7+'Inter-American'!E7+'International Fin'!E7+'Investment Life of America'!E7+'Investors Equity'!E7+'Kentucky Central'!E7+Legion!E7+'London Pac'!E7+'Medical Savings'!E7+'Midwest Life'!E7+'Mutual Benefit'!E7+'Mutual Security'!E7+'National Affiliated'!E7+'Natl American'!E7+'New Jersey Life'!E7+'Old Colony Life'!E7+'Old Faithful'!E7+'Pacific Standard'!E7+SeeChange!E7+'States General'!E7+Statesman!E7+'Summit National'!E7+Supreme!E7+Underwriters!E7+Unison!E7+'United Republic'!E7+'Universal Life'!E7+Universe!E7+Villanova!E7</f>
        <v>-526.53156057171236</v>
      </c>
      <c r="F7" s="30">
        <f>+'Alabama Life'!F7+'American Chambers'!F7+'American Educators'!F7+'American Integrity'!F7+'Amer Life Asr'!F7+'Amer Std Life Acc'!F7+AmerWstrn!F7+'AMS Life'!F7+'Bankers Commercial'!F7+Benicorp!F7+'Booker T Washington'!F7+Centennial!F7+'Coastal States'!F7+'Confed Life (CLIC)'!F7+'Consolidated National'!F7+'Consumers United'!F7+'Corporate Life'!F7+'Diamond Benefits'!F7+'EBL Life'!F7+'Family Guaranty'!F7+'Fidelity Bankers'!F7+'First Natl'!F7+'Franklin American'!F7+'Franklin Protective'!F7+'George Washington'!F7+'Golden State'!F7+'Guarantee Security'!F7+Imerica!F7+'Inter-American'!F7+'International Fin'!F7+'Investment Life of America'!F7+'Investors Equity'!F7+'Kentucky Central'!F7+Legion!F7+'London Pac'!F7+'Medical Savings'!F7+'Midwest Life'!F7+'Mutual Benefit'!F7+'Mutual Security'!F7+'National Affiliated'!F7+'Natl American'!F7+'New Jersey Life'!F7+'Old Colony Life'!F7+'Old Faithful'!F7+'Pacific Standard'!F7+SeeChange!F7+'States General'!F7+Statesman!F7+'Summit National'!F7+Supreme!F7+Underwriters!F7+Unison!F7+'United Republic'!F7+'Universal Life'!F7+Universe!F7+Villanova!F7</f>
        <v>0</v>
      </c>
      <c r="G7" s="30">
        <f t="shared" si="0"/>
        <v>453005.78212414565</v>
      </c>
      <c r="H7" s="30"/>
      <c r="I7" s="30" t="s">
        <v>316</v>
      </c>
      <c r="J7" s="30">
        <f>Summary!TOTAL_75914</f>
        <v>26432414.784079995</v>
      </c>
    </row>
    <row r="8" spans="1:10">
      <c r="A8" s="1" t="s">
        <v>13</v>
      </c>
      <c r="B8" s="30">
        <f>+'Alabama Life'!B8+'American Chambers'!B8+'American Educators'!B8+'American Integrity'!B8+'Amer Life Asr'!B8+'Amer Std Life Acc'!B8+AmerWstrn!B8+'AMS Life'!B8+'Bankers Commercial'!B8+Benicorp!B8+'Booker T Washington'!B8+Centennial!B8+'Coastal States'!B8+'Confed Life (CLIC)'!B8+'Consolidated National'!B8+'Consumers United'!B8+'Corporate Life'!B8+'Diamond Benefits'!B8+'EBL Life'!B8+'Family Guaranty'!B8+'Fidelity Bankers'!B8+'First Natl'!B8+'Franklin American'!B8+'Franklin Protective'!B8+'George Washington'!B8+'Golden State'!B8+'Guarantee Security'!B8+Imerica!B8+'Inter-American'!B8+'International Fin'!B8+'Investment Life of America'!B8+'Investors Equity'!B8+'Kentucky Central'!B8+Legion!B8+'London Pac'!B8+'Medical Savings'!B8+'Midwest Life'!B8+'Mutual Benefit'!B8+'Mutual Security'!B8+'National Affiliated'!B8+'Natl American'!B8+'New Jersey Life'!B8+'Old Colony Life'!B8+'Old Faithful'!B8+'Pacific Standard'!B8+SeeChange!B8+'States General'!B8+Statesman!B8+'Summit National'!B8+Supreme!B8+Underwriters!B8+Unison!B8+'United Republic'!B8+'Universal Life'!B8+Universe!B8+Villanova!B8</f>
        <v>4560131.5292433659</v>
      </c>
      <c r="C8" s="30">
        <f>+'Alabama Life'!C8+'American Chambers'!C8+'American Educators'!C8+'American Integrity'!C8+'Amer Life Asr'!C8+'Amer Std Life Acc'!C8+AmerWstrn!C8+'AMS Life'!C8+'Bankers Commercial'!C8+Benicorp!C8+'Booker T Washington'!C8+Centennial!C8+'Coastal States'!C8+'Confed Life (CLIC)'!C8+'Consolidated National'!C8+'Consumers United'!C8+'Corporate Life'!C8+'Diamond Benefits'!C8+'EBL Life'!C8+'Family Guaranty'!C8+'Fidelity Bankers'!C8+'First Natl'!C8+'Franklin American'!C8+'Franklin Protective'!C8+'George Washington'!C8+'Golden State'!C8+'Guarantee Security'!C8+Imerica!C8+'Inter-American'!C8+'International Fin'!C8+'Investment Life of America'!C8+'Investors Equity'!C8+'Kentucky Central'!C8+Legion!C8+'London Pac'!C8+'Medical Savings'!C8+'Midwest Life'!C8+'Mutual Benefit'!C8+'Mutual Security'!C8+'National Affiliated'!C8+'Natl American'!C8+'New Jersey Life'!C8+'Old Colony Life'!C8+'Old Faithful'!C8+'Pacific Standard'!C8+SeeChange!C8+'States General'!C8+Statesman!C8+'Summit National'!C8+Supreme!C8+Underwriters!C8+Unison!C8+'United Republic'!C8+'Universal Life'!C8+Universe!C8+Villanova!C8</f>
        <v>14820024.700104868</v>
      </c>
      <c r="D8" s="30">
        <f>+'Alabama Life'!D8+'American Chambers'!D8+'American Educators'!D8+'American Integrity'!D8+'Amer Life Asr'!D8+'Amer Std Life Acc'!D8+AmerWstrn!D8+'AMS Life'!D8+'Bankers Commercial'!D8+Benicorp!D8+'Booker T Washington'!D8+Centennial!D8+'Coastal States'!D8+'Confed Life (CLIC)'!D8+'Consolidated National'!D8+'Consumers United'!D8+'Corporate Life'!D8+'Diamond Benefits'!D8+'EBL Life'!D8+'Family Guaranty'!D8+'Fidelity Bankers'!D8+'First Natl'!D8+'Franklin American'!D8+'Franklin Protective'!D8+'George Washington'!D8+'Golden State'!D8+'Guarantee Security'!D8+Imerica!D8+'Inter-American'!D8+'International Fin'!D8+'Investment Life of America'!D8+'Investors Equity'!D8+'Kentucky Central'!D8+Legion!D8+'London Pac'!D8+'Medical Savings'!D8+'Midwest Life'!D8+'Mutual Benefit'!D8+'Mutual Security'!D8+'National Affiliated'!D8+'Natl American'!D8+'New Jersey Life'!D8+'Old Colony Life'!D8+'Old Faithful'!D8+'Pacific Standard'!D8+SeeChange!D8+'States General'!D8+Statesman!D8+'Summit National'!D8+Supreme!D8+Underwriters!D8+Unison!D8+'United Republic'!D8+'Universal Life'!D8+Universe!D8+Villanova!D8</f>
        <v>2234130.5187531635</v>
      </c>
      <c r="E8" s="30">
        <f>+'Alabama Life'!E8+'American Chambers'!E8+'American Educators'!E8+'American Integrity'!E8+'Amer Life Asr'!E8+'Amer Std Life Acc'!E8+AmerWstrn!E8+'AMS Life'!E8+'Bankers Commercial'!E8+Benicorp!E8+'Booker T Washington'!E8+Centennial!E8+'Coastal States'!E8+'Confed Life (CLIC)'!E8+'Consolidated National'!E8+'Consumers United'!E8+'Corporate Life'!E8+'Diamond Benefits'!E8+'EBL Life'!E8+'Family Guaranty'!E8+'Fidelity Bankers'!E8+'First Natl'!E8+'Franklin American'!E8+'Franklin Protective'!E8+'George Washington'!E8+'Golden State'!E8+'Guarantee Security'!E8+Imerica!E8+'Inter-American'!E8+'International Fin'!E8+'Investment Life of America'!E8+'Investors Equity'!E8+'Kentucky Central'!E8+Legion!E8+'London Pac'!E8+'Medical Savings'!E8+'Midwest Life'!E8+'Mutual Benefit'!E8+'Mutual Security'!E8+'National Affiliated'!E8+'Natl American'!E8+'New Jersey Life'!E8+'Old Colony Life'!E8+'Old Faithful'!E8+'Pacific Standard'!E8+SeeChange!E8+'States General'!E8+Statesman!E8+'Summit National'!E8+Supreme!E8+Underwriters!E8+Unison!E8+'United Republic'!E8+'Universal Life'!E8+Universe!E8+Villanova!E8</f>
        <v>0</v>
      </c>
      <c r="F8" s="30">
        <f>+'Alabama Life'!F8+'American Chambers'!F8+'American Educators'!F8+'American Integrity'!F8+'Amer Life Asr'!F8+'Amer Std Life Acc'!F8+AmerWstrn!F8+'AMS Life'!F8+'Bankers Commercial'!F8+Benicorp!F8+'Booker T Washington'!F8+Centennial!F8+'Coastal States'!F8+'Confed Life (CLIC)'!F8+'Consolidated National'!F8+'Consumers United'!F8+'Corporate Life'!F8+'Diamond Benefits'!F8+'EBL Life'!F8+'Family Guaranty'!F8+'Fidelity Bankers'!F8+'First Natl'!F8+'Franklin American'!F8+'Franklin Protective'!F8+'George Washington'!F8+'Golden State'!F8+'Guarantee Security'!F8+Imerica!F8+'Inter-American'!F8+'International Fin'!F8+'Investment Life of America'!F8+'Investors Equity'!F8+'Kentucky Central'!F8+Legion!F8+'London Pac'!F8+'Medical Savings'!F8+'Midwest Life'!F8+'Mutual Benefit'!F8+'Mutual Security'!F8+'National Affiliated'!F8+'Natl American'!F8+'New Jersey Life'!F8+'Old Colony Life'!F8+'Old Faithful'!F8+'Pacific Standard'!F8+SeeChange!F8+'States General'!F8+Statesman!F8+'Summit National'!F8+Supreme!F8+Underwriters!F8+Unison!F8+'United Republic'!F8+'Universal Life'!F8+Universe!F8+Villanova!F8</f>
        <v>0</v>
      </c>
      <c r="G8" s="30">
        <f t="shared" si="0"/>
        <v>21614286.748101398</v>
      </c>
      <c r="H8" s="30"/>
      <c r="I8" s="30" t="s">
        <v>321</v>
      </c>
      <c r="J8" s="30">
        <f>Summary!TOTAL_60356</f>
        <v>4929655.2699999996</v>
      </c>
    </row>
    <row r="9" spans="1:10">
      <c r="A9" s="1" t="s">
        <v>15</v>
      </c>
      <c r="B9" s="30">
        <f>+'Alabama Life'!B9+'American Chambers'!B9+'American Educators'!B9+'American Integrity'!B9+'Amer Life Asr'!B9+'Amer Std Life Acc'!B9+AmerWstrn!B9+'AMS Life'!B9+'Bankers Commercial'!B9+Benicorp!B9+'Booker T Washington'!B9+Centennial!B9+'Coastal States'!B9+'Confed Life (CLIC)'!B9+'Consolidated National'!B9+'Consumers United'!B9+'Corporate Life'!B9+'Diamond Benefits'!B9+'EBL Life'!B9+'Family Guaranty'!B9+'Fidelity Bankers'!B9+'First Natl'!B9+'Franklin American'!B9+'Franklin Protective'!B9+'George Washington'!B9+'Golden State'!B9+'Guarantee Security'!B9+Imerica!B9+'Inter-American'!B9+'International Fin'!B9+'Investment Life of America'!B9+'Investors Equity'!B9+'Kentucky Central'!B9+Legion!B9+'London Pac'!B9+'Medical Savings'!B9+'Midwest Life'!B9+'Mutual Benefit'!B9+'Mutual Security'!B9+'National Affiliated'!B9+'Natl American'!B9+'New Jersey Life'!B9+'Old Colony Life'!B9+'Old Faithful'!B9+'Pacific Standard'!B9+SeeChange!B9+'States General'!B9+Statesman!B9+'Summit National'!B9+Supreme!B9+Underwriters!B9+Unison!B9+'United Republic'!B9+'Universal Life'!B9+Universe!B9+Villanova!B9</f>
        <v>1731848.1508854874</v>
      </c>
      <c r="C9" s="30">
        <f>+'Alabama Life'!C9+'American Chambers'!C9+'American Educators'!C9+'American Integrity'!C9+'Amer Life Asr'!C9+'Amer Std Life Acc'!C9+AmerWstrn!C9+'AMS Life'!C9+'Bankers Commercial'!C9+Benicorp!C9+'Booker T Washington'!C9+Centennial!C9+'Coastal States'!C9+'Confed Life (CLIC)'!C9+'Consolidated National'!C9+'Consumers United'!C9+'Corporate Life'!C9+'Diamond Benefits'!C9+'EBL Life'!C9+'Family Guaranty'!C9+'Fidelity Bankers'!C9+'First Natl'!C9+'Franklin American'!C9+'Franklin Protective'!C9+'George Washington'!C9+'Golden State'!C9+'Guarantee Security'!C9+Imerica!C9+'Inter-American'!C9+'International Fin'!C9+'Investment Life of America'!C9+'Investors Equity'!C9+'Kentucky Central'!C9+Legion!C9+'London Pac'!C9+'Medical Savings'!C9+'Midwest Life'!C9+'Mutual Benefit'!C9+'Mutual Security'!C9+'National Affiliated'!C9+'Natl American'!C9+'New Jersey Life'!C9+'Old Colony Life'!C9+'Old Faithful'!C9+'Pacific Standard'!C9+SeeChange!C9+'States General'!C9+Statesman!C9+'Summit National'!C9+Supreme!C9+Underwriters!C9+Unison!C9+'United Republic'!C9+'Universal Life'!C9+Universe!C9+Villanova!C9</f>
        <v>2136592.6765502812</v>
      </c>
      <c r="D9" s="30">
        <f>+'Alabama Life'!D9+'American Chambers'!D9+'American Educators'!D9+'American Integrity'!D9+'Amer Life Asr'!D9+'Amer Std Life Acc'!D9+AmerWstrn!D9+'AMS Life'!D9+'Bankers Commercial'!D9+Benicorp!D9+'Booker T Washington'!D9+Centennial!D9+'Coastal States'!D9+'Confed Life (CLIC)'!D9+'Consolidated National'!D9+'Consumers United'!D9+'Corporate Life'!D9+'Diamond Benefits'!D9+'EBL Life'!D9+'Family Guaranty'!D9+'Fidelity Bankers'!D9+'First Natl'!D9+'Franklin American'!D9+'Franklin Protective'!D9+'George Washington'!D9+'Golden State'!D9+'Guarantee Security'!D9+Imerica!D9+'Inter-American'!D9+'International Fin'!D9+'Investment Life of America'!D9+'Investors Equity'!D9+'Kentucky Central'!D9+Legion!D9+'London Pac'!D9+'Medical Savings'!D9+'Midwest Life'!D9+'Mutual Benefit'!D9+'Mutual Security'!D9+'National Affiliated'!D9+'Natl American'!D9+'New Jersey Life'!D9+'Old Colony Life'!D9+'Old Faithful'!D9+'Pacific Standard'!D9+SeeChange!D9+'States General'!D9+Statesman!D9+'Summit National'!D9+Supreme!D9+Underwriters!D9+Unison!D9+'United Republic'!D9+'Universal Life'!D9+Universe!D9+Villanova!D9</f>
        <v>3252042.0216243519</v>
      </c>
      <c r="E9" s="30">
        <f>+'Alabama Life'!E9+'American Chambers'!E9+'American Educators'!E9+'American Integrity'!E9+'Amer Life Asr'!E9+'Amer Std Life Acc'!E9+AmerWstrn!E9+'AMS Life'!E9+'Bankers Commercial'!E9+Benicorp!E9+'Booker T Washington'!E9+Centennial!E9+'Coastal States'!E9+'Confed Life (CLIC)'!E9+'Consolidated National'!E9+'Consumers United'!E9+'Corporate Life'!E9+'Diamond Benefits'!E9+'EBL Life'!E9+'Family Guaranty'!E9+'Fidelity Bankers'!E9+'First Natl'!E9+'Franklin American'!E9+'Franklin Protective'!E9+'George Washington'!E9+'Golden State'!E9+'Guarantee Security'!E9+Imerica!E9+'Inter-American'!E9+'International Fin'!E9+'Investment Life of America'!E9+'Investors Equity'!E9+'Kentucky Central'!E9+Legion!E9+'London Pac'!E9+'Medical Savings'!E9+'Midwest Life'!E9+'Mutual Benefit'!E9+'Mutual Security'!E9+'National Affiliated'!E9+'Natl American'!E9+'New Jersey Life'!E9+'Old Colony Life'!E9+'Old Faithful'!E9+'Pacific Standard'!E9+SeeChange!E9+'States General'!E9+Statesman!E9+'Summit National'!E9+Supreme!E9+Underwriters!E9+Unison!E9+'United Republic'!E9+'Universal Life'!E9+Universe!E9+Villanova!E9</f>
        <v>-10.375436133361319</v>
      </c>
      <c r="F9" s="30">
        <f>+'Alabama Life'!F9+'American Chambers'!F9+'American Educators'!F9+'American Integrity'!F9+'Amer Life Asr'!F9+'Amer Std Life Acc'!F9+AmerWstrn!F9+'AMS Life'!F9+'Bankers Commercial'!F9+Benicorp!F9+'Booker T Washington'!F9+Centennial!F9+'Coastal States'!F9+'Confed Life (CLIC)'!F9+'Consolidated National'!F9+'Consumers United'!F9+'Corporate Life'!F9+'Diamond Benefits'!F9+'EBL Life'!F9+'Family Guaranty'!F9+'Fidelity Bankers'!F9+'First Natl'!F9+'Franklin American'!F9+'Franklin Protective'!F9+'George Washington'!F9+'Golden State'!F9+'Guarantee Security'!F9+Imerica!F9+'Inter-American'!F9+'International Fin'!F9+'Investment Life of America'!F9+'Investors Equity'!F9+'Kentucky Central'!F9+Legion!F9+'London Pac'!F9+'Medical Savings'!F9+'Midwest Life'!F9+'Mutual Benefit'!F9+'Mutual Security'!F9+'National Affiliated'!F9+'Natl American'!F9+'New Jersey Life'!F9+'Old Colony Life'!F9+'Old Faithful'!F9+'Pacific Standard'!F9+SeeChange!F9+'States General'!F9+Statesman!F9+'Summit National'!F9+Supreme!F9+Underwriters!F9+Unison!F9+'United Republic'!F9+'Universal Life'!F9+Universe!F9+Villanova!F9</f>
        <v>0</v>
      </c>
      <c r="G9" s="30">
        <f t="shared" si="0"/>
        <v>7120472.4736239864</v>
      </c>
      <c r="H9" s="30"/>
      <c r="I9" s="30" t="s">
        <v>325</v>
      </c>
      <c r="J9" s="30">
        <f>Summary!TOTAL_10197</f>
        <v>34222634.49000001</v>
      </c>
    </row>
    <row r="10" spans="1:10">
      <c r="A10" s="1" t="s">
        <v>16</v>
      </c>
      <c r="B10" s="30">
        <f>+'Alabama Life'!B10+'American Chambers'!B10+'American Educators'!B10+'American Integrity'!B10+'Amer Life Asr'!B10+'Amer Std Life Acc'!B10+AmerWstrn!B10+'AMS Life'!B10+'Bankers Commercial'!B10+Benicorp!B10+'Booker T Washington'!B10+Centennial!B10+'Coastal States'!B10+'Confed Life (CLIC)'!B10+'Consolidated National'!B10+'Consumers United'!B10+'Corporate Life'!B10+'Diamond Benefits'!B10+'EBL Life'!B10+'Family Guaranty'!B10+'Fidelity Bankers'!B10+'First Natl'!B10+'Franklin American'!B10+'Franklin Protective'!B10+'George Washington'!B10+'Golden State'!B10+'Guarantee Security'!B10+Imerica!B10+'Inter-American'!B10+'International Fin'!B10+'Investment Life of America'!B10+'Investors Equity'!B10+'Kentucky Central'!B10+Legion!B10+'London Pac'!B10+'Medical Savings'!B10+'Midwest Life'!B10+'Mutual Benefit'!B10+'Mutual Security'!B10+'National Affiliated'!B10+'Natl American'!B10+'New Jersey Life'!B10+'Old Colony Life'!B10+'Old Faithful'!B10+'Pacific Standard'!B10+SeeChange!B10+'States General'!B10+Statesman!B10+'Summit National'!B10+Supreme!B10+Underwriters!B10+Unison!B10+'United Republic'!B10+'Universal Life'!B10+Universe!B10+Villanova!B10</f>
        <v>18712633.753144339</v>
      </c>
      <c r="C10" s="30">
        <f>+'Alabama Life'!C10+'American Chambers'!C10+'American Educators'!C10+'American Integrity'!C10+'Amer Life Asr'!C10+'Amer Std Life Acc'!C10+AmerWstrn!C10+'AMS Life'!C10+'Bankers Commercial'!C10+Benicorp!C10+'Booker T Washington'!C10+Centennial!C10+'Coastal States'!C10+'Confed Life (CLIC)'!C10+'Consolidated National'!C10+'Consumers United'!C10+'Corporate Life'!C10+'Diamond Benefits'!C10+'EBL Life'!C10+'Family Guaranty'!C10+'Fidelity Bankers'!C10+'First Natl'!C10+'Franklin American'!C10+'Franklin Protective'!C10+'George Washington'!C10+'Golden State'!C10+'Guarantee Security'!C10+Imerica!C10+'Inter-American'!C10+'International Fin'!C10+'Investment Life of America'!C10+'Investors Equity'!C10+'Kentucky Central'!C10+Legion!C10+'London Pac'!C10+'Medical Savings'!C10+'Midwest Life'!C10+'Mutual Benefit'!C10+'Mutual Security'!C10+'National Affiliated'!C10+'Natl American'!C10+'New Jersey Life'!C10+'Old Colony Life'!C10+'Old Faithful'!C10+'Pacific Standard'!C10+SeeChange!C10+'States General'!C10+Statesman!C10+'Summit National'!C10+Supreme!C10+Underwriters!C10+Unison!C10+'United Republic'!C10+'Universal Life'!C10+Universe!C10+Villanova!C10</f>
        <v>20471615.987984084</v>
      </c>
      <c r="D10" s="30">
        <f>+'Alabama Life'!D10+'American Chambers'!D10+'American Educators'!D10+'American Integrity'!D10+'Amer Life Asr'!D10+'Amer Std Life Acc'!D10+AmerWstrn!D10+'AMS Life'!D10+'Bankers Commercial'!D10+Benicorp!D10+'Booker T Washington'!D10+Centennial!D10+'Coastal States'!D10+'Confed Life (CLIC)'!D10+'Consolidated National'!D10+'Consumers United'!D10+'Corporate Life'!D10+'Diamond Benefits'!D10+'EBL Life'!D10+'Family Guaranty'!D10+'Fidelity Bankers'!D10+'First Natl'!D10+'Franklin American'!D10+'Franklin Protective'!D10+'George Washington'!D10+'Golden State'!D10+'Guarantee Security'!D10+Imerica!D10+'Inter-American'!D10+'International Fin'!D10+'Investment Life of America'!D10+'Investors Equity'!D10+'Kentucky Central'!D10+Legion!D10+'London Pac'!D10+'Medical Savings'!D10+'Midwest Life'!D10+'Mutual Benefit'!D10+'Mutual Security'!D10+'National Affiliated'!D10+'Natl American'!D10+'New Jersey Life'!D10+'Old Colony Life'!D10+'Old Faithful'!D10+'Pacific Standard'!D10+SeeChange!D10+'States General'!D10+Statesman!D10+'Summit National'!D10+Supreme!D10+Underwriters!D10+Unison!D10+'United Republic'!D10+'Universal Life'!D10+Universe!D10+Villanova!D10</f>
        <v>20412787.549368668</v>
      </c>
      <c r="E10" s="30">
        <f>+'Alabama Life'!E10+'American Chambers'!E10+'American Educators'!E10+'American Integrity'!E10+'Amer Life Asr'!E10+'Amer Std Life Acc'!E10+AmerWstrn!E10+'AMS Life'!E10+'Bankers Commercial'!E10+Benicorp!E10+'Booker T Washington'!E10+Centennial!E10+'Coastal States'!E10+'Confed Life (CLIC)'!E10+'Consolidated National'!E10+'Consumers United'!E10+'Corporate Life'!E10+'Diamond Benefits'!E10+'EBL Life'!E10+'Family Guaranty'!E10+'Fidelity Bankers'!E10+'First Natl'!E10+'Franklin American'!E10+'Franklin Protective'!E10+'George Washington'!E10+'Golden State'!E10+'Guarantee Security'!E10+Imerica!E10+'Inter-American'!E10+'International Fin'!E10+'Investment Life of America'!E10+'Investors Equity'!E10+'Kentucky Central'!E10+Legion!E10+'London Pac'!E10+'Medical Savings'!E10+'Midwest Life'!E10+'Mutual Benefit'!E10+'Mutual Security'!E10+'National Affiliated'!E10+'Natl American'!E10+'New Jersey Life'!E10+'Old Colony Life'!E10+'Old Faithful'!E10+'Pacific Standard'!E10+SeeChange!E10+'States General'!E10+Statesman!E10+'Summit National'!E10+Supreme!E10+Underwriters!E10+Unison!E10+'United Republic'!E10+'Universal Life'!E10+Universe!E10+Villanova!E10</f>
        <v>0</v>
      </c>
      <c r="F10" s="30">
        <f>+'Alabama Life'!F10+'American Chambers'!F10+'American Educators'!F10+'American Integrity'!F10+'Amer Life Asr'!F10+'Amer Std Life Acc'!F10+AmerWstrn!F10+'AMS Life'!F10+'Bankers Commercial'!F10+Benicorp!F10+'Booker T Washington'!F10+Centennial!F10+'Coastal States'!F10+'Confed Life (CLIC)'!F10+'Consolidated National'!F10+'Consumers United'!F10+'Corporate Life'!F10+'Diamond Benefits'!F10+'EBL Life'!F10+'Family Guaranty'!F10+'Fidelity Bankers'!F10+'First Natl'!F10+'Franklin American'!F10+'Franklin Protective'!F10+'George Washington'!F10+'Golden State'!F10+'Guarantee Security'!F10+Imerica!F10+'Inter-American'!F10+'International Fin'!F10+'Investment Life of America'!F10+'Investors Equity'!F10+'Kentucky Central'!F10+Legion!F10+'London Pac'!F10+'Medical Savings'!F10+'Midwest Life'!F10+'Mutual Benefit'!F10+'Mutual Security'!F10+'National Affiliated'!F10+'Natl American'!F10+'New Jersey Life'!F10+'Old Colony Life'!F10+'Old Faithful'!F10+'Pacific Standard'!F10+SeeChange!F10+'States General'!F10+Statesman!F10+'Summit National'!F10+Supreme!F10+Underwriters!F10+Unison!F10+'United Republic'!F10+'Universal Life'!F10+Universe!F10+Villanova!F10</f>
        <v>0</v>
      </c>
      <c r="G10" s="30">
        <f t="shared" si="0"/>
        <v>59597037.290497094</v>
      </c>
      <c r="H10" s="30"/>
      <c r="I10" s="30" t="s">
        <v>329</v>
      </c>
      <c r="J10" s="30">
        <f>Summary!TOTAL_88161</f>
        <v>5385941.5099999998</v>
      </c>
    </row>
    <row r="11" spans="1:10">
      <c r="A11" s="1" t="s">
        <v>18</v>
      </c>
      <c r="B11" s="30">
        <f>+'Alabama Life'!B11+'American Chambers'!B11+'American Educators'!B11+'American Integrity'!B11+'Amer Life Asr'!B11+'Amer Std Life Acc'!B11+AmerWstrn!B11+'AMS Life'!B11+'Bankers Commercial'!B11+Benicorp!B11+'Booker T Washington'!B11+Centennial!B11+'Coastal States'!B11+'Confed Life (CLIC)'!B11+'Consolidated National'!B11+'Consumers United'!B11+'Corporate Life'!B11+'Diamond Benefits'!B11+'EBL Life'!B11+'Family Guaranty'!B11+'Fidelity Bankers'!B11+'First Natl'!B11+'Franklin American'!B11+'Franklin Protective'!B11+'George Washington'!B11+'Golden State'!B11+'Guarantee Security'!B11+Imerica!B11+'Inter-American'!B11+'International Fin'!B11+'Investment Life of America'!B11+'Investors Equity'!B11+'Kentucky Central'!B11+Legion!B11+'London Pac'!B11+'Medical Savings'!B11+'Midwest Life'!B11+'Mutual Benefit'!B11+'Mutual Security'!B11+'National Affiliated'!B11+'Natl American'!B11+'New Jersey Life'!B11+'Old Colony Life'!B11+'Old Faithful'!B11+'Pacific Standard'!B11+SeeChange!B11+'States General'!B11+Statesman!B11+'Summit National'!B11+Supreme!B11+Underwriters!B11+Unison!B11+'United Republic'!B11+'Universal Life'!B11+Universe!B11+Villanova!B11</f>
        <v>450343.74700548418</v>
      </c>
      <c r="C11" s="30">
        <f>+'Alabama Life'!C11+'American Chambers'!C11+'American Educators'!C11+'American Integrity'!C11+'Amer Life Asr'!C11+'Amer Std Life Acc'!C11+AmerWstrn!C11+'AMS Life'!C11+'Bankers Commercial'!C11+Benicorp!C11+'Booker T Washington'!C11+Centennial!C11+'Coastal States'!C11+'Confed Life (CLIC)'!C11+'Consolidated National'!C11+'Consumers United'!C11+'Corporate Life'!C11+'Diamond Benefits'!C11+'EBL Life'!C11+'Family Guaranty'!C11+'Fidelity Bankers'!C11+'First Natl'!C11+'Franklin American'!C11+'Franklin Protective'!C11+'George Washington'!C11+'Golden State'!C11+'Guarantee Security'!C11+Imerica!C11+'Inter-American'!C11+'International Fin'!C11+'Investment Life of America'!C11+'Investors Equity'!C11+'Kentucky Central'!C11+Legion!C11+'London Pac'!C11+'Medical Savings'!C11+'Midwest Life'!C11+'Mutual Benefit'!C11+'Mutual Security'!C11+'National Affiliated'!C11+'Natl American'!C11+'New Jersey Life'!C11+'Old Colony Life'!C11+'Old Faithful'!C11+'Pacific Standard'!C11+SeeChange!C11+'States General'!C11+Statesman!C11+'Summit National'!C11+Supreme!C11+Underwriters!C11+Unison!C11+'United Republic'!C11+'Universal Life'!C11+Universe!C11+Villanova!C11</f>
        <v>6365406.9299991541</v>
      </c>
      <c r="D11" s="30">
        <f>+'Alabama Life'!D11+'American Chambers'!D11+'American Educators'!D11+'American Integrity'!D11+'Amer Life Asr'!D11+'Amer Std Life Acc'!D11+AmerWstrn!D11+'AMS Life'!D11+'Bankers Commercial'!D11+Benicorp!D11+'Booker T Washington'!D11+Centennial!D11+'Coastal States'!D11+'Confed Life (CLIC)'!D11+'Consolidated National'!D11+'Consumers United'!D11+'Corporate Life'!D11+'Diamond Benefits'!D11+'EBL Life'!D11+'Family Guaranty'!D11+'Fidelity Bankers'!D11+'First Natl'!D11+'Franklin American'!D11+'Franklin Protective'!D11+'George Washington'!D11+'Golden State'!D11+'Guarantee Security'!D11+Imerica!D11+'Inter-American'!D11+'International Fin'!D11+'Investment Life of America'!D11+'Investors Equity'!D11+'Kentucky Central'!D11+Legion!D11+'London Pac'!D11+'Medical Savings'!D11+'Midwest Life'!D11+'Mutual Benefit'!D11+'Mutual Security'!D11+'National Affiliated'!D11+'Natl American'!D11+'New Jersey Life'!D11+'Old Colony Life'!D11+'Old Faithful'!D11+'Pacific Standard'!D11+SeeChange!D11+'States General'!D11+Statesman!D11+'Summit National'!D11+Supreme!D11+Underwriters!D11+Unison!D11+'United Republic'!D11+'Universal Life'!D11+Universe!D11+Villanova!D11</f>
        <v>7213593.667711609</v>
      </c>
      <c r="E11" s="30">
        <f>+'Alabama Life'!E11+'American Chambers'!E11+'American Educators'!E11+'American Integrity'!E11+'Amer Life Asr'!E11+'Amer Std Life Acc'!E11+AmerWstrn!E11+'AMS Life'!E11+'Bankers Commercial'!E11+Benicorp!E11+'Booker T Washington'!E11+Centennial!E11+'Coastal States'!E11+'Confed Life (CLIC)'!E11+'Consolidated National'!E11+'Consumers United'!E11+'Corporate Life'!E11+'Diamond Benefits'!E11+'EBL Life'!E11+'Family Guaranty'!E11+'Fidelity Bankers'!E11+'First Natl'!E11+'Franklin American'!E11+'Franklin Protective'!E11+'George Washington'!E11+'Golden State'!E11+'Guarantee Security'!E11+Imerica!E11+'Inter-American'!E11+'International Fin'!E11+'Investment Life of America'!E11+'Investors Equity'!E11+'Kentucky Central'!E11+Legion!E11+'London Pac'!E11+'Medical Savings'!E11+'Midwest Life'!E11+'Mutual Benefit'!E11+'Mutual Security'!E11+'National Affiliated'!E11+'Natl American'!E11+'New Jersey Life'!E11+'Old Colony Life'!E11+'Old Faithful'!E11+'Pacific Standard'!E11+SeeChange!E11+'States General'!E11+Statesman!E11+'Summit National'!E11+Supreme!E11+Underwriters!E11+Unison!E11+'United Republic'!E11+'Universal Life'!E11+Universe!E11+Villanova!E11</f>
        <v>0</v>
      </c>
      <c r="F11" s="30">
        <f>+'Alabama Life'!F11+'American Chambers'!F11+'American Educators'!F11+'American Integrity'!F11+'Amer Life Asr'!F11+'Amer Std Life Acc'!F11+AmerWstrn!F11+'AMS Life'!F11+'Bankers Commercial'!F11+Benicorp!F11+'Booker T Washington'!F11+Centennial!F11+'Coastal States'!F11+'Confed Life (CLIC)'!F11+'Consolidated National'!F11+'Consumers United'!F11+'Corporate Life'!F11+'Diamond Benefits'!F11+'EBL Life'!F11+'Family Guaranty'!F11+'Fidelity Bankers'!F11+'First Natl'!F11+'Franklin American'!F11+'Franklin Protective'!F11+'George Washington'!F11+'Golden State'!F11+'Guarantee Security'!F11+Imerica!F11+'Inter-American'!F11+'International Fin'!F11+'Investment Life of America'!F11+'Investors Equity'!F11+'Kentucky Central'!F11+Legion!F11+'London Pac'!F11+'Medical Savings'!F11+'Midwest Life'!F11+'Mutual Benefit'!F11+'Mutual Security'!F11+'National Affiliated'!F11+'Natl American'!F11+'New Jersey Life'!F11+'Old Colony Life'!F11+'Old Faithful'!F11+'Pacific Standard'!F11+SeeChange!F11+'States General'!F11+Statesman!F11+'Summit National'!F11+Supreme!F11+Underwriters!F11+Unison!F11+'United Republic'!F11+'Universal Life'!F11+Universe!F11+Villanova!F11</f>
        <v>0</v>
      </c>
      <c r="G11" s="30">
        <f t="shared" si="0"/>
        <v>14029344.344716247</v>
      </c>
      <c r="H11" s="30"/>
      <c r="I11" s="30" t="s">
        <v>334</v>
      </c>
      <c r="J11" s="30">
        <f>Summary!TOTAL_63452</f>
        <v>8476755.4000000004</v>
      </c>
    </row>
    <row r="12" spans="1:10">
      <c r="A12" s="1" t="s">
        <v>19</v>
      </c>
      <c r="B12" s="30">
        <f>+'Alabama Life'!B12+'American Chambers'!B12+'American Educators'!B12+'American Integrity'!B12+'Amer Life Asr'!B12+'Amer Std Life Acc'!B12+AmerWstrn!B12+'AMS Life'!B12+'Bankers Commercial'!B12+Benicorp!B12+'Booker T Washington'!B12+Centennial!B12+'Coastal States'!B12+'Confed Life (CLIC)'!B12+'Consolidated National'!B12+'Consumers United'!B12+'Corporate Life'!B12+'Diamond Benefits'!B12+'EBL Life'!B12+'Family Guaranty'!B12+'Fidelity Bankers'!B12+'First Natl'!B12+'Franklin American'!B12+'Franklin Protective'!B12+'George Washington'!B12+'Golden State'!B12+'Guarantee Security'!B12+Imerica!B12+'Inter-American'!B12+'International Fin'!B12+'Investment Life of America'!B12+'Investors Equity'!B12+'Kentucky Central'!B12+Legion!B12+'London Pac'!B12+'Medical Savings'!B12+'Midwest Life'!B12+'Mutual Benefit'!B12+'Mutual Security'!B12+'National Affiliated'!B12+'Natl American'!B12+'New Jersey Life'!B12+'Old Colony Life'!B12+'Old Faithful'!B12+'Pacific Standard'!B12+SeeChange!B12+'States General'!B12+Statesman!B12+'Summit National'!B12+Supreme!B12+Underwriters!B12+Unison!B12+'United Republic'!B12+'Universal Life'!B12+Universe!B12+Villanova!B12</f>
        <v>-73167.28600927291</v>
      </c>
      <c r="C12" s="30">
        <f>+'Alabama Life'!C12+'American Chambers'!C12+'American Educators'!C12+'American Integrity'!C12+'Amer Life Asr'!C12+'Amer Std Life Acc'!C12+AmerWstrn!C12+'AMS Life'!C12+'Bankers Commercial'!C12+Benicorp!C12+'Booker T Washington'!C12+Centennial!C12+'Coastal States'!C12+'Confed Life (CLIC)'!C12+'Consolidated National'!C12+'Consumers United'!C12+'Corporate Life'!C12+'Diamond Benefits'!C12+'EBL Life'!C12+'Family Guaranty'!C12+'Fidelity Bankers'!C12+'First Natl'!C12+'Franklin American'!C12+'Franklin Protective'!C12+'George Washington'!C12+'Golden State'!C12+'Guarantee Security'!C12+Imerica!C12+'Inter-American'!C12+'International Fin'!C12+'Investment Life of America'!C12+'Investors Equity'!C12+'Kentucky Central'!C12+Legion!C12+'London Pac'!C12+'Medical Savings'!C12+'Midwest Life'!C12+'Mutual Benefit'!C12+'Mutual Security'!C12+'National Affiliated'!C12+'Natl American'!C12+'New Jersey Life'!C12+'Old Colony Life'!C12+'Old Faithful'!C12+'Pacific Standard'!C12+SeeChange!C12+'States General'!C12+Statesman!C12+'Summit National'!C12+Supreme!C12+Underwriters!C12+Unison!C12+'United Republic'!C12+'Universal Life'!C12+Universe!C12+Villanova!C12</f>
        <v>89091.929031095671</v>
      </c>
      <c r="D12" s="30">
        <f>+'Alabama Life'!D12+'American Chambers'!D12+'American Educators'!D12+'American Integrity'!D12+'Amer Life Asr'!D12+'Amer Std Life Acc'!D12+AmerWstrn!D12+'AMS Life'!D12+'Bankers Commercial'!D12+Benicorp!D12+'Booker T Washington'!D12+Centennial!D12+'Coastal States'!D12+'Confed Life (CLIC)'!D12+'Consolidated National'!D12+'Consumers United'!D12+'Corporate Life'!D12+'Diamond Benefits'!D12+'EBL Life'!D12+'Family Guaranty'!D12+'Fidelity Bankers'!D12+'First Natl'!D12+'Franklin American'!D12+'Franklin Protective'!D12+'George Washington'!D12+'Golden State'!D12+'Guarantee Security'!D12+Imerica!D12+'Inter-American'!D12+'International Fin'!D12+'Investment Life of America'!D12+'Investors Equity'!D12+'Kentucky Central'!D12+Legion!D12+'London Pac'!D12+'Medical Savings'!D12+'Midwest Life'!D12+'Mutual Benefit'!D12+'Mutual Security'!D12+'National Affiliated'!D12+'Natl American'!D12+'New Jersey Life'!D12+'Old Colony Life'!D12+'Old Faithful'!D12+'Pacific Standard'!D12+SeeChange!D12+'States General'!D12+Statesman!D12+'Summit National'!D12+Supreme!D12+Underwriters!D12+Unison!D12+'United Republic'!D12+'Universal Life'!D12+Universe!D12+Villanova!D12</f>
        <v>17578.526200287175</v>
      </c>
      <c r="E12" s="30">
        <f>+'Alabama Life'!E12+'American Chambers'!E12+'American Educators'!E12+'American Integrity'!E12+'Amer Life Asr'!E12+'Amer Std Life Acc'!E12+AmerWstrn!E12+'AMS Life'!E12+'Bankers Commercial'!E12+Benicorp!E12+'Booker T Washington'!E12+Centennial!E12+'Coastal States'!E12+'Confed Life (CLIC)'!E12+'Consolidated National'!E12+'Consumers United'!E12+'Corporate Life'!E12+'Diamond Benefits'!E12+'EBL Life'!E12+'Family Guaranty'!E12+'Fidelity Bankers'!E12+'First Natl'!E12+'Franklin American'!E12+'Franklin Protective'!E12+'George Washington'!E12+'Golden State'!E12+'Guarantee Security'!E12+Imerica!E12+'Inter-American'!E12+'International Fin'!E12+'Investment Life of America'!E12+'Investors Equity'!E12+'Kentucky Central'!E12+Legion!E12+'London Pac'!E12+'Medical Savings'!E12+'Midwest Life'!E12+'Mutual Benefit'!E12+'Mutual Security'!E12+'National Affiliated'!E12+'Natl American'!E12+'New Jersey Life'!E12+'Old Colony Life'!E12+'Old Faithful'!E12+'Pacific Standard'!E12+SeeChange!E12+'States General'!E12+Statesman!E12+'Summit National'!E12+Supreme!E12+Underwriters!E12+Unison!E12+'United Republic'!E12+'Universal Life'!E12+Universe!E12+Villanova!E12</f>
        <v>-1407.829435692176</v>
      </c>
      <c r="F12" s="30">
        <f>+'Alabama Life'!F12+'American Chambers'!F12+'American Educators'!F12+'American Integrity'!F12+'Amer Life Asr'!F12+'Amer Std Life Acc'!F12+AmerWstrn!F12+'AMS Life'!F12+'Bankers Commercial'!F12+Benicorp!F12+'Booker T Washington'!F12+Centennial!F12+'Coastal States'!F12+'Confed Life (CLIC)'!F12+'Consolidated National'!F12+'Consumers United'!F12+'Corporate Life'!F12+'Diamond Benefits'!F12+'EBL Life'!F12+'Family Guaranty'!F12+'Fidelity Bankers'!F12+'First Natl'!F12+'Franklin American'!F12+'Franklin Protective'!F12+'George Washington'!F12+'Golden State'!F12+'Guarantee Security'!F12+Imerica!F12+'Inter-American'!F12+'International Fin'!F12+'Investment Life of America'!F12+'Investors Equity'!F12+'Kentucky Central'!F12+Legion!F12+'London Pac'!F12+'Medical Savings'!F12+'Midwest Life'!F12+'Mutual Benefit'!F12+'Mutual Security'!F12+'National Affiliated'!F12+'Natl American'!F12+'New Jersey Life'!F12+'Old Colony Life'!F12+'Old Faithful'!F12+'Pacific Standard'!F12+SeeChange!F12+'States General'!F12+Statesman!F12+'Summit National'!F12+Supreme!F12+Underwriters!F12+Unison!F12+'United Republic'!F12+'Universal Life'!F12+Universe!F12+Villanova!F12</f>
        <v>0</v>
      </c>
      <c r="G12" s="30">
        <f t="shared" si="0"/>
        <v>32095.33978641776</v>
      </c>
      <c r="H12" s="30"/>
      <c r="I12" s="30" t="s">
        <v>339</v>
      </c>
      <c r="J12" s="30">
        <f>Summary!TOTAL_60917</f>
        <v>-136052.00999999919</v>
      </c>
    </row>
    <row r="13" spans="1:10">
      <c r="A13" s="1" t="s">
        <v>21</v>
      </c>
      <c r="B13" s="30">
        <f>+'Alabama Life'!B13+'American Chambers'!B13+'American Educators'!B13+'American Integrity'!B13+'Amer Life Asr'!B13+'Amer Std Life Acc'!B13+AmerWstrn!B13+'AMS Life'!B13+'Bankers Commercial'!B13+Benicorp!B13+'Booker T Washington'!B13+Centennial!B13+'Coastal States'!B13+'Confed Life (CLIC)'!B13+'Consolidated National'!B13+'Consumers United'!B13+'Corporate Life'!B13+'Diamond Benefits'!B13+'EBL Life'!B13+'Family Guaranty'!B13+'Fidelity Bankers'!B13+'First Natl'!B13+'Franklin American'!B13+'Franklin Protective'!B13+'George Washington'!B13+'Golden State'!B13+'Guarantee Security'!B13+Imerica!B13+'Inter-American'!B13+'International Fin'!B13+'Investment Life of America'!B13+'Investors Equity'!B13+'Kentucky Central'!B13+Legion!B13+'London Pac'!B13+'Medical Savings'!B13+'Midwest Life'!B13+'Mutual Benefit'!B13+'Mutual Security'!B13+'National Affiliated'!B13+'Natl American'!B13+'New Jersey Life'!B13+'Old Colony Life'!B13+'Old Faithful'!B13+'Pacific Standard'!B13+SeeChange!B13+'States General'!B13+Statesman!B13+'Summit National'!B13+Supreme!B13+Underwriters!B13+Unison!B13+'United Republic'!B13+'Universal Life'!B13+Universe!B13+Villanova!B13</f>
        <v>441144.69148477359</v>
      </c>
      <c r="C13" s="30">
        <f>+'Alabama Life'!C13+'American Chambers'!C13+'American Educators'!C13+'American Integrity'!C13+'Amer Life Asr'!C13+'Amer Std Life Acc'!C13+AmerWstrn!C13+'AMS Life'!C13+'Bankers Commercial'!C13+Benicorp!C13+'Booker T Washington'!C13+Centennial!C13+'Coastal States'!C13+'Confed Life (CLIC)'!C13+'Consolidated National'!C13+'Consumers United'!C13+'Corporate Life'!C13+'Diamond Benefits'!C13+'EBL Life'!C13+'Family Guaranty'!C13+'Fidelity Bankers'!C13+'First Natl'!C13+'Franklin American'!C13+'Franklin Protective'!C13+'George Washington'!C13+'Golden State'!C13+'Guarantee Security'!C13+Imerica!C13+'Inter-American'!C13+'International Fin'!C13+'Investment Life of America'!C13+'Investors Equity'!C13+'Kentucky Central'!C13+Legion!C13+'London Pac'!C13+'Medical Savings'!C13+'Midwest Life'!C13+'Mutual Benefit'!C13+'Mutual Security'!C13+'National Affiliated'!C13+'Natl American'!C13+'New Jersey Life'!C13+'Old Colony Life'!C13+'Old Faithful'!C13+'Pacific Standard'!C13+SeeChange!C13+'States General'!C13+Statesman!C13+'Summit National'!C13+Supreme!C13+Underwriters!C13+Unison!C13+'United Republic'!C13+'Universal Life'!C13+Universe!C13+Villanova!C13</f>
        <v>3459803.9240132347</v>
      </c>
      <c r="D13" s="30">
        <f>+'Alabama Life'!D13+'American Chambers'!D13+'American Educators'!D13+'American Integrity'!D13+'Amer Life Asr'!D13+'Amer Std Life Acc'!D13+AmerWstrn!D13+'AMS Life'!D13+'Bankers Commercial'!D13+Benicorp!D13+'Booker T Washington'!D13+Centennial!D13+'Coastal States'!D13+'Confed Life (CLIC)'!D13+'Consolidated National'!D13+'Consumers United'!D13+'Corporate Life'!D13+'Diamond Benefits'!D13+'EBL Life'!D13+'Family Guaranty'!D13+'Fidelity Bankers'!D13+'First Natl'!D13+'Franklin American'!D13+'Franklin Protective'!D13+'George Washington'!D13+'Golden State'!D13+'Guarantee Security'!D13+Imerica!D13+'Inter-American'!D13+'International Fin'!D13+'Investment Life of America'!D13+'Investors Equity'!D13+'Kentucky Central'!D13+Legion!D13+'London Pac'!D13+'Medical Savings'!D13+'Midwest Life'!D13+'Mutual Benefit'!D13+'Mutual Security'!D13+'National Affiliated'!D13+'Natl American'!D13+'New Jersey Life'!D13+'Old Colony Life'!D13+'Old Faithful'!D13+'Pacific Standard'!D13+SeeChange!D13+'States General'!D13+Statesman!D13+'Summit National'!D13+Supreme!D13+Underwriters!D13+Unison!D13+'United Republic'!D13+'Universal Life'!D13+Universe!D13+Villanova!D13</f>
        <v>1458330.1601379274</v>
      </c>
      <c r="E13" s="30">
        <f>+'Alabama Life'!E13+'American Chambers'!E13+'American Educators'!E13+'American Integrity'!E13+'Amer Life Asr'!E13+'Amer Std Life Acc'!E13+AmerWstrn!E13+'AMS Life'!E13+'Bankers Commercial'!E13+Benicorp!E13+'Booker T Washington'!E13+Centennial!E13+'Coastal States'!E13+'Confed Life (CLIC)'!E13+'Consolidated National'!E13+'Consumers United'!E13+'Corporate Life'!E13+'Diamond Benefits'!E13+'EBL Life'!E13+'Family Guaranty'!E13+'Fidelity Bankers'!E13+'First Natl'!E13+'Franklin American'!E13+'Franklin Protective'!E13+'George Washington'!E13+'Golden State'!E13+'Guarantee Security'!E13+Imerica!E13+'Inter-American'!E13+'International Fin'!E13+'Investment Life of America'!E13+'Investors Equity'!E13+'Kentucky Central'!E13+Legion!E13+'London Pac'!E13+'Medical Savings'!E13+'Midwest Life'!E13+'Mutual Benefit'!E13+'Mutual Security'!E13+'National Affiliated'!E13+'Natl American'!E13+'New Jersey Life'!E13+'Old Colony Life'!E13+'Old Faithful'!E13+'Pacific Standard'!E13+SeeChange!E13+'States General'!E13+Statesman!E13+'Summit National'!E13+Supreme!E13+Underwriters!E13+Unison!E13+'United Republic'!E13+'Universal Life'!E13+Universe!E13+Villanova!E13</f>
        <v>232397.14395572752</v>
      </c>
      <c r="F13" s="30">
        <f>+'Alabama Life'!F13+'American Chambers'!F13+'American Educators'!F13+'American Integrity'!F13+'Amer Life Asr'!F13+'Amer Std Life Acc'!F13+AmerWstrn!F13+'AMS Life'!F13+'Bankers Commercial'!F13+Benicorp!F13+'Booker T Washington'!F13+Centennial!F13+'Coastal States'!F13+'Confed Life (CLIC)'!F13+'Consolidated National'!F13+'Consumers United'!F13+'Corporate Life'!F13+'Diamond Benefits'!F13+'EBL Life'!F13+'Family Guaranty'!F13+'Fidelity Bankers'!F13+'First Natl'!F13+'Franklin American'!F13+'Franklin Protective'!F13+'George Washington'!F13+'Golden State'!F13+'Guarantee Security'!F13+Imerica!F13+'Inter-American'!F13+'International Fin'!F13+'Investment Life of America'!F13+'Investors Equity'!F13+'Kentucky Central'!F13+Legion!F13+'London Pac'!F13+'Medical Savings'!F13+'Midwest Life'!F13+'Mutual Benefit'!F13+'Mutual Security'!F13+'National Affiliated'!F13+'Natl American'!F13+'New Jersey Life'!F13+'Old Colony Life'!F13+'Old Faithful'!F13+'Pacific Standard'!F13+SeeChange!F13+'States General'!F13+Statesman!F13+'Summit National'!F13+Supreme!F13+Underwriters!F13+Unison!F13+'United Republic'!F13+'Universal Life'!F13+Universe!F13+Villanova!F13</f>
        <v>0</v>
      </c>
      <c r="G13" s="30">
        <f t="shared" si="0"/>
        <v>5591675.9195916625</v>
      </c>
      <c r="H13" s="30"/>
      <c r="I13" s="30" t="s">
        <v>345</v>
      </c>
      <c r="J13" s="30">
        <f>Summary!TOTAL_86142</f>
        <v>33226067.66</v>
      </c>
    </row>
    <row r="14" spans="1:10">
      <c r="A14" s="1" t="s">
        <v>23</v>
      </c>
      <c r="B14" s="30">
        <f>+'Alabama Life'!B14+'American Chambers'!B14+'American Educators'!B14+'American Integrity'!B14+'Amer Life Asr'!B14+'Amer Std Life Acc'!B14+AmerWstrn!B14+'AMS Life'!B14+'Bankers Commercial'!B14+Benicorp!B14+'Booker T Washington'!B14+Centennial!B14+'Coastal States'!B14+'Confed Life (CLIC)'!B14+'Consolidated National'!B14+'Consumers United'!B14+'Corporate Life'!B14+'Diamond Benefits'!B14+'EBL Life'!B14+'Family Guaranty'!B14+'Fidelity Bankers'!B14+'First Natl'!B14+'Franklin American'!B14+'Franklin Protective'!B14+'George Washington'!B14+'Golden State'!B14+'Guarantee Security'!B14+Imerica!B14+'Inter-American'!B14+'International Fin'!B14+'Investment Life of America'!B14+'Investors Equity'!B14+'Kentucky Central'!B14+Legion!B14+'London Pac'!B14+'Medical Savings'!B14+'Midwest Life'!B14+'Mutual Benefit'!B14+'Mutual Security'!B14+'National Affiliated'!B14+'Natl American'!B14+'New Jersey Life'!B14+'Old Colony Life'!B14+'Old Faithful'!B14+'Pacific Standard'!B14+SeeChange!B14+'States General'!B14+Statesman!B14+'Summit National'!B14+Supreme!B14+Underwriters!B14+Unison!B14+'United Republic'!B14+'Universal Life'!B14+Universe!B14+Villanova!B14</f>
        <v>75633.163490748862</v>
      </c>
      <c r="C14" s="30">
        <f>+'Alabama Life'!C14+'American Chambers'!C14+'American Educators'!C14+'American Integrity'!C14+'Amer Life Asr'!C14+'Amer Std Life Acc'!C14+AmerWstrn!C14+'AMS Life'!C14+'Bankers Commercial'!C14+Benicorp!C14+'Booker T Washington'!C14+Centennial!C14+'Coastal States'!C14+'Confed Life (CLIC)'!C14+'Consolidated National'!C14+'Consumers United'!C14+'Corporate Life'!C14+'Diamond Benefits'!C14+'EBL Life'!C14+'Family Guaranty'!C14+'Fidelity Bankers'!C14+'First Natl'!C14+'Franklin American'!C14+'Franklin Protective'!C14+'George Washington'!C14+'Golden State'!C14+'Guarantee Security'!C14+Imerica!C14+'Inter-American'!C14+'International Fin'!C14+'Investment Life of America'!C14+'Investors Equity'!C14+'Kentucky Central'!C14+Legion!C14+'London Pac'!C14+'Medical Savings'!C14+'Midwest Life'!C14+'Mutual Benefit'!C14+'Mutual Security'!C14+'National Affiliated'!C14+'Natl American'!C14+'New Jersey Life'!C14+'Old Colony Life'!C14+'Old Faithful'!C14+'Pacific Standard'!C14+SeeChange!C14+'States General'!C14+Statesman!C14+'Summit National'!C14+Supreme!C14+Underwriters!C14+Unison!C14+'United Republic'!C14+'Universal Life'!C14+Universe!C14+Villanova!C14</f>
        <v>104938.51670552044</v>
      </c>
      <c r="D14" s="30">
        <f>+'Alabama Life'!D14+'American Chambers'!D14+'American Educators'!D14+'American Integrity'!D14+'Amer Life Asr'!D14+'Amer Std Life Acc'!D14+AmerWstrn!D14+'AMS Life'!D14+'Bankers Commercial'!D14+Benicorp!D14+'Booker T Washington'!D14+Centennial!D14+'Coastal States'!D14+'Confed Life (CLIC)'!D14+'Consolidated National'!D14+'Consumers United'!D14+'Corporate Life'!D14+'Diamond Benefits'!D14+'EBL Life'!D14+'Family Guaranty'!D14+'Fidelity Bankers'!D14+'First Natl'!D14+'Franklin American'!D14+'Franklin Protective'!D14+'George Washington'!D14+'Golden State'!D14+'Guarantee Security'!D14+Imerica!D14+'Inter-American'!D14+'International Fin'!D14+'Investment Life of America'!D14+'Investors Equity'!D14+'Kentucky Central'!D14+Legion!D14+'London Pac'!D14+'Medical Savings'!D14+'Midwest Life'!D14+'Mutual Benefit'!D14+'Mutual Security'!D14+'National Affiliated'!D14+'Natl American'!D14+'New Jersey Life'!D14+'Old Colony Life'!D14+'Old Faithful'!D14+'Pacific Standard'!D14+SeeChange!D14+'States General'!D14+Statesman!D14+'Summit National'!D14+Supreme!D14+Underwriters!D14+Unison!D14+'United Republic'!D14+'Universal Life'!D14+Universe!D14+Villanova!D14</f>
        <v>-5291.685714250505</v>
      </c>
      <c r="E14" s="30">
        <f>+'Alabama Life'!E14+'American Chambers'!E14+'American Educators'!E14+'American Integrity'!E14+'Amer Life Asr'!E14+'Amer Std Life Acc'!E14+AmerWstrn!E14+'AMS Life'!E14+'Bankers Commercial'!E14+Benicorp!E14+'Booker T Washington'!E14+Centennial!E14+'Coastal States'!E14+'Confed Life (CLIC)'!E14+'Consolidated National'!E14+'Consumers United'!E14+'Corporate Life'!E14+'Diamond Benefits'!E14+'EBL Life'!E14+'Family Guaranty'!E14+'Fidelity Bankers'!E14+'First Natl'!E14+'Franklin American'!E14+'Franklin Protective'!E14+'George Washington'!E14+'Golden State'!E14+'Guarantee Security'!E14+Imerica!E14+'Inter-American'!E14+'International Fin'!E14+'Investment Life of America'!E14+'Investors Equity'!E14+'Kentucky Central'!E14+Legion!E14+'London Pac'!E14+'Medical Savings'!E14+'Midwest Life'!E14+'Mutual Benefit'!E14+'Mutual Security'!E14+'National Affiliated'!E14+'Natl American'!E14+'New Jersey Life'!E14+'Old Colony Life'!E14+'Old Faithful'!E14+'Pacific Standard'!E14+SeeChange!E14+'States General'!E14+Statesman!E14+'Summit National'!E14+Supreme!E14+Underwriters!E14+Unison!E14+'United Republic'!E14+'Universal Life'!E14+Universe!E14+Villanova!E14</f>
        <v>0</v>
      </c>
      <c r="F14" s="30">
        <f>+'Alabama Life'!F14+'American Chambers'!F14+'American Educators'!F14+'American Integrity'!F14+'Amer Life Asr'!F14+'Amer Std Life Acc'!F14+AmerWstrn!F14+'AMS Life'!F14+'Bankers Commercial'!F14+Benicorp!F14+'Booker T Washington'!F14+Centennial!F14+'Coastal States'!F14+'Confed Life (CLIC)'!F14+'Consolidated National'!F14+'Consumers United'!F14+'Corporate Life'!F14+'Diamond Benefits'!F14+'EBL Life'!F14+'Family Guaranty'!F14+'Fidelity Bankers'!F14+'First Natl'!F14+'Franklin American'!F14+'Franklin Protective'!F14+'George Washington'!F14+'Golden State'!F14+'Guarantee Security'!F14+Imerica!F14+'Inter-American'!F14+'International Fin'!F14+'Investment Life of America'!F14+'Investors Equity'!F14+'Kentucky Central'!F14+Legion!F14+'London Pac'!F14+'Medical Savings'!F14+'Midwest Life'!F14+'Mutual Benefit'!F14+'Mutual Security'!F14+'National Affiliated'!F14+'Natl American'!F14+'New Jersey Life'!F14+'Old Colony Life'!F14+'Old Faithful'!F14+'Pacific Standard'!F14+SeeChange!F14+'States General'!F14+Statesman!F14+'Summit National'!F14+Supreme!F14+Underwriters!F14+Unison!F14+'United Republic'!F14+'Universal Life'!F14+Universe!F14+Villanova!F14</f>
        <v>0</v>
      </c>
      <c r="G14" s="30">
        <f t="shared" si="0"/>
        <v>175279.99448201878</v>
      </c>
      <c r="H14" s="30"/>
      <c r="I14" s="30" t="s">
        <v>350</v>
      </c>
      <c r="J14" s="30">
        <f>Summary!TOTAL_61220</f>
        <v>13836653.639999999</v>
      </c>
    </row>
    <row r="15" spans="1:10">
      <c r="A15" s="1" t="s">
        <v>25</v>
      </c>
      <c r="B15" s="30">
        <f>+'Alabama Life'!B15+'American Chambers'!B15+'American Educators'!B15+'American Integrity'!B15+'Amer Life Asr'!B15+'Amer Std Life Acc'!B15+AmerWstrn!B15+'AMS Life'!B15+'Bankers Commercial'!B15+Benicorp!B15+'Booker T Washington'!B15+Centennial!B15+'Coastal States'!B15+'Confed Life (CLIC)'!B15+'Consolidated National'!B15+'Consumers United'!B15+'Corporate Life'!B15+'Diamond Benefits'!B15+'EBL Life'!B15+'Family Guaranty'!B15+'Fidelity Bankers'!B15+'First Natl'!B15+'Franklin American'!B15+'Franklin Protective'!B15+'George Washington'!B15+'Golden State'!B15+'Guarantee Security'!B15+Imerica!B15+'Inter-American'!B15+'International Fin'!B15+'Investment Life of America'!B15+'Investors Equity'!B15+'Kentucky Central'!B15+Legion!B15+'London Pac'!B15+'Medical Savings'!B15+'Midwest Life'!B15+'Mutual Benefit'!B15+'Mutual Security'!B15+'National Affiliated'!B15+'Natl American'!B15+'New Jersey Life'!B15+'Old Colony Life'!B15+'Old Faithful'!B15+'Pacific Standard'!B15+SeeChange!B15+'States General'!B15+Statesman!B15+'Summit National'!B15+Supreme!B15+Underwriters!B15+Unison!B15+'United Republic'!B15+'Universal Life'!B15+Universe!B15+Villanova!B15</f>
        <v>14936096.749920418</v>
      </c>
      <c r="C15" s="30">
        <f>+'Alabama Life'!C15+'American Chambers'!C15+'American Educators'!C15+'American Integrity'!C15+'Amer Life Asr'!C15+'Amer Std Life Acc'!C15+AmerWstrn!C15+'AMS Life'!C15+'Bankers Commercial'!C15+Benicorp!C15+'Booker T Washington'!C15+Centennial!C15+'Coastal States'!C15+'Confed Life (CLIC)'!C15+'Consolidated National'!C15+'Consumers United'!C15+'Corporate Life'!C15+'Diamond Benefits'!C15+'EBL Life'!C15+'Family Guaranty'!C15+'Fidelity Bankers'!C15+'First Natl'!C15+'Franklin American'!C15+'Franklin Protective'!C15+'George Washington'!C15+'Golden State'!C15+'Guarantee Security'!C15+Imerica!C15+'Inter-American'!C15+'International Fin'!C15+'Investment Life of America'!C15+'Investors Equity'!C15+'Kentucky Central'!C15+Legion!C15+'London Pac'!C15+'Medical Savings'!C15+'Midwest Life'!C15+'Mutual Benefit'!C15+'Mutual Security'!C15+'National Affiliated'!C15+'Natl American'!C15+'New Jersey Life'!C15+'Old Colony Life'!C15+'Old Faithful'!C15+'Pacific Standard'!C15+SeeChange!C15+'States General'!C15+Statesman!C15+'Summit National'!C15+Supreme!C15+Underwriters!C15+Unison!C15+'United Republic'!C15+'Universal Life'!C15+Universe!C15+Villanova!C15</f>
        <v>45482727.628281675</v>
      </c>
      <c r="D15" s="30">
        <f>+'Alabama Life'!D15+'American Chambers'!D15+'American Educators'!D15+'American Integrity'!D15+'Amer Life Asr'!D15+'Amer Std Life Acc'!D15+AmerWstrn!D15+'AMS Life'!D15+'Bankers Commercial'!D15+Benicorp!D15+'Booker T Washington'!D15+Centennial!D15+'Coastal States'!D15+'Confed Life (CLIC)'!D15+'Consolidated National'!D15+'Consumers United'!D15+'Corporate Life'!D15+'Diamond Benefits'!D15+'EBL Life'!D15+'Family Guaranty'!D15+'Fidelity Bankers'!D15+'First Natl'!D15+'Franklin American'!D15+'Franklin Protective'!D15+'George Washington'!D15+'Golden State'!D15+'Guarantee Security'!D15+Imerica!D15+'Inter-American'!D15+'International Fin'!D15+'Investment Life of America'!D15+'Investors Equity'!D15+'Kentucky Central'!D15+Legion!D15+'London Pac'!D15+'Medical Savings'!D15+'Midwest Life'!D15+'Mutual Benefit'!D15+'Mutual Security'!D15+'National Affiliated'!D15+'Natl American'!D15+'New Jersey Life'!D15+'Old Colony Life'!D15+'Old Faithful'!D15+'Pacific Standard'!D15+SeeChange!D15+'States General'!D15+Statesman!D15+'Summit National'!D15+Supreme!D15+Underwriters!D15+Unison!D15+'United Republic'!D15+'Universal Life'!D15+Universe!D15+Villanova!D15</f>
        <v>22094699.131227434</v>
      </c>
      <c r="E15" s="30">
        <f>+'Alabama Life'!E15+'American Chambers'!E15+'American Educators'!E15+'American Integrity'!E15+'Amer Life Asr'!E15+'Amer Std Life Acc'!E15+AmerWstrn!E15+'AMS Life'!E15+'Bankers Commercial'!E15+Benicorp!E15+'Booker T Washington'!E15+Centennial!E15+'Coastal States'!E15+'Confed Life (CLIC)'!E15+'Consolidated National'!E15+'Consumers United'!E15+'Corporate Life'!E15+'Diamond Benefits'!E15+'EBL Life'!E15+'Family Guaranty'!E15+'Fidelity Bankers'!E15+'First Natl'!E15+'Franklin American'!E15+'Franklin Protective'!E15+'George Washington'!E15+'Golden State'!E15+'Guarantee Security'!E15+Imerica!E15+'Inter-American'!E15+'International Fin'!E15+'Investment Life of America'!E15+'Investors Equity'!E15+'Kentucky Central'!E15+Legion!E15+'London Pac'!E15+'Medical Savings'!E15+'Midwest Life'!E15+'Mutual Benefit'!E15+'Mutual Security'!E15+'National Affiliated'!E15+'Natl American'!E15+'New Jersey Life'!E15+'Old Colony Life'!E15+'Old Faithful'!E15+'Pacific Standard'!E15+SeeChange!E15+'States General'!E15+Statesman!E15+'Summit National'!E15+Supreme!E15+Underwriters!E15+Unison!E15+'United Republic'!E15+'Universal Life'!E15+Universe!E15+Villanova!E15</f>
        <v>5811.7582404316236</v>
      </c>
      <c r="F15" s="30">
        <f>+'Alabama Life'!F15+'American Chambers'!F15+'American Educators'!F15+'American Integrity'!F15+'Amer Life Asr'!F15+'Amer Std Life Acc'!F15+AmerWstrn!F15+'AMS Life'!F15+'Bankers Commercial'!F15+Benicorp!F15+'Booker T Washington'!F15+Centennial!F15+'Coastal States'!F15+'Confed Life (CLIC)'!F15+'Consolidated National'!F15+'Consumers United'!F15+'Corporate Life'!F15+'Diamond Benefits'!F15+'EBL Life'!F15+'Family Guaranty'!F15+'Fidelity Bankers'!F15+'First Natl'!F15+'Franklin American'!F15+'Franklin Protective'!F15+'George Washington'!F15+'Golden State'!F15+'Guarantee Security'!F15+Imerica!F15+'Inter-American'!F15+'International Fin'!F15+'Investment Life of America'!F15+'Investors Equity'!F15+'Kentucky Central'!F15+Legion!F15+'London Pac'!F15+'Medical Savings'!F15+'Midwest Life'!F15+'Mutual Benefit'!F15+'Mutual Security'!F15+'National Affiliated'!F15+'Natl American'!F15+'New Jersey Life'!F15+'Old Colony Life'!F15+'Old Faithful'!F15+'Pacific Standard'!F15+SeeChange!F15+'States General'!F15+Statesman!F15+'Summit National'!F15+Supreme!F15+Underwriters!F15+Unison!F15+'United Republic'!F15+'Universal Life'!F15+Universe!F15+Villanova!F15</f>
        <v>0</v>
      </c>
      <c r="G15" s="30">
        <f t="shared" si="0"/>
        <v>82519335.267669961</v>
      </c>
      <c r="H15" s="30"/>
      <c r="I15" s="30" t="s">
        <v>356</v>
      </c>
      <c r="J15" s="30">
        <f>Summary!TOTAL_69752</f>
        <v>26446527.110988945</v>
      </c>
    </row>
    <row r="16" spans="1:10">
      <c r="A16" s="1" t="s">
        <v>27</v>
      </c>
      <c r="B16" s="30">
        <f>+'Alabama Life'!B16+'American Chambers'!B16+'American Educators'!B16+'American Integrity'!B16+'Amer Life Asr'!B16+'Amer Std Life Acc'!B16+AmerWstrn!B16+'AMS Life'!B16+'Bankers Commercial'!B16+Benicorp!B16+'Booker T Washington'!B16+Centennial!B16+'Coastal States'!B16+'Confed Life (CLIC)'!B16+'Consolidated National'!B16+'Consumers United'!B16+'Corporate Life'!B16+'Diamond Benefits'!B16+'EBL Life'!B16+'Family Guaranty'!B16+'Fidelity Bankers'!B16+'First Natl'!B16+'Franklin American'!B16+'Franklin Protective'!B16+'George Washington'!B16+'Golden State'!B16+'Guarantee Security'!B16+Imerica!B16+'Inter-American'!B16+'International Fin'!B16+'Investment Life of America'!B16+'Investors Equity'!B16+'Kentucky Central'!B16+Legion!B16+'London Pac'!B16+'Medical Savings'!B16+'Midwest Life'!B16+'Mutual Benefit'!B16+'Mutual Security'!B16+'National Affiliated'!B16+'Natl American'!B16+'New Jersey Life'!B16+'Old Colony Life'!B16+'Old Faithful'!B16+'Pacific Standard'!B16+SeeChange!B16+'States General'!B16+Statesman!B16+'Summit National'!B16+Supreme!B16+Underwriters!B16+Unison!B16+'United Republic'!B16+'Universal Life'!B16+Universe!B16+Villanova!B16</f>
        <v>2304860.0355696934</v>
      </c>
      <c r="C16" s="30">
        <f>+'Alabama Life'!C16+'American Chambers'!C16+'American Educators'!C16+'American Integrity'!C16+'Amer Life Asr'!C16+'Amer Std Life Acc'!C16+AmerWstrn!C16+'AMS Life'!C16+'Bankers Commercial'!C16+Benicorp!C16+'Booker T Washington'!C16+Centennial!C16+'Coastal States'!C16+'Confed Life (CLIC)'!C16+'Consolidated National'!C16+'Consumers United'!C16+'Corporate Life'!C16+'Diamond Benefits'!C16+'EBL Life'!C16+'Family Guaranty'!C16+'Fidelity Bankers'!C16+'First Natl'!C16+'Franklin American'!C16+'Franklin Protective'!C16+'George Washington'!C16+'Golden State'!C16+'Guarantee Security'!C16+Imerica!C16+'Inter-American'!C16+'International Fin'!C16+'Investment Life of America'!C16+'Investors Equity'!C16+'Kentucky Central'!C16+Legion!C16+'London Pac'!C16+'Medical Savings'!C16+'Midwest Life'!C16+'Mutual Benefit'!C16+'Mutual Security'!C16+'National Affiliated'!C16+'Natl American'!C16+'New Jersey Life'!C16+'Old Colony Life'!C16+'Old Faithful'!C16+'Pacific Standard'!C16+SeeChange!C16+'States General'!C16+Statesman!C16+'Summit National'!C16+Supreme!C16+Underwriters!C16+Unison!C16+'United Republic'!C16+'Universal Life'!C16+Universe!C16+Villanova!C16</f>
        <v>5599534.3558879867</v>
      </c>
      <c r="D16" s="30">
        <f>+'Alabama Life'!D16+'American Chambers'!D16+'American Educators'!D16+'American Integrity'!D16+'Amer Life Asr'!D16+'Amer Std Life Acc'!D16+AmerWstrn!D16+'AMS Life'!D16+'Bankers Commercial'!D16+Benicorp!D16+'Booker T Washington'!D16+Centennial!D16+'Coastal States'!D16+'Confed Life (CLIC)'!D16+'Consolidated National'!D16+'Consumers United'!D16+'Corporate Life'!D16+'Diamond Benefits'!D16+'EBL Life'!D16+'Family Guaranty'!D16+'Fidelity Bankers'!D16+'First Natl'!D16+'Franklin American'!D16+'Franklin Protective'!D16+'George Washington'!D16+'Golden State'!D16+'Guarantee Security'!D16+Imerica!D16+'Inter-American'!D16+'International Fin'!D16+'Investment Life of America'!D16+'Investors Equity'!D16+'Kentucky Central'!D16+Legion!D16+'London Pac'!D16+'Medical Savings'!D16+'Midwest Life'!D16+'Mutual Benefit'!D16+'Mutual Security'!D16+'National Affiliated'!D16+'Natl American'!D16+'New Jersey Life'!D16+'Old Colony Life'!D16+'Old Faithful'!D16+'Pacific Standard'!D16+SeeChange!D16+'States General'!D16+Statesman!D16+'Summit National'!D16+Supreme!D16+Underwriters!D16+Unison!D16+'United Republic'!D16+'Universal Life'!D16+Universe!D16+Villanova!D16</f>
        <v>8594641.7402578425</v>
      </c>
      <c r="E16" s="30">
        <f>+'Alabama Life'!E16+'American Chambers'!E16+'American Educators'!E16+'American Integrity'!E16+'Amer Life Asr'!E16+'Amer Std Life Acc'!E16+AmerWstrn!E16+'AMS Life'!E16+'Bankers Commercial'!E16+Benicorp!E16+'Booker T Washington'!E16+Centennial!E16+'Coastal States'!E16+'Confed Life (CLIC)'!E16+'Consolidated National'!E16+'Consumers United'!E16+'Corporate Life'!E16+'Diamond Benefits'!E16+'EBL Life'!E16+'Family Guaranty'!E16+'Fidelity Bankers'!E16+'First Natl'!E16+'Franklin American'!E16+'Franklin Protective'!E16+'George Washington'!E16+'Golden State'!E16+'Guarantee Security'!E16+Imerica!E16+'Inter-American'!E16+'International Fin'!E16+'Investment Life of America'!E16+'Investors Equity'!E16+'Kentucky Central'!E16+Legion!E16+'London Pac'!E16+'Medical Savings'!E16+'Midwest Life'!E16+'Mutual Benefit'!E16+'Mutual Security'!E16+'National Affiliated'!E16+'Natl American'!E16+'New Jersey Life'!E16+'Old Colony Life'!E16+'Old Faithful'!E16+'Pacific Standard'!E16+SeeChange!E16+'States General'!E16+Statesman!E16+'Summit National'!E16+Supreme!E16+Underwriters!E16+Unison!E16+'United Republic'!E16+'Universal Life'!E16+Universe!E16+Villanova!E16</f>
        <v>112616.9169860003</v>
      </c>
      <c r="F16" s="30">
        <f>+'Alabama Life'!F16+'American Chambers'!F16+'American Educators'!F16+'American Integrity'!F16+'Amer Life Asr'!F16+'Amer Std Life Acc'!F16+AmerWstrn!F16+'AMS Life'!F16+'Bankers Commercial'!F16+Benicorp!F16+'Booker T Washington'!F16+Centennial!F16+'Coastal States'!F16+'Confed Life (CLIC)'!F16+'Consolidated National'!F16+'Consumers United'!F16+'Corporate Life'!F16+'Diamond Benefits'!F16+'EBL Life'!F16+'Family Guaranty'!F16+'Fidelity Bankers'!F16+'First Natl'!F16+'Franklin American'!F16+'Franklin Protective'!F16+'George Washington'!F16+'Golden State'!F16+'Guarantee Security'!F16+Imerica!F16+'Inter-American'!F16+'International Fin'!F16+'Investment Life of America'!F16+'Investors Equity'!F16+'Kentucky Central'!F16+Legion!F16+'London Pac'!F16+'Medical Savings'!F16+'Midwest Life'!F16+'Mutual Benefit'!F16+'Mutual Security'!F16+'National Affiliated'!F16+'Natl American'!F16+'New Jersey Life'!F16+'Old Colony Life'!F16+'Old Faithful'!F16+'Pacific Standard'!F16+SeeChange!F16+'States General'!F16+Statesman!F16+'Summit National'!F16+Supreme!F16+Underwriters!F16+Unison!F16+'United Republic'!F16+'Universal Life'!F16+Universe!F16+Villanova!F16</f>
        <v>0</v>
      </c>
      <c r="G16" s="30">
        <f t="shared" si="0"/>
        <v>16611653.048701523</v>
      </c>
      <c r="H16" s="30"/>
      <c r="I16" s="30" t="s">
        <v>361</v>
      </c>
      <c r="J16" s="30">
        <f>Summary!TOTAL_61468</f>
        <v>24528225.084213227</v>
      </c>
    </row>
    <row r="17" spans="1:10">
      <c r="A17" s="1" t="s">
        <v>29</v>
      </c>
      <c r="B17" s="30">
        <f>+'Alabama Life'!B17+'American Chambers'!B17+'American Educators'!B17+'American Integrity'!B17+'Amer Life Asr'!B17+'Amer Std Life Acc'!B17+AmerWstrn!B17+'AMS Life'!B17+'Bankers Commercial'!B17+Benicorp!B17+'Booker T Washington'!B17+Centennial!B17+'Coastal States'!B17+'Confed Life (CLIC)'!B17+'Consolidated National'!B17+'Consumers United'!B17+'Corporate Life'!B17+'Diamond Benefits'!B17+'EBL Life'!B17+'Family Guaranty'!B17+'Fidelity Bankers'!B17+'First Natl'!B17+'Franklin American'!B17+'Franklin Protective'!B17+'George Washington'!B17+'Golden State'!B17+'Guarantee Security'!B17+Imerica!B17+'Inter-American'!B17+'International Fin'!B17+'Investment Life of America'!B17+'Investors Equity'!B17+'Kentucky Central'!B17+Legion!B17+'London Pac'!B17+'Medical Savings'!B17+'Midwest Life'!B17+'Mutual Benefit'!B17+'Mutual Security'!B17+'National Affiliated'!B17+'Natl American'!B17+'New Jersey Life'!B17+'Old Colony Life'!B17+'Old Faithful'!B17+'Pacific Standard'!B17+SeeChange!B17+'States General'!B17+Statesman!B17+'Summit National'!B17+Supreme!B17+Underwriters!B17+Unison!B17+'United Republic'!B17+'Universal Life'!B17+Universe!B17+Villanova!B17</f>
        <v>1360312.2414218462</v>
      </c>
      <c r="C17" s="30">
        <f>+'Alabama Life'!C17+'American Chambers'!C17+'American Educators'!C17+'American Integrity'!C17+'Amer Life Asr'!C17+'Amer Std Life Acc'!C17+AmerWstrn!C17+'AMS Life'!C17+'Bankers Commercial'!C17+Benicorp!C17+'Booker T Washington'!C17+Centennial!C17+'Coastal States'!C17+'Confed Life (CLIC)'!C17+'Consolidated National'!C17+'Consumers United'!C17+'Corporate Life'!C17+'Diamond Benefits'!C17+'EBL Life'!C17+'Family Guaranty'!C17+'Fidelity Bankers'!C17+'First Natl'!C17+'Franklin American'!C17+'Franklin Protective'!C17+'George Washington'!C17+'Golden State'!C17+'Guarantee Security'!C17+Imerica!C17+'Inter-American'!C17+'International Fin'!C17+'Investment Life of America'!C17+'Investors Equity'!C17+'Kentucky Central'!C17+Legion!C17+'London Pac'!C17+'Medical Savings'!C17+'Midwest Life'!C17+'Mutual Benefit'!C17+'Mutual Security'!C17+'National Affiliated'!C17+'Natl American'!C17+'New Jersey Life'!C17+'Old Colony Life'!C17+'Old Faithful'!C17+'Pacific Standard'!C17+SeeChange!C17+'States General'!C17+Statesman!C17+'Summit National'!C17+Supreme!C17+Underwriters!C17+Unison!C17+'United Republic'!C17+'Universal Life'!C17+Universe!C17+Villanova!C17</f>
        <v>37464431.739609696</v>
      </c>
      <c r="D17" s="30">
        <f>+'Alabama Life'!D17+'American Chambers'!D17+'American Educators'!D17+'American Integrity'!D17+'Amer Life Asr'!D17+'Amer Std Life Acc'!D17+AmerWstrn!D17+'AMS Life'!D17+'Bankers Commercial'!D17+Benicorp!D17+'Booker T Washington'!D17+Centennial!D17+'Coastal States'!D17+'Confed Life (CLIC)'!D17+'Consolidated National'!D17+'Consumers United'!D17+'Corporate Life'!D17+'Diamond Benefits'!D17+'EBL Life'!D17+'Family Guaranty'!D17+'Fidelity Bankers'!D17+'First Natl'!D17+'Franklin American'!D17+'Franklin Protective'!D17+'George Washington'!D17+'Golden State'!D17+'Guarantee Security'!D17+Imerica!D17+'Inter-American'!D17+'International Fin'!D17+'Investment Life of America'!D17+'Investors Equity'!D17+'Kentucky Central'!D17+Legion!D17+'London Pac'!D17+'Medical Savings'!D17+'Midwest Life'!D17+'Mutual Benefit'!D17+'Mutual Security'!D17+'National Affiliated'!D17+'Natl American'!D17+'New Jersey Life'!D17+'Old Colony Life'!D17+'Old Faithful'!D17+'Pacific Standard'!D17+SeeChange!D17+'States General'!D17+Statesman!D17+'Summit National'!D17+Supreme!D17+Underwriters!D17+Unison!D17+'United Republic'!D17+'Universal Life'!D17+Universe!D17+Villanova!D17</f>
        <v>-73443.101050387922</v>
      </c>
      <c r="E17" s="30">
        <f>+'Alabama Life'!E17+'American Chambers'!E17+'American Educators'!E17+'American Integrity'!E17+'Amer Life Asr'!E17+'Amer Std Life Acc'!E17+AmerWstrn!E17+'AMS Life'!E17+'Bankers Commercial'!E17+Benicorp!E17+'Booker T Washington'!E17+Centennial!E17+'Coastal States'!E17+'Confed Life (CLIC)'!E17+'Consolidated National'!E17+'Consumers United'!E17+'Corporate Life'!E17+'Diamond Benefits'!E17+'EBL Life'!E17+'Family Guaranty'!E17+'Fidelity Bankers'!E17+'First Natl'!E17+'Franklin American'!E17+'Franklin Protective'!E17+'George Washington'!E17+'Golden State'!E17+'Guarantee Security'!E17+Imerica!E17+'Inter-American'!E17+'International Fin'!E17+'Investment Life of America'!E17+'Investors Equity'!E17+'Kentucky Central'!E17+Legion!E17+'London Pac'!E17+'Medical Savings'!E17+'Midwest Life'!E17+'Mutual Benefit'!E17+'Mutual Security'!E17+'National Affiliated'!E17+'Natl American'!E17+'New Jersey Life'!E17+'Old Colony Life'!E17+'Old Faithful'!E17+'Pacific Standard'!E17+SeeChange!E17+'States General'!E17+Statesman!E17+'Summit National'!E17+Supreme!E17+Underwriters!E17+Unison!E17+'United Republic'!E17+'Universal Life'!E17+Universe!E17+Villanova!E17</f>
        <v>0</v>
      </c>
      <c r="F17" s="30">
        <f>+'Alabama Life'!F17+'American Chambers'!F17+'American Educators'!F17+'American Integrity'!F17+'Amer Life Asr'!F17+'Amer Std Life Acc'!F17+AmerWstrn!F17+'AMS Life'!F17+'Bankers Commercial'!F17+Benicorp!F17+'Booker T Washington'!F17+Centennial!F17+'Coastal States'!F17+'Confed Life (CLIC)'!F17+'Consolidated National'!F17+'Consumers United'!F17+'Corporate Life'!F17+'Diamond Benefits'!F17+'EBL Life'!F17+'Family Guaranty'!F17+'Fidelity Bankers'!F17+'First Natl'!F17+'Franklin American'!F17+'Franklin Protective'!F17+'George Washington'!F17+'Golden State'!F17+'Guarantee Security'!F17+Imerica!F17+'Inter-American'!F17+'International Fin'!F17+'Investment Life of America'!F17+'Investors Equity'!F17+'Kentucky Central'!F17+Legion!F17+'London Pac'!F17+'Medical Savings'!F17+'Midwest Life'!F17+'Mutual Benefit'!F17+'Mutual Security'!F17+'National Affiliated'!F17+'Natl American'!F17+'New Jersey Life'!F17+'Old Colony Life'!F17+'Old Faithful'!F17+'Pacific Standard'!F17+SeeChange!F17+'States General'!F17+Statesman!F17+'Summit National'!F17+Supreme!F17+Underwriters!F17+Unison!F17+'United Republic'!F17+'Universal Life'!F17+Universe!F17+Villanova!F17</f>
        <v>0</v>
      </c>
      <c r="G17" s="30">
        <f t="shared" si="0"/>
        <v>38751300.87998116</v>
      </c>
      <c r="H17" s="30"/>
      <c r="I17" s="30" t="s">
        <v>366</v>
      </c>
      <c r="J17" s="30">
        <f>Summary!TOTAL_61654</f>
        <v>-180641.04872965094</v>
      </c>
    </row>
    <row r="18" spans="1:10">
      <c r="A18" s="1" t="s">
        <v>30</v>
      </c>
      <c r="B18" s="30">
        <f>+'Alabama Life'!B18+'American Chambers'!B18+'American Educators'!B18+'American Integrity'!B18+'Amer Life Asr'!B18+'Amer Std Life Acc'!B18+AmerWstrn!B18+'AMS Life'!B18+'Bankers Commercial'!B18+Benicorp!B18+'Booker T Washington'!B18+Centennial!B18+'Coastal States'!B18+'Confed Life (CLIC)'!B18+'Consolidated National'!B18+'Consumers United'!B18+'Corporate Life'!B18+'Diamond Benefits'!B18+'EBL Life'!B18+'Family Guaranty'!B18+'Fidelity Bankers'!B18+'First Natl'!B18+'Franklin American'!B18+'Franklin Protective'!B18+'George Washington'!B18+'Golden State'!B18+'Guarantee Security'!B18+Imerica!B18+'Inter-American'!B18+'International Fin'!B18+'Investment Life of America'!B18+'Investors Equity'!B18+'Kentucky Central'!B18+Legion!B18+'London Pac'!B18+'Medical Savings'!B18+'Midwest Life'!B18+'Mutual Benefit'!B18+'Mutual Security'!B18+'National Affiliated'!B18+'Natl American'!B18+'New Jersey Life'!B18+'Old Colony Life'!B18+'Old Faithful'!B18+'Pacific Standard'!B18+SeeChange!B18+'States General'!B18+Statesman!B18+'Summit National'!B18+Supreme!B18+Underwriters!B18+Unison!B18+'United Republic'!B18+'Universal Life'!B18+Universe!B18+Villanova!B18</f>
        <v>571813.48309869121</v>
      </c>
      <c r="C18" s="30">
        <f>+'Alabama Life'!C18+'American Chambers'!C18+'American Educators'!C18+'American Integrity'!C18+'Amer Life Asr'!C18+'Amer Std Life Acc'!C18+AmerWstrn!C18+'AMS Life'!C18+'Bankers Commercial'!C18+Benicorp!C18+'Booker T Washington'!C18+Centennial!C18+'Coastal States'!C18+'Confed Life (CLIC)'!C18+'Consolidated National'!C18+'Consumers United'!C18+'Corporate Life'!C18+'Diamond Benefits'!C18+'EBL Life'!C18+'Family Guaranty'!C18+'Fidelity Bankers'!C18+'First Natl'!C18+'Franklin American'!C18+'Franklin Protective'!C18+'George Washington'!C18+'Golden State'!C18+'Guarantee Security'!C18+Imerica!C18+'Inter-American'!C18+'International Fin'!C18+'Investment Life of America'!C18+'Investors Equity'!C18+'Kentucky Central'!C18+Legion!C18+'London Pac'!C18+'Medical Savings'!C18+'Midwest Life'!C18+'Mutual Benefit'!C18+'Mutual Security'!C18+'National Affiliated'!C18+'Natl American'!C18+'New Jersey Life'!C18+'Old Colony Life'!C18+'Old Faithful'!C18+'Pacific Standard'!C18+SeeChange!C18+'States General'!C18+Statesman!C18+'Summit National'!C18+Supreme!C18+Underwriters!C18+Unison!C18+'United Republic'!C18+'Universal Life'!C18+Universe!C18+Villanova!C18</f>
        <v>2310756.6907913666</v>
      </c>
      <c r="D18" s="30">
        <f>+'Alabama Life'!D18+'American Chambers'!D18+'American Educators'!D18+'American Integrity'!D18+'Amer Life Asr'!D18+'Amer Std Life Acc'!D18+AmerWstrn!D18+'AMS Life'!D18+'Bankers Commercial'!D18+Benicorp!D18+'Booker T Washington'!D18+Centennial!D18+'Coastal States'!D18+'Confed Life (CLIC)'!D18+'Consolidated National'!D18+'Consumers United'!D18+'Corporate Life'!D18+'Diamond Benefits'!D18+'EBL Life'!D18+'Family Guaranty'!D18+'Fidelity Bankers'!D18+'First Natl'!D18+'Franklin American'!D18+'Franklin Protective'!D18+'George Washington'!D18+'Golden State'!D18+'Guarantee Security'!D18+Imerica!D18+'Inter-American'!D18+'International Fin'!D18+'Investment Life of America'!D18+'Investors Equity'!D18+'Kentucky Central'!D18+Legion!D18+'London Pac'!D18+'Medical Savings'!D18+'Midwest Life'!D18+'Mutual Benefit'!D18+'Mutual Security'!D18+'National Affiliated'!D18+'Natl American'!D18+'New Jersey Life'!D18+'Old Colony Life'!D18+'Old Faithful'!D18+'Pacific Standard'!D18+SeeChange!D18+'States General'!D18+Statesman!D18+'Summit National'!D18+Supreme!D18+Underwriters!D18+Unison!D18+'United Republic'!D18+'Universal Life'!D18+Universe!D18+Villanova!D18</f>
        <v>616637.78076433484</v>
      </c>
      <c r="E18" s="30">
        <f>+'Alabama Life'!E18+'American Chambers'!E18+'American Educators'!E18+'American Integrity'!E18+'Amer Life Asr'!E18+'Amer Std Life Acc'!E18+AmerWstrn!E18+'AMS Life'!E18+'Bankers Commercial'!E18+Benicorp!E18+'Booker T Washington'!E18+Centennial!E18+'Coastal States'!E18+'Confed Life (CLIC)'!E18+'Consolidated National'!E18+'Consumers United'!E18+'Corporate Life'!E18+'Diamond Benefits'!E18+'EBL Life'!E18+'Family Guaranty'!E18+'Fidelity Bankers'!E18+'First Natl'!E18+'Franklin American'!E18+'Franklin Protective'!E18+'George Washington'!E18+'Golden State'!E18+'Guarantee Security'!E18+Imerica!E18+'Inter-American'!E18+'International Fin'!E18+'Investment Life of America'!E18+'Investors Equity'!E18+'Kentucky Central'!E18+Legion!E18+'London Pac'!E18+'Medical Savings'!E18+'Midwest Life'!E18+'Mutual Benefit'!E18+'Mutual Security'!E18+'National Affiliated'!E18+'Natl American'!E18+'New Jersey Life'!E18+'Old Colony Life'!E18+'Old Faithful'!E18+'Pacific Standard'!E18+SeeChange!E18+'States General'!E18+Statesman!E18+'Summit National'!E18+Supreme!E18+Underwriters!E18+Unison!E18+'United Republic'!E18+'Universal Life'!E18+Universe!E18+Villanova!E18</f>
        <v>0</v>
      </c>
      <c r="F18" s="30">
        <f>+'Alabama Life'!F18+'American Chambers'!F18+'American Educators'!F18+'American Integrity'!F18+'Amer Life Asr'!F18+'Amer Std Life Acc'!F18+AmerWstrn!F18+'AMS Life'!F18+'Bankers Commercial'!F18+Benicorp!F18+'Booker T Washington'!F18+Centennial!F18+'Coastal States'!F18+'Confed Life (CLIC)'!F18+'Consolidated National'!F18+'Consumers United'!F18+'Corporate Life'!F18+'Diamond Benefits'!F18+'EBL Life'!F18+'Family Guaranty'!F18+'Fidelity Bankers'!F18+'First Natl'!F18+'Franklin American'!F18+'Franklin Protective'!F18+'George Washington'!F18+'Golden State'!F18+'Guarantee Security'!F18+Imerica!F18+'Inter-American'!F18+'International Fin'!F18+'Investment Life of America'!F18+'Investors Equity'!F18+'Kentucky Central'!F18+Legion!F18+'London Pac'!F18+'Medical Savings'!F18+'Midwest Life'!F18+'Mutual Benefit'!F18+'Mutual Security'!F18+'National Affiliated'!F18+'Natl American'!F18+'New Jersey Life'!F18+'Old Colony Life'!F18+'Old Faithful'!F18+'Pacific Standard'!F18+SeeChange!F18+'States General'!F18+Statesman!F18+'Summit National'!F18+Supreme!F18+Underwriters!F18+Unison!F18+'United Republic'!F18+'Universal Life'!F18+Universe!F18+Villanova!F18</f>
        <v>0</v>
      </c>
      <c r="G18" s="30">
        <f t="shared" si="0"/>
        <v>3499207.9546543928</v>
      </c>
      <c r="H18" s="30"/>
      <c r="I18" s="30" t="s">
        <v>372</v>
      </c>
      <c r="J18" s="30">
        <f>Summary!TOTAL_61980</f>
        <v>16325113.880000003</v>
      </c>
    </row>
    <row r="19" spans="1:10">
      <c r="A19" s="1" t="s">
        <v>32</v>
      </c>
      <c r="B19" s="30">
        <f>+'Alabama Life'!B19+'American Chambers'!B19+'American Educators'!B19+'American Integrity'!B19+'Amer Life Asr'!B19+'Amer Std Life Acc'!B19+AmerWstrn!B19+'AMS Life'!B19+'Bankers Commercial'!B19+Benicorp!B19+'Booker T Washington'!B19+Centennial!B19+'Coastal States'!B19+'Confed Life (CLIC)'!B19+'Consolidated National'!B19+'Consumers United'!B19+'Corporate Life'!B19+'Diamond Benefits'!B19+'EBL Life'!B19+'Family Guaranty'!B19+'Fidelity Bankers'!B19+'First Natl'!B19+'Franklin American'!B19+'Franklin Protective'!B19+'George Washington'!B19+'Golden State'!B19+'Guarantee Security'!B19+Imerica!B19+'Inter-American'!B19+'International Fin'!B19+'Investment Life of America'!B19+'Investors Equity'!B19+'Kentucky Central'!B19+Legion!B19+'London Pac'!B19+'Medical Savings'!B19+'Midwest Life'!B19+'Mutual Benefit'!B19+'Mutual Security'!B19+'National Affiliated'!B19+'Natl American'!B19+'New Jersey Life'!B19+'Old Colony Life'!B19+'Old Faithful'!B19+'Pacific Standard'!B19+SeeChange!B19+'States General'!B19+Statesman!B19+'Summit National'!B19+Supreme!B19+Underwriters!B19+Unison!B19+'United Republic'!B19+'Universal Life'!B19+Universe!B19+Villanova!B19</f>
        <v>29662044.903005149</v>
      </c>
      <c r="C19" s="30">
        <f>+'Alabama Life'!C19+'American Chambers'!C19+'American Educators'!C19+'American Integrity'!C19+'Amer Life Asr'!C19+'Amer Std Life Acc'!C19+AmerWstrn!C19+'AMS Life'!C19+'Bankers Commercial'!C19+Benicorp!C19+'Booker T Washington'!C19+Centennial!C19+'Coastal States'!C19+'Confed Life (CLIC)'!C19+'Consolidated National'!C19+'Consumers United'!C19+'Corporate Life'!C19+'Diamond Benefits'!C19+'EBL Life'!C19+'Family Guaranty'!C19+'Fidelity Bankers'!C19+'First Natl'!C19+'Franklin American'!C19+'Franklin Protective'!C19+'George Washington'!C19+'Golden State'!C19+'Guarantee Security'!C19+Imerica!C19+'Inter-American'!C19+'International Fin'!C19+'Investment Life of America'!C19+'Investors Equity'!C19+'Kentucky Central'!C19+Legion!C19+'London Pac'!C19+'Medical Savings'!C19+'Midwest Life'!C19+'Mutual Benefit'!C19+'Mutual Security'!C19+'National Affiliated'!C19+'Natl American'!C19+'New Jersey Life'!C19+'Old Colony Life'!C19+'Old Faithful'!C19+'Pacific Standard'!C19+SeeChange!C19+'States General'!C19+Statesman!C19+'Summit National'!C19+Supreme!C19+Underwriters!C19+Unison!C19+'United Republic'!C19+'Universal Life'!C19+Universe!C19+Villanova!C19</f>
        <v>45780175.889853552</v>
      </c>
      <c r="D19" s="30">
        <f>+'Alabama Life'!D19+'American Chambers'!D19+'American Educators'!D19+'American Integrity'!D19+'Amer Life Asr'!D19+'Amer Std Life Acc'!D19+AmerWstrn!D19+'AMS Life'!D19+'Bankers Commercial'!D19+Benicorp!D19+'Booker T Washington'!D19+Centennial!D19+'Coastal States'!D19+'Confed Life (CLIC)'!D19+'Consolidated National'!D19+'Consumers United'!D19+'Corporate Life'!D19+'Diamond Benefits'!D19+'EBL Life'!D19+'Family Guaranty'!D19+'Fidelity Bankers'!D19+'First Natl'!D19+'Franklin American'!D19+'Franklin Protective'!D19+'George Washington'!D19+'Golden State'!D19+'Guarantee Security'!D19+Imerica!D19+'Inter-American'!D19+'International Fin'!D19+'Investment Life of America'!D19+'Investors Equity'!D19+'Kentucky Central'!D19+Legion!D19+'London Pac'!D19+'Medical Savings'!D19+'Midwest Life'!D19+'Mutual Benefit'!D19+'Mutual Security'!D19+'National Affiliated'!D19+'Natl American'!D19+'New Jersey Life'!D19+'Old Colony Life'!D19+'Old Faithful'!D19+'Pacific Standard'!D19+SeeChange!D19+'States General'!D19+Statesman!D19+'Summit National'!D19+Supreme!D19+Underwriters!D19+Unison!D19+'United Republic'!D19+'Universal Life'!D19+Universe!D19+Villanova!D19</f>
        <v>9353797.567147838</v>
      </c>
      <c r="E19" s="30">
        <f>+'Alabama Life'!E19+'American Chambers'!E19+'American Educators'!E19+'American Integrity'!E19+'Amer Life Asr'!E19+'Amer Std Life Acc'!E19+AmerWstrn!E19+'AMS Life'!E19+'Bankers Commercial'!E19+Benicorp!E19+'Booker T Washington'!E19+Centennial!E19+'Coastal States'!E19+'Confed Life (CLIC)'!E19+'Consolidated National'!E19+'Consumers United'!E19+'Corporate Life'!E19+'Diamond Benefits'!E19+'EBL Life'!E19+'Family Guaranty'!E19+'Fidelity Bankers'!E19+'First Natl'!E19+'Franklin American'!E19+'Franklin Protective'!E19+'George Washington'!E19+'Golden State'!E19+'Guarantee Security'!E19+Imerica!E19+'Inter-American'!E19+'International Fin'!E19+'Investment Life of America'!E19+'Investors Equity'!E19+'Kentucky Central'!E19+Legion!E19+'London Pac'!E19+'Medical Savings'!E19+'Midwest Life'!E19+'Mutual Benefit'!E19+'Mutual Security'!E19+'National Affiliated'!E19+'Natl American'!E19+'New Jersey Life'!E19+'Old Colony Life'!E19+'Old Faithful'!E19+'Pacific Standard'!E19+SeeChange!E19+'States General'!E19+Statesman!E19+'Summit National'!E19+Supreme!E19+Underwriters!E19+Unison!E19+'United Republic'!E19+'Universal Life'!E19+Universe!E19+Villanova!E19</f>
        <v>2424583.9340050137</v>
      </c>
      <c r="F19" s="30">
        <f>+'Alabama Life'!F19+'American Chambers'!F19+'American Educators'!F19+'American Integrity'!F19+'Amer Life Asr'!F19+'Amer Std Life Acc'!F19+AmerWstrn!F19+'AMS Life'!F19+'Bankers Commercial'!F19+Benicorp!F19+'Booker T Washington'!F19+Centennial!F19+'Coastal States'!F19+'Confed Life (CLIC)'!F19+'Consolidated National'!F19+'Consumers United'!F19+'Corporate Life'!F19+'Diamond Benefits'!F19+'EBL Life'!F19+'Family Guaranty'!F19+'Fidelity Bankers'!F19+'First Natl'!F19+'Franklin American'!F19+'Franklin Protective'!F19+'George Washington'!F19+'Golden State'!F19+'Guarantee Security'!F19+Imerica!F19+'Inter-American'!F19+'International Fin'!F19+'Investment Life of America'!F19+'Investors Equity'!F19+'Kentucky Central'!F19+Legion!F19+'London Pac'!F19+'Medical Savings'!F19+'Midwest Life'!F19+'Mutual Benefit'!F19+'Mutual Security'!F19+'National Affiliated'!F19+'Natl American'!F19+'New Jersey Life'!F19+'Old Colony Life'!F19+'Old Faithful'!F19+'Pacific Standard'!F19+SeeChange!F19+'States General'!F19+Statesman!F19+'Summit National'!F19+Supreme!F19+Underwriters!F19+Unison!F19+'United Republic'!F19+'Universal Life'!F19+Universe!F19+Villanova!F19</f>
        <v>0</v>
      </c>
      <c r="G19" s="30">
        <f t="shared" si="0"/>
        <v>87220602.294011548</v>
      </c>
      <c r="H19" s="30"/>
      <c r="I19" s="30" t="s">
        <v>378</v>
      </c>
      <c r="J19" s="30">
        <f>Summary!TOTAL_80667</f>
        <v>-16627.076041025026</v>
      </c>
    </row>
    <row r="20" spans="1:10">
      <c r="A20" s="1" t="s">
        <v>34</v>
      </c>
      <c r="B20" s="30">
        <f>+'Alabama Life'!B20+'American Chambers'!B20+'American Educators'!B20+'American Integrity'!B20+'Amer Life Asr'!B20+'Amer Std Life Acc'!B20+AmerWstrn!B20+'AMS Life'!B20+'Bankers Commercial'!B20+Benicorp!B20+'Booker T Washington'!B20+Centennial!B20+'Coastal States'!B20+'Confed Life (CLIC)'!B20+'Consolidated National'!B20+'Consumers United'!B20+'Corporate Life'!B20+'Diamond Benefits'!B20+'EBL Life'!B20+'Family Guaranty'!B20+'Fidelity Bankers'!B20+'First Natl'!B20+'Franklin American'!B20+'Franklin Protective'!B20+'George Washington'!B20+'Golden State'!B20+'Guarantee Security'!B20+Imerica!B20+'Inter-American'!B20+'International Fin'!B20+'Investment Life of America'!B20+'Investors Equity'!B20+'Kentucky Central'!B20+Legion!B20+'London Pac'!B20+'Medical Savings'!B20+'Midwest Life'!B20+'Mutual Benefit'!B20+'Mutual Security'!B20+'National Affiliated'!B20+'Natl American'!B20+'New Jersey Life'!B20+'Old Colony Life'!B20+'Old Faithful'!B20+'Pacific Standard'!B20+SeeChange!B20+'States General'!B20+Statesman!B20+'Summit National'!B20+Supreme!B20+Underwriters!B20+Unison!B20+'United Republic'!B20+'Universal Life'!B20+Universe!B20+Villanova!B20</f>
        <v>7759505.9930188777</v>
      </c>
      <c r="C20" s="30">
        <f>+'Alabama Life'!C20+'American Chambers'!C20+'American Educators'!C20+'American Integrity'!C20+'Amer Life Asr'!C20+'Amer Std Life Acc'!C20+AmerWstrn!C20+'AMS Life'!C20+'Bankers Commercial'!C20+Benicorp!C20+'Booker T Washington'!C20+Centennial!C20+'Coastal States'!C20+'Confed Life (CLIC)'!C20+'Consolidated National'!C20+'Consumers United'!C20+'Corporate Life'!C20+'Diamond Benefits'!C20+'EBL Life'!C20+'Family Guaranty'!C20+'Fidelity Bankers'!C20+'First Natl'!C20+'Franklin American'!C20+'Franklin Protective'!C20+'George Washington'!C20+'Golden State'!C20+'Guarantee Security'!C20+Imerica!C20+'Inter-American'!C20+'International Fin'!C20+'Investment Life of America'!C20+'Investors Equity'!C20+'Kentucky Central'!C20+Legion!C20+'London Pac'!C20+'Medical Savings'!C20+'Midwest Life'!C20+'Mutual Benefit'!C20+'Mutual Security'!C20+'National Affiliated'!C20+'Natl American'!C20+'New Jersey Life'!C20+'Old Colony Life'!C20+'Old Faithful'!C20+'Pacific Standard'!C20+SeeChange!C20+'States General'!C20+Statesman!C20+'Summit National'!C20+Supreme!C20+Underwriters!C20+Unison!C20+'United Republic'!C20+'Universal Life'!C20+Universe!C20+Villanova!C20</f>
        <v>19151217.762397841</v>
      </c>
      <c r="D20" s="30">
        <f>+'Alabama Life'!D20+'American Chambers'!D20+'American Educators'!D20+'American Integrity'!D20+'Amer Life Asr'!D20+'Amer Std Life Acc'!D20+AmerWstrn!D20+'AMS Life'!D20+'Bankers Commercial'!D20+Benicorp!D20+'Booker T Washington'!D20+Centennial!D20+'Coastal States'!D20+'Confed Life (CLIC)'!D20+'Consolidated National'!D20+'Consumers United'!D20+'Corporate Life'!D20+'Diamond Benefits'!D20+'EBL Life'!D20+'Family Guaranty'!D20+'Fidelity Bankers'!D20+'First Natl'!D20+'Franklin American'!D20+'Franklin Protective'!D20+'George Washington'!D20+'Golden State'!D20+'Guarantee Security'!D20+Imerica!D20+'Inter-American'!D20+'International Fin'!D20+'Investment Life of America'!D20+'Investors Equity'!D20+'Kentucky Central'!D20+Legion!D20+'London Pac'!D20+'Medical Savings'!D20+'Midwest Life'!D20+'Mutual Benefit'!D20+'Mutual Security'!D20+'National Affiliated'!D20+'Natl American'!D20+'New Jersey Life'!D20+'Old Colony Life'!D20+'Old Faithful'!D20+'Pacific Standard'!D20+SeeChange!D20+'States General'!D20+Statesman!D20+'Summit National'!D20+Supreme!D20+Underwriters!D20+Unison!D20+'United Republic'!D20+'Universal Life'!D20+Universe!D20+Villanova!D20</f>
        <v>14287955.730066333</v>
      </c>
      <c r="E20" s="30">
        <f>+'Alabama Life'!E20+'American Chambers'!E20+'American Educators'!E20+'American Integrity'!E20+'Amer Life Asr'!E20+'Amer Std Life Acc'!E20+AmerWstrn!E20+'AMS Life'!E20+'Bankers Commercial'!E20+Benicorp!E20+'Booker T Washington'!E20+Centennial!E20+'Coastal States'!E20+'Confed Life (CLIC)'!E20+'Consolidated National'!E20+'Consumers United'!E20+'Corporate Life'!E20+'Diamond Benefits'!E20+'EBL Life'!E20+'Family Guaranty'!E20+'Fidelity Bankers'!E20+'First Natl'!E20+'Franklin American'!E20+'Franklin Protective'!E20+'George Washington'!E20+'Golden State'!E20+'Guarantee Security'!E20+Imerica!E20+'Inter-American'!E20+'International Fin'!E20+'Investment Life of America'!E20+'Investors Equity'!E20+'Kentucky Central'!E20+Legion!E20+'London Pac'!E20+'Medical Savings'!E20+'Midwest Life'!E20+'Mutual Benefit'!E20+'Mutual Security'!E20+'National Affiliated'!E20+'Natl American'!E20+'New Jersey Life'!E20+'Old Colony Life'!E20+'Old Faithful'!E20+'Pacific Standard'!E20+SeeChange!E20+'States General'!E20+Statesman!E20+'Summit National'!E20+Supreme!E20+Underwriters!E20+Unison!E20+'United Republic'!E20+'Universal Life'!E20+Universe!E20+Villanova!E20</f>
        <v>4689250.9015063858</v>
      </c>
      <c r="F20" s="30">
        <f>+'Alabama Life'!F20+'American Chambers'!F20+'American Educators'!F20+'American Integrity'!F20+'Amer Life Asr'!F20+'Amer Std Life Acc'!F20+AmerWstrn!F20+'AMS Life'!F20+'Bankers Commercial'!F20+Benicorp!F20+'Booker T Washington'!F20+Centennial!F20+'Coastal States'!F20+'Confed Life (CLIC)'!F20+'Consolidated National'!F20+'Consumers United'!F20+'Corporate Life'!F20+'Diamond Benefits'!F20+'EBL Life'!F20+'Family Guaranty'!F20+'Fidelity Bankers'!F20+'First Natl'!F20+'Franklin American'!F20+'Franklin Protective'!F20+'George Washington'!F20+'Golden State'!F20+'Guarantee Security'!F20+Imerica!F20+'Inter-American'!F20+'International Fin'!F20+'Investment Life of America'!F20+'Investors Equity'!F20+'Kentucky Central'!F20+Legion!F20+'London Pac'!F20+'Medical Savings'!F20+'Midwest Life'!F20+'Mutual Benefit'!F20+'Mutual Security'!F20+'National Affiliated'!F20+'Natl American'!F20+'New Jersey Life'!F20+'Old Colony Life'!F20+'Old Faithful'!F20+'Pacific Standard'!F20+SeeChange!F20+'States General'!F20+Statesman!F20+'Summit National'!F20+Supreme!F20+Underwriters!F20+Unison!F20+'United Republic'!F20+'Universal Life'!F20+Universe!F20+Villanova!F20</f>
        <v>0</v>
      </c>
      <c r="G20" s="30">
        <f t="shared" si="0"/>
        <v>45887930.386989437</v>
      </c>
      <c r="H20" s="30"/>
      <c r="I20" s="30" t="s">
        <v>382</v>
      </c>
      <c r="J20" s="30">
        <f>Summary!TOTAL_71382</f>
        <v>8883218.3851282038</v>
      </c>
    </row>
    <row r="21" spans="1:10">
      <c r="A21" s="1" t="s">
        <v>36</v>
      </c>
      <c r="B21" s="30">
        <f>+'Alabama Life'!B21+'American Chambers'!B21+'American Educators'!B21+'American Integrity'!B21+'Amer Life Asr'!B21+'Amer Std Life Acc'!B21+AmerWstrn!B21+'AMS Life'!B21+'Bankers Commercial'!B21+Benicorp!B21+'Booker T Washington'!B21+Centennial!B21+'Coastal States'!B21+'Confed Life (CLIC)'!B21+'Consolidated National'!B21+'Consumers United'!B21+'Corporate Life'!B21+'Diamond Benefits'!B21+'EBL Life'!B21+'Family Guaranty'!B21+'Fidelity Bankers'!B21+'First Natl'!B21+'Franklin American'!B21+'Franklin Protective'!B21+'George Washington'!B21+'Golden State'!B21+'Guarantee Security'!B21+Imerica!B21+'Inter-American'!B21+'International Fin'!B21+'Investment Life of America'!B21+'Investors Equity'!B21+'Kentucky Central'!B21+Legion!B21+'London Pac'!B21+'Medical Savings'!B21+'Midwest Life'!B21+'Mutual Benefit'!B21+'Mutual Security'!B21+'National Affiliated'!B21+'Natl American'!B21+'New Jersey Life'!B21+'Old Colony Life'!B21+'Old Faithful'!B21+'Pacific Standard'!B21+SeeChange!B21+'States General'!B21+Statesman!B21+'Summit National'!B21+Supreme!B21+Underwriters!B21+Unison!B21+'United Republic'!B21+'Universal Life'!B21+Universe!B21+Villanova!B21</f>
        <v>4976081.7225848809</v>
      </c>
      <c r="C21" s="30">
        <f>+'Alabama Life'!C21+'American Chambers'!C21+'American Educators'!C21+'American Integrity'!C21+'Amer Life Asr'!C21+'Amer Std Life Acc'!C21+AmerWstrn!C21+'AMS Life'!C21+'Bankers Commercial'!C21+Benicorp!C21+'Booker T Washington'!C21+Centennial!C21+'Coastal States'!C21+'Confed Life (CLIC)'!C21+'Consolidated National'!C21+'Consumers United'!C21+'Corporate Life'!C21+'Diamond Benefits'!C21+'EBL Life'!C21+'Family Guaranty'!C21+'Fidelity Bankers'!C21+'First Natl'!C21+'Franklin American'!C21+'Franklin Protective'!C21+'George Washington'!C21+'Golden State'!C21+'Guarantee Security'!C21+Imerica!C21+'Inter-American'!C21+'International Fin'!C21+'Investment Life of America'!C21+'Investors Equity'!C21+'Kentucky Central'!C21+Legion!C21+'London Pac'!C21+'Medical Savings'!C21+'Midwest Life'!C21+'Mutual Benefit'!C21+'Mutual Security'!C21+'National Affiliated'!C21+'Natl American'!C21+'New Jersey Life'!C21+'Old Colony Life'!C21+'Old Faithful'!C21+'Pacific Standard'!C21+SeeChange!C21+'States General'!C21+Statesman!C21+'Summit National'!C21+Supreme!C21+Underwriters!C21+Unison!C21+'United Republic'!C21+'Universal Life'!C21+Universe!C21+Villanova!C21</f>
        <v>6857912.7728521973</v>
      </c>
      <c r="D21" s="30">
        <f>+'Alabama Life'!D21+'American Chambers'!D21+'American Educators'!D21+'American Integrity'!D21+'Amer Life Asr'!D21+'Amer Std Life Acc'!D21+AmerWstrn!D21+'AMS Life'!D21+'Bankers Commercial'!D21+Benicorp!D21+'Booker T Washington'!D21+Centennial!D21+'Coastal States'!D21+'Confed Life (CLIC)'!D21+'Consolidated National'!D21+'Consumers United'!D21+'Corporate Life'!D21+'Diamond Benefits'!D21+'EBL Life'!D21+'Family Guaranty'!D21+'Fidelity Bankers'!D21+'First Natl'!D21+'Franklin American'!D21+'Franklin Protective'!D21+'George Washington'!D21+'Golden State'!D21+'Guarantee Security'!D21+Imerica!D21+'Inter-American'!D21+'International Fin'!D21+'Investment Life of America'!D21+'Investors Equity'!D21+'Kentucky Central'!D21+Legion!D21+'London Pac'!D21+'Medical Savings'!D21+'Midwest Life'!D21+'Mutual Benefit'!D21+'Mutual Security'!D21+'National Affiliated'!D21+'Natl American'!D21+'New Jersey Life'!D21+'Old Colony Life'!D21+'Old Faithful'!D21+'Pacific Standard'!D21+SeeChange!D21+'States General'!D21+Statesman!D21+'Summit National'!D21+Supreme!D21+Underwriters!D21+Unison!D21+'United Republic'!D21+'Universal Life'!D21+Universe!D21+Villanova!D21</f>
        <v>1207636.5220969273</v>
      </c>
      <c r="E21" s="30">
        <f>+'Alabama Life'!E21+'American Chambers'!E21+'American Educators'!E21+'American Integrity'!E21+'Amer Life Asr'!E21+'Amer Std Life Acc'!E21+AmerWstrn!E21+'AMS Life'!E21+'Bankers Commercial'!E21+Benicorp!E21+'Booker T Washington'!E21+Centennial!E21+'Coastal States'!E21+'Confed Life (CLIC)'!E21+'Consolidated National'!E21+'Consumers United'!E21+'Corporate Life'!E21+'Diamond Benefits'!E21+'EBL Life'!E21+'Family Guaranty'!E21+'Fidelity Bankers'!E21+'First Natl'!E21+'Franklin American'!E21+'Franklin Protective'!E21+'George Washington'!E21+'Golden State'!E21+'Guarantee Security'!E21+Imerica!E21+'Inter-American'!E21+'International Fin'!E21+'Investment Life of America'!E21+'Investors Equity'!E21+'Kentucky Central'!E21+Legion!E21+'London Pac'!E21+'Medical Savings'!E21+'Midwest Life'!E21+'Mutual Benefit'!E21+'Mutual Security'!E21+'National Affiliated'!E21+'Natl American'!E21+'New Jersey Life'!E21+'Old Colony Life'!E21+'Old Faithful'!E21+'Pacific Standard'!E21+SeeChange!E21+'States General'!E21+Statesman!E21+'Summit National'!E21+Supreme!E21+Underwriters!E21+Unison!E21+'United Republic'!E21+'Universal Life'!E21+Universe!E21+Villanova!E21</f>
        <v>-25.171420703991316</v>
      </c>
      <c r="F21" s="30">
        <f>+'Alabama Life'!F21+'American Chambers'!F21+'American Educators'!F21+'American Integrity'!F21+'Amer Life Asr'!F21+'Amer Std Life Acc'!F21+AmerWstrn!F21+'AMS Life'!F21+'Bankers Commercial'!F21+Benicorp!F21+'Booker T Washington'!F21+Centennial!F21+'Coastal States'!F21+'Confed Life (CLIC)'!F21+'Consolidated National'!F21+'Consumers United'!F21+'Corporate Life'!F21+'Diamond Benefits'!F21+'EBL Life'!F21+'Family Guaranty'!F21+'Fidelity Bankers'!F21+'First Natl'!F21+'Franklin American'!F21+'Franklin Protective'!F21+'George Washington'!F21+'Golden State'!F21+'Guarantee Security'!F21+Imerica!F21+'Inter-American'!F21+'International Fin'!F21+'Investment Life of America'!F21+'Investors Equity'!F21+'Kentucky Central'!F21+Legion!F21+'London Pac'!F21+'Medical Savings'!F21+'Midwest Life'!F21+'Mutual Benefit'!F21+'Mutual Security'!F21+'National Affiliated'!F21+'Natl American'!F21+'New Jersey Life'!F21+'Old Colony Life'!F21+'Old Faithful'!F21+'Pacific Standard'!F21+SeeChange!F21+'States General'!F21+Statesman!F21+'Summit National'!F21+Supreme!F21+Underwriters!F21+Unison!F21+'United Republic'!F21+'Universal Life'!F21+Universe!F21+Villanova!F21</f>
        <v>0</v>
      </c>
      <c r="G21" s="30">
        <f t="shared" si="0"/>
        <v>13041605.846113302</v>
      </c>
      <c r="H21" s="30"/>
      <c r="I21" s="30" t="s">
        <v>386</v>
      </c>
      <c r="J21" s="30">
        <f>Summary!TOTAL_62278</f>
        <v>15104531.729999997</v>
      </c>
    </row>
    <row r="22" spans="1:10">
      <c r="A22" s="1" t="s">
        <v>38</v>
      </c>
      <c r="B22" s="30">
        <f>+'Alabama Life'!B22+'American Chambers'!B22+'American Educators'!B22+'American Integrity'!B22+'Amer Life Asr'!B22+'Amer Std Life Acc'!B22+AmerWstrn!B22+'AMS Life'!B22+'Bankers Commercial'!B22+Benicorp!B22+'Booker T Washington'!B22+Centennial!B22+'Coastal States'!B22+'Confed Life (CLIC)'!B22+'Consolidated National'!B22+'Consumers United'!B22+'Corporate Life'!B22+'Diamond Benefits'!B22+'EBL Life'!B22+'Family Guaranty'!B22+'Fidelity Bankers'!B22+'First Natl'!B22+'Franklin American'!B22+'Franklin Protective'!B22+'George Washington'!B22+'Golden State'!B22+'Guarantee Security'!B22+Imerica!B22+'Inter-American'!B22+'International Fin'!B22+'Investment Life of America'!B22+'Investors Equity'!B22+'Kentucky Central'!B22+Legion!B22+'London Pac'!B22+'Medical Savings'!B22+'Midwest Life'!B22+'Mutual Benefit'!B22+'Mutual Security'!B22+'National Affiliated'!B22+'Natl American'!B22+'New Jersey Life'!B22+'Old Colony Life'!B22+'Old Faithful'!B22+'Pacific Standard'!B22+SeeChange!B22+'States General'!B22+Statesman!B22+'Summit National'!B22+Supreme!B22+Underwriters!B22+Unison!B22+'United Republic'!B22+'Universal Life'!B22+Universe!B22+Villanova!B22</f>
        <v>1223159.3775874397</v>
      </c>
      <c r="C22" s="30">
        <f>+'Alabama Life'!C22+'American Chambers'!C22+'American Educators'!C22+'American Integrity'!C22+'Amer Life Asr'!C22+'Amer Std Life Acc'!C22+AmerWstrn!C22+'AMS Life'!C22+'Bankers Commercial'!C22+Benicorp!C22+'Booker T Washington'!C22+Centennial!C22+'Coastal States'!C22+'Confed Life (CLIC)'!C22+'Consolidated National'!C22+'Consumers United'!C22+'Corporate Life'!C22+'Diamond Benefits'!C22+'EBL Life'!C22+'Family Guaranty'!C22+'Fidelity Bankers'!C22+'First Natl'!C22+'Franklin American'!C22+'Franklin Protective'!C22+'George Washington'!C22+'Golden State'!C22+'Guarantee Security'!C22+Imerica!C22+'Inter-American'!C22+'International Fin'!C22+'Investment Life of America'!C22+'Investors Equity'!C22+'Kentucky Central'!C22+Legion!C22+'London Pac'!C22+'Medical Savings'!C22+'Midwest Life'!C22+'Mutual Benefit'!C22+'Mutual Security'!C22+'National Affiliated'!C22+'Natl American'!C22+'New Jersey Life'!C22+'Old Colony Life'!C22+'Old Faithful'!C22+'Pacific Standard'!C22+SeeChange!C22+'States General'!C22+Statesman!C22+'Summit National'!C22+Supreme!C22+Underwriters!C22+Unison!C22+'United Republic'!C22+'Universal Life'!C22+Universe!C22+Villanova!C22</f>
        <v>5314553.9790054979</v>
      </c>
      <c r="D22" s="30">
        <f>+'Alabama Life'!D22+'American Chambers'!D22+'American Educators'!D22+'American Integrity'!D22+'Amer Life Asr'!D22+'Amer Std Life Acc'!D22+AmerWstrn!D22+'AMS Life'!D22+'Bankers Commercial'!D22+Benicorp!D22+'Booker T Washington'!D22+Centennial!D22+'Coastal States'!D22+'Confed Life (CLIC)'!D22+'Consolidated National'!D22+'Consumers United'!D22+'Corporate Life'!D22+'Diamond Benefits'!D22+'EBL Life'!D22+'Family Guaranty'!D22+'Fidelity Bankers'!D22+'First Natl'!D22+'Franklin American'!D22+'Franklin Protective'!D22+'George Washington'!D22+'Golden State'!D22+'Guarantee Security'!D22+Imerica!D22+'Inter-American'!D22+'International Fin'!D22+'Investment Life of America'!D22+'Investors Equity'!D22+'Kentucky Central'!D22+Legion!D22+'London Pac'!D22+'Medical Savings'!D22+'Midwest Life'!D22+'Mutual Benefit'!D22+'Mutual Security'!D22+'National Affiliated'!D22+'Natl American'!D22+'New Jersey Life'!D22+'Old Colony Life'!D22+'Old Faithful'!D22+'Pacific Standard'!D22+SeeChange!D22+'States General'!D22+Statesman!D22+'Summit National'!D22+Supreme!D22+Underwriters!D22+Unison!D22+'United Republic'!D22+'Universal Life'!D22+Universe!D22+Villanova!D22</f>
        <v>1514113.8137920059</v>
      </c>
      <c r="E22" s="30">
        <f>+'Alabama Life'!E22+'American Chambers'!E22+'American Educators'!E22+'American Integrity'!E22+'Amer Life Asr'!E22+'Amer Std Life Acc'!E22+AmerWstrn!E22+'AMS Life'!E22+'Bankers Commercial'!E22+Benicorp!E22+'Booker T Washington'!E22+Centennial!E22+'Coastal States'!E22+'Confed Life (CLIC)'!E22+'Consolidated National'!E22+'Consumers United'!E22+'Corporate Life'!E22+'Diamond Benefits'!E22+'EBL Life'!E22+'Family Guaranty'!E22+'Fidelity Bankers'!E22+'First Natl'!E22+'Franklin American'!E22+'Franklin Protective'!E22+'George Washington'!E22+'Golden State'!E22+'Guarantee Security'!E22+Imerica!E22+'Inter-American'!E22+'International Fin'!E22+'Investment Life of America'!E22+'Investors Equity'!E22+'Kentucky Central'!E22+Legion!E22+'London Pac'!E22+'Medical Savings'!E22+'Midwest Life'!E22+'Mutual Benefit'!E22+'Mutual Security'!E22+'National Affiliated'!E22+'Natl American'!E22+'New Jersey Life'!E22+'Old Colony Life'!E22+'Old Faithful'!E22+'Pacific Standard'!E22+SeeChange!E22+'States General'!E22+Statesman!E22+'Summit National'!E22+Supreme!E22+Underwriters!E22+Unison!E22+'United Republic'!E22+'Universal Life'!E22+Universe!E22+Villanova!E22</f>
        <v>0</v>
      </c>
      <c r="F22" s="30">
        <f>+'Alabama Life'!F22+'American Chambers'!F22+'American Educators'!F22+'American Integrity'!F22+'Amer Life Asr'!F22+'Amer Std Life Acc'!F22+AmerWstrn!F22+'AMS Life'!F22+'Bankers Commercial'!F22+Benicorp!F22+'Booker T Washington'!F22+Centennial!F22+'Coastal States'!F22+'Confed Life (CLIC)'!F22+'Consolidated National'!F22+'Consumers United'!F22+'Corporate Life'!F22+'Diamond Benefits'!F22+'EBL Life'!F22+'Family Guaranty'!F22+'Fidelity Bankers'!F22+'First Natl'!F22+'Franklin American'!F22+'Franklin Protective'!F22+'George Washington'!F22+'Golden State'!F22+'Guarantee Security'!F22+Imerica!F22+'Inter-American'!F22+'International Fin'!F22+'Investment Life of America'!F22+'Investors Equity'!F22+'Kentucky Central'!F22+Legion!F22+'London Pac'!F22+'Medical Savings'!F22+'Midwest Life'!F22+'Mutual Benefit'!F22+'Mutual Security'!F22+'National Affiliated'!F22+'Natl American'!F22+'New Jersey Life'!F22+'Old Colony Life'!F22+'Old Faithful'!F22+'Pacific Standard'!F22+SeeChange!F22+'States General'!F22+Statesman!F22+'Summit National'!F22+Supreme!F22+Underwriters!F22+Unison!F22+'United Republic'!F22+'Universal Life'!F22+Universe!F22+Villanova!F22</f>
        <v>0</v>
      </c>
      <c r="G22" s="30">
        <f t="shared" si="0"/>
        <v>8051827.1703849435</v>
      </c>
      <c r="H22" s="30"/>
      <c r="I22" s="30" t="s">
        <v>391</v>
      </c>
      <c r="J22" s="30">
        <f>Summary!TOTAL_74705</f>
        <v>173587826.87265</v>
      </c>
    </row>
    <row r="23" spans="1:10">
      <c r="A23" s="1" t="s">
        <v>40</v>
      </c>
      <c r="B23" s="30">
        <f>+'Alabama Life'!B23+'American Chambers'!B23+'American Educators'!B23+'American Integrity'!B23+'Amer Life Asr'!B23+'Amer Std Life Acc'!B23+AmerWstrn!B23+'AMS Life'!B23+'Bankers Commercial'!B23+Benicorp!B23+'Booker T Washington'!B23+Centennial!B23+'Coastal States'!B23+'Confed Life (CLIC)'!B23+'Consolidated National'!B23+'Consumers United'!B23+'Corporate Life'!B23+'Diamond Benefits'!B23+'EBL Life'!B23+'Family Guaranty'!B23+'Fidelity Bankers'!B23+'First Natl'!B23+'Franklin American'!B23+'Franklin Protective'!B23+'George Washington'!B23+'Golden State'!B23+'Guarantee Security'!B23+Imerica!B23+'Inter-American'!B23+'International Fin'!B23+'Investment Life of America'!B23+'Investors Equity'!B23+'Kentucky Central'!B23+Legion!B23+'London Pac'!B23+'Medical Savings'!B23+'Midwest Life'!B23+'Mutual Benefit'!B23+'Mutual Security'!B23+'National Affiliated'!B23+'Natl American'!B23+'New Jersey Life'!B23+'Old Colony Life'!B23+'Old Faithful'!B23+'Pacific Standard'!B23+SeeChange!B23+'States General'!B23+Statesman!B23+'Summit National'!B23+Supreme!B23+Underwriters!B23+Unison!B23+'United Republic'!B23+'Universal Life'!B23+Universe!B23+Villanova!B23</f>
        <v>1458225.8059438562</v>
      </c>
      <c r="C23" s="30">
        <f>+'Alabama Life'!C23+'American Chambers'!C23+'American Educators'!C23+'American Integrity'!C23+'Amer Life Asr'!C23+'Amer Std Life Acc'!C23+AmerWstrn!C23+'AMS Life'!C23+'Bankers Commercial'!C23+Benicorp!C23+'Booker T Washington'!C23+Centennial!C23+'Coastal States'!C23+'Confed Life (CLIC)'!C23+'Consolidated National'!C23+'Consumers United'!C23+'Corporate Life'!C23+'Diamond Benefits'!C23+'EBL Life'!C23+'Family Guaranty'!C23+'Fidelity Bankers'!C23+'First Natl'!C23+'Franklin American'!C23+'Franklin Protective'!C23+'George Washington'!C23+'Golden State'!C23+'Guarantee Security'!C23+Imerica!C23+'Inter-American'!C23+'International Fin'!C23+'Investment Life of America'!C23+'Investors Equity'!C23+'Kentucky Central'!C23+Legion!C23+'London Pac'!C23+'Medical Savings'!C23+'Midwest Life'!C23+'Mutual Benefit'!C23+'Mutual Security'!C23+'National Affiliated'!C23+'Natl American'!C23+'New Jersey Life'!C23+'Old Colony Life'!C23+'Old Faithful'!C23+'Pacific Standard'!C23+SeeChange!C23+'States General'!C23+Statesman!C23+'Summit National'!C23+Supreme!C23+Underwriters!C23+Unison!C23+'United Republic'!C23+'Universal Life'!C23+Universe!C23+Villanova!C23</f>
        <v>1899137.2471203182</v>
      </c>
      <c r="D23" s="30">
        <f>+'Alabama Life'!D23+'American Chambers'!D23+'American Educators'!D23+'American Integrity'!D23+'Amer Life Asr'!D23+'Amer Std Life Acc'!D23+AmerWstrn!D23+'AMS Life'!D23+'Bankers Commercial'!D23+Benicorp!D23+'Booker T Washington'!D23+Centennial!D23+'Coastal States'!D23+'Confed Life (CLIC)'!D23+'Consolidated National'!D23+'Consumers United'!D23+'Corporate Life'!D23+'Diamond Benefits'!D23+'EBL Life'!D23+'Family Guaranty'!D23+'Fidelity Bankers'!D23+'First Natl'!D23+'Franklin American'!D23+'Franklin Protective'!D23+'George Washington'!D23+'Golden State'!D23+'Guarantee Security'!D23+Imerica!D23+'Inter-American'!D23+'International Fin'!D23+'Investment Life of America'!D23+'Investors Equity'!D23+'Kentucky Central'!D23+Legion!D23+'London Pac'!D23+'Medical Savings'!D23+'Midwest Life'!D23+'Mutual Benefit'!D23+'Mutual Security'!D23+'National Affiliated'!D23+'Natl American'!D23+'New Jersey Life'!D23+'Old Colony Life'!D23+'Old Faithful'!D23+'Pacific Standard'!D23+SeeChange!D23+'States General'!D23+Statesman!D23+'Summit National'!D23+Supreme!D23+Underwriters!D23+Unison!D23+'United Republic'!D23+'Universal Life'!D23+Universe!D23+Villanova!D23</f>
        <v>1277499.16193663</v>
      </c>
      <c r="E23" s="30">
        <f>+'Alabama Life'!E23+'American Chambers'!E23+'American Educators'!E23+'American Integrity'!E23+'Amer Life Asr'!E23+'Amer Std Life Acc'!E23+AmerWstrn!E23+'AMS Life'!E23+'Bankers Commercial'!E23+Benicorp!E23+'Booker T Washington'!E23+Centennial!E23+'Coastal States'!E23+'Confed Life (CLIC)'!E23+'Consolidated National'!E23+'Consumers United'!E23+'Corporate Life'!E23+'Diamond Benefits'!E23+'EBL Life'!E23+'Family Guaranty'!E23+'Fidelity Bankers'!E23+'First Natl'!E23+'Franklin American'!E23+'Franklin Protective'!E23+'George Washington'!E23+'Golden State'!E23+'Guarantee Security'!E23+Imerica!E23+'Inter-American'!E23+'International Fin'!E23+'Investment Life of America'!E23+'Investors Equity'!E23+'Kentucky Central'!E23+Legion!E23+'London Pac'!E23+'Medical Savings'!E23+'Midwest Life'!E23+'Mutual Benefit'!E23+'Mutual Security'!E23+'National Affiliated'!E23+'Natl American'!E23+'New Jersey Life'!E23+'Old Colony Life'!E23+'Old Faithful'!E23+'Pacific Standard'!E23+SeeChange!E23+'States General'!E23+Statesman!E23+'Summit National'!E23+Supreme!E23+Underwriters!E23+Unison!E23+'United Republic'!E23+'Universal Life'!E23+Universe!E23+Villanova!E23</f>
        <v>0</v>
      </c>
      <c r="F23" s="30">
        <f>+'Alabama Life'!F23+'American Chambers'!F23+'American Educators'!F23+'American Integrity'!F23+'Amer Life Asr'!F23+'Amer Std Life Acc'!F23+AmerWstrn!F23+'AMS Life'!F23+'Bankers Commercial'!F23+Benicorp!F23+'Booker T Washington'!F23+Centennial!F23+'Coastal States'!F23+'Confed Life (CLIC)'!F23+'Consolidated National'!F23+'Consumers United'!F23+'Corporate Life'!F23+'Diamond Benefits'!F23+'EBL Life'!F23+'Family Guaranty'!F23+'Fidelity Bankers'!F23+'First Natl'!F23+'Franklin American'!F23+'Franklin Protective'!F23+'George Washington'!F23+'Golden State'!F23+'Guarantee Security'!F23+Imerica!F23+'Inter-American'!F23+'International Fin'!F23+'Investment Life of America'!F23+'Investors Equity'!F23+'Kentucky Central'!F23+Legion!F23+'London Pac'!F23+'Medical Savings'!F23+'Midwest Life'!F23+'Mutual Benefit'!F23+'Mutual Security'!F23+'National Affiliated'!F23+'Natl American'!F23+'New Jersey Life'!F23+'Old Colony Life'!F23+'Old Faithful'!F23+'Pacific Standard'!F23+SeeChange!F23+'States General'!F23+Statesman!F23+'Summit National'!F23+Supreme!F23+Underwriters!F23+Unison!F23+'United Republic'!F23+'Universal Life'!F23+Universe!F23+Villanova!F23</f>
        <v>0</v>
      </c>
      <c r="G23" s="30">
        <f t="shared" si="0"/>
        <v>4634862.2150008045</v>
      </c>
      <c r="H23" s="30"/>
      <c r="I23" s="30" t="s">
        <v>396</v>
      </c>
      <c r="J23" s="30">
        <f>Summary!TOTAL_74969</f>
        <v>12093330.970000001</v>
      </c>
    </row>
    <row r="24" spans="1:10">
      <c r="A24" s="1" t="s">
        <v>42</v>
      </c>
      <c r="B24" s="30">
        <f>+'Alabama Life'!B24+'American Chambers'!B24+'American Educators'!B24+'American Integrity'!B24+'Amer Life Asr'!B24+'Amer Std Life Acc'!B24+AmerWstrn!B24+'AMS Life'!B24+'Bankers Commercial'!B24+Benicorp!B24+'Booker T Washington'!B24+Centennial!B24+'Coastal States'!B24+'Confed Life (CLIC)'!B24+'Consolidated National'!B24+'Consumers United'!B24+'Corporate Life'!B24+'Diamond Benefits'!B24+'EBL Life'!B24+'Family Guaranty'!B24+'Fidelity Bankers'!B24+'First Natl'!B24+'Franklin American'!B24+'Franklin Protective'!B24+'George Washington'!B24+'Golden State'!B24+'Guarantee Security'!B24+Imerica!B24+'Inter-American'!B24+'International Fin'!B24+'Investment Life of America'!B24+'Investors Equity'!B24+'Kentucky Central'!B24+Legion!B24+'London Pac'!B24+'Medical Savings'!B24+'Midwest Life'!B24+'Mutual Benefit'!B24+'Mutual Security'!B24+'National Affiliated'!B24+'Natl American'!B24+'New Jersey Life'!B24+'Old Colony Life'!B24+'Old Faithful'!B24+'Pacific Standard'!B24+SeeChange!B24+'States General'!B24+Statesman!B24+'Summit National'!B24+Supreme!B24+Underwriters!B24+Unison!B24+'United Republic'!B24+'Universal Life'!B24+Universe!B24+Villanova!B24</f>
        <v>2100000.9166716193</v>
      </c>
      <c r="C24" s="30">
        <f>+'Alabama Life'!C24+'American Chambers'!C24+'American Educators'!C24+'American Integrity'!C24+'Amer Life Asr'!C24+'Amer Std Life Acc'!C24+AmerWstrn!C24+'AMS Life'!C24+'Bankers Commercial'!C24+Benicorp!C24+'Booker T Washington'!C24+Centennial!C24+'Coastal States'!C24+'Confed Life (CLIC)'!C24+'Consolidated National'!C24+'Consumers United'!C24+'Corporate Life'!C24+'Diamond Benefits'!C24+'EBL Life'!C24+'Family Guaranty'!C24+'Fidelity Bankers'!C24+'First Natl'!C24+'Franklin American'!C24+'Franklin Protective'!C24+'George Washington'!C24+'Golden State'!C24+'Guarantee Security'!C24+Imerica!C24+'Inter-American'!C24+'International Fin'!C24+'Investment Life of America'!C24+'Investors Equity'!C24+'Kentucky Central'!C24+Legion!C24+'London Pac'!C24+'Medical Savings'!C24+'Midwest Life'!C24+'Mutual Benefit'!C24+'Mutual Security'!C24+'National Affiliated'!C24+'Natl American'!C24+'New Jersey Life'!C24+'Old Colony Life'!C24+'Old Faithful'!C24+'Pacific Standard'!C24+SeeChange!C24+'States General'!C24+Statesman!C24+'Summit National'!C24+Supreme!C24+Underwriters!C24+Unison!C24+'United Republic'!C24+'Universal Life'!C24+Universe!C24+Villanova!C24</f>
        <v>1805858.0377738595</v>
      </c>
      <c r="D24" s="30">
        <f>+'Alabama Life'!D24+'American Chambers'!D24+'American Educators'!D24+'American Integrity'!D24+'Amer Life Asr'!D24+'Amer Std Life Acc'!D24+AmerWstrn!D24+'AMS Life'!D24+'Bankers Commercial'!D24+Benicorp!D24+'Booker T Washington'!D24+Centennial!D24+'Coastal States'!D24+'Confed Life (CLIC)'!D24+'Consolidated National'!D24+'Consumers United'!D24+'Corporate Life'!D24+'Diamond Benefits'!D24+'EBL Life'!D24+'Family Guaranty'!D24+'Fidelity Bankers'!D24+'First Natl'!D24+'Franklin American'!D24+'Franklin Protective'!D24+'George Washington'!D24+'Golden State'!D24+'Guarantee Security'!D24+Imerica!D24+'Inter-American'!D24+'International Fin'!D24+'Investment Life of America'!D24+'Investors Equity'!D24+'Kentucky Central'!D24+Legion!D24+'London Pac'!D24+'Medical Savings'!D24+'Midwest Life'!D24+'Mutual Benefit'!D24+'Mutual Security'!D24+'National Affiliated'!D24+'Natl American'!D24+'New Jersey Life'!D24+'Old Colony Life'!D24+'Old Faithful'!D24+'Pacific Standard'!D24+SeeChange!D24+'States General'!D24+Statesman!D24+'Summit National'!D24+Supreme!D24+Underwriters!D24+Unison!D24+'United Republic'!D24+'Universal Life'!D24+Universe!D24+Villanova!D24</f>
        <v>6232210.8051598174</v>
      </c>
      <c r="E24" s="30">
        <f>+'Alabama Life'!E24+'American Chambers'!E24+'American Educators'!E24+'American Integrity'!E24+'Amer Life Asr'!E24+'Amer Std Life Acc'!E24+AmerWstrn!E24+'AMS Life'!E24+'Bankers Commercial'!E24+Benicorp!E24+'Booker T Washington'!E24+Centennial!E24+'Coastal States'!E24+'Confed Life (CLIC)'!E24+'Consolidated National'!E24+'Consumers United'!E24+'Corporate Life'!E24+'Diamond Benefits'!E24+'EBL Life'!E24+'Family Guaranty'!E24+'Fidelity Bankers'!E24+'First Natl'!E24+'Franklin American'!E24+'Franklin Protective'!E24+'George Washington'!E24+'Golden State'!E24+'Guarantee Security'!E24+Imerica!E24+'Inter-American'!E24+'International Fin'!E24+'Investment Life of America'!E24+'Investors Equity'!E24+'Kentucky Central'!E24+Legion!E24+'London Pac'!E24+'Medical Savings'!E24+'Midwest Life'!E24+'Mutual Benefit'!E24+'Mutual Security'!E24+'National Affiliated'!E24+'Natl American'!E24+'New Jersey Life'!E24+'Old Colony Life'!E24+'Old Faithful'!E24+'Pacific Standard'!E24+SeeChange!E24+'States General'!E24+Statesman!E24+'Summit National'!E24+Supreme!E24+Underwriters!E24+Unison!E24+'United Republic'!E24+'Universal Life'!E24+Universe!E24+Villanova!E24</f>
        <v>0</v>
      </c>
      <c r="F24" s="30">
        <f>+'Alabama Life'!F24+'American Chambers'!F24+'American Educators'!F24+'American Integrity'!F24+'Amer Life Asr'!F24+'Amer Std Life Acc'!F24+AmerWstrn!F24+'AMS Life'!F24+'Bankers Commercial'!F24+Benicorp!F24+'Booker T Washington'!F24+Centennial!F24+'Coastal States'!F24+'Confed Life (CLIC)'!F24+'Consolidated National'!F24+'Consumers United'!F24+'Corporate Life'!F24+'Diamond Benefits'!F24+'EBL Life'!F24+'Family Guaranty'!F24+'Fidelity Bankers'!F24+'First Natl'!F24+'Franklin American'!F24+'Franklin Protective'!F24+'George Washington'!F24+'Golden State'!F24+'Guarantee Security'!F24+Imerica!F24+'Inter-American'!F24+'International Fin'!F24+'Investment Life of America'!F24+'Investors Equity'!F24+'Kentucky Central'!F24+Legion!F24+'London Pac'!F24+'Medical Savings'!F24+'Midwest Life'!F24+'Mutual Benefit'!F24+'Mutual Security'!F24+'National Affiliated'!F24+'Natl American'!F24+'New Jersey Life'!F24+'Old Colony Life'!F24+'Old Faithful'!F24+'Pacific Standard'!F24+SeeChange!F24+'States General'!F24+Statesman!F24+'Summit National'!F24+Supreme!F24+Underwriters!F24+Unison!F24+'United Republic'!F24+'Universal Life'!F24+Universe!F24+Villanova!F24</f>
        <v>0</v>
      </c>
      <c r="G24" s="30">
        <f t="shared" si="0"/>
        <v>10138069.759605296</v>
      </c>
      <c r="H24" s="30"/>
      <c r="I24" s="30" t="s">
        <v>401</v>
      </c>
      <c r="J24" s="30">
        <f>Summary!TOTAL_87033</f>
        <v>14255071.83</v>
      </c>
    </row>
    <row r="25" spans="1:10">
      <c r="A25" s="1" t="s">
        <v>44</v>
      </c>
      <c r="B25" s="30">
        <f>+'Alabama Life'!B25+'American Chambers'!B25+'American Educators'!B25+'American Integrity'!B25+'Amer Life Asr'!B25+'Amer Std Life Acc'!B25+AmerWstrn!B25+'AMS Life'!B25+'Bankers Commercial'!B25+Benicorp!B25+'Booker T Washington'!B25+Centennial!B25+'Coastal States'!B25+'Confed Life (CLIC)'!B25+'Consolidated National'!B25+'Consumers United'!B25+'Corporate Life'!B25+'Diamond Benefits'!B25+'EBL Life'!B25+'Family Guaranty'!B25+'Fidelity Bankers'!B25+'First Natl'!B25+'Franklin American'!B25+'Franklin Protective'!B25+'George Washington'!B25+'Golden State'!B25+'Guarantee Security'!B25+Imerica!B25+'Inter-American'!B25+'International Fin'!B25+'Investment Life of America'!B25+'Investors Equity'!B25+'Kentucky Central'!B25+Legion!B25+'London Pac'!B25+'Medical Savings'!B25+'Midwest Life'!B25+'Mutual Benefit'!B25+'Mutual Security'!B25+'National Affiliated'!B25+'Natl American'!B25+'New Jersey Life'!B25+'Old Colony Life'!B25+'Old Faithful'!B25+'Pacific Standard'!B25+SeeChange!B25+'States General'!B25+Statesman!B25+'Summit National'!B25+Supreme!B25+Underwriters!B25+Unison!B25+'United Republic'!B25+'Universal Life'!B25+Universe!B25+Villanova!B25</f>
        <v>579765.81696449174</v>
      </c>
      <c r="C25" s="30">
        <f>+'Alabama Life'!C25+'American Chambers'!C25+'American Educators'!C25+'American Integrity'!C25+'Amer Life Asr'!C25+'Amer Std Life Acc'!C25+AmerWstrn!C25+'AMS Life'!C25+'Bankers Commercial'!C25+Benicorp!C25+'Booker T Washington'!C25+Centennial!C25+'Coastal States'!C25+'Confed Life (CLIC)'!C25+'Consolidated National'!C25+'Consumers United'!C25+'Corporate Life'!C25+'Diamond Benefits'!C25+'EBL Life'!C25+'Family Guaranty'!C25+'Fidelity Bankers'!C25+'First Natl'!C25+'Franklin American'!C25+'Franklin Protective'!C25+'George Washington'!C25+'Golden State'!C25+'Guarantee Security'!C25+Imerica!C25+'Inter-American'!C25+'International Fin'!C25+'Investment Life of America'!C25+'Investors Equity'!C25+'Kentucky Central'!C25+Legion!C25+'London Pac'!C25+'Medical Savings'!C25+'Midwest Life'!C25+'Mutual Benefit'!C25+'Mutual Security'!C25+'National Affiliated'!C25+'Natl American'!C25+'New Jersey Life'!C25+'Old Colony Life'!C25+'Old Faithful'!C25+'Pacific Standard'!C25+SeeChange!C25+'States General'!C25+Statesman!C25+'Summit National'!C25+Supreme!C25+Underwriters!C25+Unison!C25+'United Republic'!C25+'Universal Life'!C25+Universe!C25+Villanova!C25</f>
        <v>549293.73597703595</v>
      </c>
      <c r="D25" s="30">
        <f>+'Alabama Life'!D25+'American Chambers'!D25+'American Educators'!D25+'American Integrity'!D25+'Amer Life Asr'!D25+'Amer Std Life Acc'!D25+AmerWstrn!D25+'AMS Life'!D25+'Bankers Commercial'!D25+Benicorp!D25+'Booker T Washington'!D25+Centennial!D25+'Coastal States'!D25+'Confed Life (CLIC)'!D25+'Consolidated National'!D25+'Consumers United'!D25+'Corporate Life'!D25+'Diamond Benefits'!D25+'EBL Life'!D25+'Family Guaranty'!D25+'Fidelity Bankers'!D25+'First Natl'!D25+'Franklin American'!D25+'Franklin Protective'!D25+'George Washington'!D25+'Golden State'!D25+'Guarantee Security'!D25+Imerica!D25+'Inter-American'!D25+'International Fin'!D25+'Investment Life of America'!D25+'Investors Equity'!D25+'Kentucky Central'!D25+Legion!D25+'London Pac'!D25+'Medical Savings'!D25+'Midwest Life'!D25+'Mutual Benefit'!D25+'Mutual Security'!D25+'National Affiliated'!D25+'Natl American'!D25+'New Jersey Life'!D25+'Old Colony Life'!D25+'Old Faithful'!D25+'Pacific Standard'!D25+SeeChange!D25+'States General'!D25+Statesman!D25+'Summit National'!D25+Supreme!D25+Underwriters!D25+Unison!D25+'United Republic'!D25+'Universal Life'!D25+Universe!D25+Villanova!D25</f>
        <v>48901.16319822165</v>
      </c>
      <c r="E25" s="30">
        <f>+'Alabama Life'!E25+'American Chambers'!E25+'American Educators'!E25+'American Integrity'!E25+'Amer Life Asr'!E25+'Amer Std Life Acc'!E25+AmerWstrn!E25+'AMS Life'!E25+'Bankers Commercial'!E25+Benicorp!E25+'Booker T Washington'!E25+Centennial!E25+'Coastal States'!E25+'Confed Life (CLIC)'!E25+'Consolidated National'!E25+'Consumers United'!E25+'Corporate Life'!E25+'Diamond Benefits'!E25+'EBL Life'!E25+'Family Guaranty'!E25+'Fidelity Bankers'!E25+'First Natl'!E25+'Franklin American'!E25+'Franklin Protective'!E25+'George Washington'!E25+'Golden State'!E25+'Guarantee Security'!E25+Imerica!E25+'Inter-American'!E25+'International Fin'!E25+'Investment Life of America'!E25+'Investors Equity'!E25+'Kentucky Central'!E25+Legion!E25+'London Pac'!E25+'Medical Savings'!E25+'Midwest Life'!E25+'Mutual Benefit'!E25+'Mutual Security'!E25+'National Affiliated'!E25+'Natl American'!E25+'New Jersey Life'!E25+'Old Colony Life'!E25+'Old Faithful'!E25+'Pacific Standard'!E25+SeeChange!E25+'States General'!E25+Statesman!E25+'Summit National'!E25+Supreme!E25+Underwriters!E25+Unison!E25+'United Republic'!E25+'Universal Life'!E25+Universe!E25+Villanova!E25</f>
        <v>63023.182327443486</v>
      </c>
      <c r="F25" s="30">
        <f>+'Alabama Life'!F25+'American Chambers'!F25+'American Educators'!F25+'American Integrity'!F25+'Amer Life Asr'!F25+'Amer Std Life Acc'!F25+AmerWstrn!F25+'AMS Life'!F25+'Bankers Commercial'!F25+Benicorp!F25+'Booker T Washington'!F25+Centennial!F25+'Coastal States'!F25+'Confed Life (CLIC)'!F25+'Consolidated National'!F25+'Consumers United'!F25+'Corporate Life'!F25+'Diamond Benefits'!F25+'EBL Life'!F25+'Family Guaranty'!F25+'Fidelity Bankers'!F25+'First Natl'!F25+'Franklin American'!F25+'Franklin Protective'!F25+'George Washington'!F25+'Golden State'!F25+'Guarantee Security'!F25+Imerica!F25+'Inter-American'!F25+'International Fin'!F25+'Investment Life of America'!F25+'Investors Equity'!F25+'Kentucky Central'!F25+Legion!F25+'London Pac'!F25+'Medical Savings'!F25+'Midwest Life'!F25+'Mutual Benefit'!F25+'Mutual Security'!F25+'National Affiliated'!F25+'Natl American'!F25+'New Jersey Life'!F25+'Old Colony Life'!F25+'Old Faithful'!F25+'Pacific Standard'!F25+SeeChange!F25+'States General'!F25+Statesman!F25+'Summit National'!F25+Supreme!F25+Underwriters!F25+Unison!F25+'United Republic'!F25+'Universal Life'!F25+Universe!F25+Villanova!F25</f>
        <v>0</v>
      </c>
      <c r="G25" s="30">
        <f t="shared" si="0"/>
        <v>1240983.8984671929</v>
      </c>
      <c r="H25" s="30"/>
      <c r="I25" s="30" t="s">
        <v>405</v>
      </c>
      <c r="J25" s="30">
        <f>Summary!TOTAL_75302</f>
        <v>19770463.759021532</v>
      </c>
    </row>
    <row r="26" spans="1:10">
      <c r="A26" s="1" t="s">
        <v>45</v>
      </c>
      <c r="B26" s="30">
        <f>+'Alabama Life'!B26+'American Chambers'!B26+'American Educators'!B26+'American Integrity'!B26+'Amer Life Asr'!B26+'Amer Std Life Acc'!B26+AmerWstrn!B26+'AMS Life'!B26+'Bankers Commercial'!B26+Benicorp!B26+'Booker T Washington'!B26+Centennial!B26+'Coastal States'!B26+'Confed Life (CLIC)'!B26+'Consolidated National'!B26+'Consumers United'!B26+'Corporate Life'!B26+'Diamond Benefits'!B26+'EBL Life'!B26+'Family Guaranty'!B26+'Fidelity Bankers'!B26+'First Natl'!B26+'Franklin American'!B26+'Franklin Protective'!B26+'George Washington'!B26+'Golden State'!B26+'Guarantee Security'!B26+Imerica!B26+'Inter-American'!B26+'International Fin'!B26+'Investment Life of America'!B26+'Investors Equity'!B26+'Kentucky Central'!B26+Legion!B26+'London Pac'!B26+'Medical Savings'!B26+'Midwest Life'!B26+'Mutual Benefit'!B26+'Mutual Security'!B26+'National Affiliated'!B26+'Natl American'!B26+'New Jersey Life'!B26+'Old Colony Life'!B26+'Old Faithful'!B26+'Pacific Standard'!B26+SeeChange!B26+'States General'!B26+Statesman!B26+'Summit National'!B26+Supreme!B26+Underwriters!B26+Unison!B26+'United Republic'!B26+'Universal Life'!B26+Universe!B26+Villanova!B26</f>
        <v>1859900.4689920521</v>
      </c>
      <c r="C26" s="30">
        <f>+'Alabama Life'!C26+'American Chambers'!C26+'American Educators'!C26+'American Integrity'!C26+'Amer Life Asr'!C26+'Amer Std Life Acc'!C26+AmerWstrn!C26+'AMS Life'!C26+'Bankers Commercial'!C26+Benicorp!C26+'Booker T Washington'!C26+Centennial!C26+'Coastal States'!C26+'Confed Life (CLIC)'!C26+'Consolidated National'!C26+'Consumers United'!C26+'Corporate Life'!C26+'Diamond Benefits'!C26+'EBL Life'!C26+'Family Guaranty'!C26+'Fidelity Bankers'!C26+'First Natl'!C26+'Franklin American'!C26+'Franklin Protective'!C26+'George Washington'!C26+'Golden State'!C26+'Guarantee Security'!C26+Imerica!C26+'Inter-American'!C26+'International Fin'!C26+'Investment Life of America'!C26+'Investors Equity'!C26+'Kentucky Central'!C26+Legion!C26+'London Pac'!C26+'Medical Savings'!C26+'Midwest Life'!C26+'Mutual Benefit'!C26+'Mutual Security'!C26+'National Affiliated'!C26+'Natl American'!C26+'New Jersey Life'!C26+'Old Colony Life'!C26+'Old Faithful'!C26+'Pacific Standard'!C26+SeeChange!C26+'States General'!C26+Statesman!C26+'Summit National'!C26+Supreme!C26+Underwriters!C26+Unison!C26+'United Republic'!C26+'Universal Life'!C26+Universe!C26+Villanova!C26</f>
        <v>5171586.9823300615</v>
      </c>
      <c r="D26" s="30">
        <f>+'Alabama Life'!D26+'American Chambers'!D26+'American Educators'!D26+'American Integrity'!D26+'Amer Life Asr'!D26+'Amer Std Life Acc'!D26+AmerWstrn!D26+'AMS Life'!D26+'Bankers Commercial'!D26+Benicorp!D26+'Booker T Washington'!D26+Centennial!D26+'Coastal States'!D26+'Confed Life (CLIC)'!D26+'Consolidated National'!D26+'Consumers United'!D26+'Corporate Life'!D26+'Diamond Benefits'!D26+'EBL Life'!D26+'Family Guaranty'!D26+'Fidelity Bankers'!D26+'First Natl'!D26+'Franklin American'!D26+'Franklin Protective'!D26+'George Washington'!D26+'Golden State'!D26+'Guarantee Security'!D26+Imerica!D26+'Inter-American'!D26+'International Fin'!D26+'Investment Life of America'!D26+'Investors Equity'!D26+'Kentucky Central'!D26+Legion!D26+'London Pac'!D26+'Medical Savings'!D26+'Midwest Life'!D26+'Mutual Benefit'!D26+'Mutual Security'!D26+'National Affiliated'!D26+'Natl American'!D26+'New Jersey Life'!D26+'Old Colony Life'!D26+'Old Faithful'!D26+'Pacific Standard'!D26+SeeChange!D26+'States General'!D26+Statesman!D26+'Summit National'!D26+Supreme!D26+Underwriters!D26+Unison!D26+'United Republic'!D26+'Universal Life'!D26+Universe!D26+Villanova!D26</f>
        <v>476968.226125277</v>
      </c>
      <c r="E26" s="30">
        <f>+'Alabama Life'!E26+'American Chambers'!E26+'American Educators'!E26+'American Integrity'!E26+'Amer Life Asr'!E26+'Amer Std Life Acc'!E26+AmerWstrn!E26+'AMS Life'!E26+'Bankers Commercial'!E26+Benicorp!E26+'Booker T Washington'!E26+Centennial!E26+'Coastal States'!E26+'Confed Life (CLIC)'!E26+'Consolidated National'!E26+'Consumers United'!E26+'Corporate Life'!E26+'Diamond Benefits'!E26+'EBL Life'!E26+'Family Guaranty'!E26+'Fidelity Bankers'!E26+'First Natl'!E26+'Franklin American'!E26+'Franklin Protective'!E26+'George Washington'!E26+'Golden State'!E26+'Guarantee Security'!E26+Imerica!E26+'Inter-American'!E26+'International Fin'!E26+'Investment Life of America'!E26+'Investors Equity'!E26+'Kentucky Central'!E26+Legion!E26+'London Pac'!E26+'Medical Savings'!E26+'Midwest Life'!E26+'Mutual Benefit'!E26+'Mutual Security'!E26+'National Affiliated'!E26+'Natl American'!E26+'New Jersey Life'!E26+'Old Colony Life'!E26+'Old Faithful'!E26+'Pacific Standard'!E26+SeeChange!E26+'States General'!E26+Statesman!E26+'Summit National'!E26+Supreme!E26+Underwriters!E26+Unison!E26+'United Republic'!E26+'Universal Life'!E26+Universe!E26+Villanova!E26</f>
        <v>-582.42313150968403</v>
      </c>
      <c r="F26" s="30">
        <f>+'Alabama Life'!F26+'American Chambers'!F26+'American Educators'!F26+'American Integrity'!F26+'Amer Life Asr'!F26+'Amer Std Life Acc'!F26+AmerWstrn!F26+'AMS Life'!F26+'Bankers Commercial'!F26+Benicorp!F26+'Booker T Washington'!F26+Centennial!F26+'Coastal States'!F26+'Confed Life (CLIC)'!F26+'Consolidated National'!F26+'Consumers United'!F26+'Corporate Life'!F26+'Diamond Benefits'!F26+'EBL Life'!F26+'Family Guaranty'!F26+'Fidelity Bankers'!F26+'First Natl'!F26+'Franklin American'!F26+'Franklin Protective'!F26+'George Washington'!F26+'Golden State'!F26+'Guarantee Security'!F26+Imerica!F26+'Inter-American'!F26+'International Fin'!F26+'Investment Life of America'!F26+'Investors Equity'!F26+'Kentucky Central'!F26+Legion!F26+'London Pac'!F26+'Medical Savings'!F26+'Midwest Life'!F26+'Mutual Benefit'!F26+'Mutual Security'!F26+'National Affiliated'!F26+'Natl American'!F26+'New Jersey Life'!F26+'Old Colony Life'!F26+'Old Faithful'!F26+'Pacific Standard'!F26+SeeChange!F26+'States General'!F26+Statesman!F26+'Summit National'!F26+Supreme!F26+Underwriters!F26+Unison!F26+'United Republic'!F26+'Universal Life'!F26+Universe!F26+Villanova!F26</f>
        <v>0</v>
      </c>
      <c r="G26" s="30">
        <f t="shared" si="0"/>
        <v>7507873.2543158811</v>
      </c>
      <c r="H26" s="30"/>
      <c r="I26" s="30" t="s">
        <v>408</v>
      </c>
      <c r="J26" s="30">
        <f>Summary!TOTAL_63266</f>
        <v>14440461.450000001</v>
      </c>
    </row>
    <row r="27" spans="1:10">
      <c r="A27" s="1" t="s">
        <v>47</v>
      </c>
      <c r="B27" s="30">
        <f>+'Alabama Life'!B27+'American Chambers'!B27+'American Educators'!B27+'American Integrity'!B27+'Amer Life Asr'!B27+'Amer Std Life Acc'!B27+AmerWstrn!B27+'AMS Life'!B27+'Bankers Commercial'!B27+Benicorp!B27+'Booker T Washington'!B27+Centennial!B27+'Coastal States'!B27+'Confed Life (CLIC)'!B27+'Consolidated National'!B27+'Consumers United'!B27+'Corporate Life'!B27+'Diamond Benefits'!B27+'EBL Life'!B27+'Family Guaranty'!B27+'Fidelity Bankers'!B27+'First Natl'!B27+'Franklin American'!B27+'Franklin Protective'!B27+'George Washington'!B27+'Golden State'!B27+'Guarantee Security'!B27+Imerica!B27+'Inter-American'!B27+'International Fin'!B27+'Investment Life of America'!B27+'Investors Equity'!B27+'Kentucky Central'!B27+Legion!B27+'London Pac'!B27+'Medical Savings'!B27+'Midwest Life'!B27+'Mutual Benefit'!B27+'Mutual Security'!B27+'National Affiliated'!B27+'Natl American'!B27+'New Jersey Life'!B27+'Old Colony Life'!B27+'Old Faithful'!B27+'Pacific Standard'!B27+SeeChange!B27+'States General'!B27+Statesman!B27+'Summit National'!B27+Supreme!B27+Underwriters!B27+Unison!B27+'United Republic'!B27+'Universal Life'!B27+Universe!B27+Villanova!B27</f>
        <v>3534653.1428944422</v>
      </c>
      <c r="C27" s="30">
        <f>+'Alabama Life'!C27+'American Chambers'!C27+'American Educators'!C27+'American Integrity'!C27+'Amer Life Asr'!C27+'Amer Std Life Acc'!C27+AmerWstrn!C27+'AMS Life'!C27+'Bankers Commercial'!C27+Benicorp!C27+'Booker T Washington'!C27+Centennial!C27+'Coastal States'!C27+'Confed Life (CLIC)'!C27+'Consolidated National'!C27+'Consumers United'!C27+'Corporate Life'!C27+'Diamond Benefits'!C27+'EBL Life'!C27+'Family Guaranty'!C27+'Fidelity Bankers'!C27+'First Natl'!C27+'Franklin American'!C27+'Franklin Protective'!C27+'George Washington'!C27+'Golden State'!C27+'Guarantee Security'!C27+Imerica!C27+'Inter-American'!C27+'International Fin'!C27+'Investment Life of America'!C27+'Investors Equity'!C27+'Kentucky Central'!C27+Legion!C27+'London Pac'!C27+'Medical Savings'!C27+'Midwest Life'!C27+'Mutual Benefit'!C27+'Mutual Security'!C27+'National Affiliated'!C27+'Natl American'!C27+'New Jersey Life'!C27+'Old Colony Life'!C27+'Old Faithful'!C27+'Pacific Standard'!C27+SeeChange!C27+'States General'!C27+Statesman!C27+'Summit National'!C27+Supreme!C27+Underwriters!C27+Unison!C27+'United Republic'!C27+'Universal Life'!C27+Universe!C27+Villanova!C27</f>
        <v>3179596.3641537353</v>
      </c>
      <c r="D27" s="30">
        <f>+'Alabama Life'!D27+'American Chambers'!D27+'American Educators'!D27+'American Integrity'!D27+'Amer Life Asr'!D27+'Amer Std Life Acc'!D27+AmerWstrn!D27+'AMS Life'!D27+'Bankers Commercial'!D27+Benicorp!D27+'Booker T Washington'!D27+Centennial!D27+'Coastal States'!D27+'Confed Life (CLIC)'!D27+'Consolidated National'!D27+'Consumers United'!D27+'Corporate Life'!D27+'Diamond Benefits'!D27+'EBL Life'!D27+'Family Guaranty'!D27+'Fidelity Bankers'!D27+'First Natl'!D27+'Franklin American'!D27+'Franklin Protective'!D27+'George Washington'!D27+'Golden State'!D27+'Guarantee Security'!D27+Imerica!D27+'Inter-American'!D27+'International Fin'!D27+'Investment Life of America'!D27+'Investors Equity'!D27+'Kentucky Central'!D27+Legion!D27+'London Pac'!D27+'Medical Savings'!D27+'Midwest Life'!D27+'Mutual Benefit'!D27+'Mutual Security'!D27+'National Affiliated'!D27+'Natl American'!D27+'New Jersey Life'!D27+'Old Colony Life'!D27+'Old Faithful'!D27+'Pacific Standard'!D27+SeeChange!D27+'States General'!D27+Statesman!D27+'Summit National'!D27+Supreme!D27+Underwriters!D27+Unison!D27+'United Republic'!D27+'Universal Life'!D27+Universe!D27+Villanova!D27</f>
        <v>1666731.383089581</v>
      </c>
      <c r="E27" s="30">
        <f>+'Alabama Life'!E27+'American Chambers'!E27+'American Educators'!E27+'American Integrity'!E27+'Amer Life Asr'!E27+'Amer Std Life Acc'!E27+AmerWstrn!E27+'AMS Life'!E27+'Bankers Commercial'!E27+Benicorp!E27+'Booker T Washington'!E27+Centennial!E27+'Coastal States'!E27+'Confed Life (CLIC)'!E27+'Consolidated National'!E27+'Consumers United'!E27+'Corporate Life'!E27+'Diamond Benefits'!E27+'EBL Life'!E27+'Family Guaranty'!E27+'Fidelity Bankers'!E27+'First Natl'!E27+'Franklin American'!E27+'Franklin Protective'!E27+'George Washington'!E27+'Golden State'!E27+'Guarantee Security'!E27+Imerica!E27+'Inter-American'!E27+'International Fin'!E27+'Investment Life of America'!E27+'Investors Equity'!E27+'Kentucky Central'!E27+Legion!E27+'London Pac'!E27+'Medical Savings'!E27+'Midwest Life'!E27+'Mutual Benefit'!E27+'Mutual Security'!E27+'National Affiliated'!E27+'Natl American'!E27+'New Jersey Life'!E27+'Old Colony Life'!E27+'Old Faithful'!E27+'Pacific Standard'!E27+SeeChange!E27+'States General'!E27+Statesman!E27+'Summit National'!E27+Supreme!E27+Underwriters!E27+Unison!E27+'United Republic'!E27+'Universal Life'!E27+Universe!E27+Villanova!E27</f>
        <v>0</v>
      </c>
      <c r="F27" s="30">
        <f>+'Alabama Life'!F27+'American Chambers'!F27+'American Educators'!F27+'American Integrity'!F27+'Amer Life Asr'!F27+'Amer Std Life Acc'!F27+AmerWstrn!F27+'AMS Life'!F27+'Bankers Commercial'!F27+Benicorp!F27+'Booker T Washington'!F27+Centennial!F27+'Coastal States'!F27+'Confed Life (CLIC)'!F27+'Consolidated National'!F27+'Consumers United'!F27+'Corporate Life'!F27+'Diamond Benefits'!F27+'EBL Life'!F27+'Family Guaranty'!F27+'Fidelity Bankers'!F27+'First Natl'!F27+'Franklin American'!F27+'Franklin Protective'!F27+'George Washington'!F27+'Golden State'!F27+'Guarantee Security'!F27+Imerica!F27+'Inter-American'!F27+'International Fin'!F27+'Investment Life of America'!F27+'Investors Equity'!F27+'Kentucky Central'!F27+Legion!F27+'London Pac'!F27+'Medical Savings'!F27+'Midwest Life'!F27+'Mutual Benefit'!F27+'Mutual Security'!F27+'National Affiliated'!F27+'Natl American'!F27+'New Jersey Life'!F27+'Old Colony Life'!F27+'Old Faithful'!F27+'Pacific Standard'!F27+SeeChange!F27+'States General'!F27+Statesman!F27+'Summit National'!F27+Supreme!F27+Underwriters!F27+Unison!F27+'United Republic'!F27+'Universal Life'!F27+Universe!F27+Villanova!F27</f>
        <v>0</v>
      </c>
      <c r="G27" s="30">
        <f t="shared" si="0"/>
        <v>8380980.8901377581</v>
      </c>
      <c r="H27" s="30"/>
      <c r="I27" s="30" t="s">
        <v>414</v>
      </c>
      <c r="J27" s="30">
        <f>Summary!TOTAL_63517</f>
        <v>226006.55000000005</v>
      </c>
    </row>
    <row r="28" spans="1:10">
      <c r="A28" s="1" t="s">
        <v>49</v>
      </c>
      <c r="B28" s="30">
        <f>+'Alabama Life'!B28+'American Chambers'!B28+'American Educators'!B28+'American Integrity'!B28+'Amer Life Asr'!B28+'Amer Std Life Acc'!B28+AmerWstrn!B28+'AMS Life'!B28+'Bankers Commercial'!B28+Benicorp!B28+'Booker T Washington'!B28+Centennial!B28+'Coastal States'!B28+'Confed Life (CLIC)'!B28+'Consolidated National'!B28+'Consumers United'!B28+'Corporate Life'!B28+'Diamond Benefits'!B28+'EBL Life'!B28+'Family Guaranty'!B28+'Fidelity Bankers'!B28+'First Natl'!B28+'Franklin American'!B28+'Franklin Protective'!B28+'George Washington'!B28+'Golden State'!B28+'Guarantee Security'!B28+Imerica!B28+'Inter-American'!B28+'International Fin'!B28+'Investment Life of America'!B28+'Investors Equity'!B28+'Kentucky Central'!B28+Legion!B28+'London Pac'!B28+'Medical Savings'!B28+'Midwest Life'!B28+'Mutual Benefit'!B28+'Mutual Security'!B28+'National Affiliated'!B28+'Natl American'!B28+'New Jersey Life'!B28+'Old Colony Life'!B28+'Old Faithful'!B28+'Pacific Standard'!B28+SeeChange!B28+'States General'!B28+Statesman!B28+'Summit National'!B28+Supreme!B28+Underwriters!B28+Unison!B28+'United Republic'!B28+'Universal Life'!B28+Universe!B28+Villanova!B28</f>
        <v>9264357.0436368752</v>
      </c>
      <c r="C28" s="30">
        <f>+'Alabama Life'!C28+'American Chambers'!C28+'American Educators'!C28+'American Integrity'!C28+'Amer Life Asr'!C28+'Amer Std Life Acc'!C28+AmerWstrn!C28+'AMS Life'!C28+'Bankers Commercial'!C28+Benicorp!C28+'Booker T Washington'!C28+Centennial!C28+'Coastal States'!C28+'Confed Life (CLIC)'!C28+'Consolidated National'!C28+'Consumers United'!C28+'Corporate Life'!C28+'Diamond Benefits'!C28+'EBL Life'!C28+'Family Guaranty'!C28+'Fidelity Bankers'!C28+'First Natl'!C28+'Franklin American'!C28+'Franklin Protective'!C28+'George Washington'!C28+'Golden State'!C28+'Guarantee Security'!C28+Imerica!C28+'Inter-American'!C28+'International Fin'!C28+'Investment Life of America'!C28+'Investors Equity'!C28+'Kentucky Central'!C28+Legion!C28+'London Pac'!C28+'Medical Savings'!C28+'Midwest Life'!C28+'Mutual Benefit'!C28+'Mutual Security'!C28+'National Affiliated'!C28+'Natl American'!C28+'New Jersey Life'!C28+'Old Colony Life'!C28+'Old Faithful'!C28+'Pacific Standard'!C28+SeeChange!C28+'States General'!C28+Statesman!C28+'Summit National'!C28+Supreme!C28+Underwriters!C28+Unison!C28+'United Republic'!C28+'Universal Life'!C28+Universe!C28+Villanova!C28</f>
        <v>15212370.362141211</v>
      </c>
      <c r="D28" s="30">
        <f>+'Alabama Life'!D28+'American Chambers'!D28+'American Educators'!D28+'American Integrity'!D28+'Amer Life Asr'!D28+'Amer Std Life Acc'!D28+AmerWstrn!D28+'AMS Life'!D28+'Bankers Commercial'!D28+Benicorp!D28+'Booker T Washington'!D28+Centennial!D28+'Coastal States'!D28+'Confed Life (CLIC)'!D28+'Consolidated National'!D28+'Consumers United'!D28+'Corporate Life'!D28+'Diamond Benefits'!D28+'EBL Life'!D28+'Family Guaranty'!D28+'Fidelity Bankers'!D28+'First Natl'!D28+'Franklin American'!D28+'Franklin Protective'!D28+'George Washington'!D28+'Golden State'!D28+'Guarantee Security'!D28+Imerica!D28+'Inter-American'!D28+'International Fin'!D28+'Investment Life of America'!D28+'Investors Equity'!D28+'Kentucky Central'!D28+Legion!D28+'London Pac'!D28+'Medical Savings'!D28+'Midwest Life'!D28+'Mutual Benefit'!D28+'Mutual Security'!D28+'National Affiliated'!D28+'Natl American'!D28+'New Jersey Life'!D28+'Old Colony Life'!D28+'Old Faithful'!D28+'Pacific Standard'!D28+SeeChange!D28+'States General'!D28+Statesman!D28+'Summit National'!D28+Supreme!D28+Underwriters!D28+Unison!D28+'United Republic'!D28+'Universal Life'!D28+Universe!D28+Villanova!D28</f>
        <v>43842.123372727059</v>
      </c>
      <c r="E28" s="30">
        <f>+'Alabama Life'!E28+'American Chambers'!E28+'American Educators'!E28+'American Integrity'!E28+'Amer Life Asr'!E28+'Amer Std Life Acc'!E28+AmerWstrn!E28+'AMS Life'!E28+'Bankers Commercial'!E28+Benicorp!E28+'Booker T Washington'!E28+Centennial!E28+'Coastal States'!E28+'Confed Life (CLIC)'!E28+'Consolidated National'!E28+'Consumers United'!E28+'Corporate Life'!E28+'Diamond Benefits'!E28+'EBL Life'!E28+'Family Guaranty'!E28+'Fidelity Bankers'!E28+'First Natl'!E28+'Franklin American'!E28+'Franklin Protective'!E28+'George Washington'!E28+'Golden State'!E28+'Guarantee Security'!E28+Imerica!E28+'Inter-American'!E28+'International Fin'!E28+'Investment Life of America'!E28+'Investors Equity'!E28+'Kentucky Central'!E28+Legion!E28+'London Pac'!E28+'Medical Savings'!E28+'Midwest Life'!E28+'Mutual Benefit'!E28+'Mutual Security'!E28+'National Affiliated'!E28+'Natl American'!E28+'New Jersey Life'!E28+'Old Colony Life'!E28+'Old Faithful'!E28+'Pacific Standard'!E28+SeeChange!E28+'States General'!E28+Statesman!E28+'Summit National'!E28+Supreme!E28+Underwriters!E28+Unison!E28+'United Republic'!E28+'Universal Life'!E28+Universe!E28+Villanova!E28</f>
        <v>3372843.4317399804</v>
      </c>
      <c r="F28" s="30">
        <f>+'Alabama Life'!F28+'American Chambers'!F28+'American Educators'!F28+'American Integrity'!F28+'Amer Life Asr'!F28+'Amer Std Life Acc'!F28+AmerWstrn!F28+'AMS Life'!F28+'Bankers Commercial'!F28+Benicorp!F28+'Booker T Washington'!F28+Centennial!F28+'Coastal States'!F28+'Confed Life (CLIC)'!F28+'Consolidated National'!F28+'Consumers United'!F28+'Corporate Life'!F28+'Diamond Benefits'!F28+'EBL Life'!F28+'Family Guaranty'!F28+'Fidelity Bankers'!F28+'First Natl'!F28+'Franklin American'!F28+'Franklin Protective'!F28+'George Washington'!F28+'Golden State'!F28+'Guarantee Security'!F28+Imerica!F28+'Inter-American'!F28+'International Fin'!F28+'Investment Life of America'!F28+'Investors Equity'!F28+'Kentucky Central'!F28+Legion!F28+'London Pac'!F28+'Medical Savings'!F28+'Midwest Life'!F28+'Mutual Benefit'!F28+'Mutual Security'!F28+'National Affiliated'!F28+'Natl American'!F28+'New Jersey Life'!F28+'Old Colony Life'!F28+'Old Faithful'!F28+'Pacific Standard'!F28+SeeChange!F28+'States General'!F28+Statesman!F28+'Summit National'!F28+Supreme!F28+Underwriters!F28+Unison!F28+'United Republic'!F28+'Universal Life'!F28+Universe!F28+Villanova!F28</f>
        <v>0</v>
      </c>
      <c r="G28" s="30">
        <f t="shared" si="0"/>
        <v>27893412.960890792</v>
      </c>
      <c r="H28" s="30"/>
      <c r="I28" s="30" t="s">
        <v>419</v>
      </c>
      <c r="J28" s="30">
        <f>Summary!TOTAL_68489</f>
        <v>473627.79736712511</v>
      </c>
    </row>
    <row r="29" spans="1:10">
      <c r="A29" s="1" t="s">
        <v>50</v>
      </c>
      <c r="B29" s="30">
        <f>+'Alabama Life'!B29+'American Chambers'!B29+'American Educators'!B29+'American Integrity'!B29+'Amer Life Asr'!B29+'Amer Std Life Acc'!B29+AmerWstrn!B29+'AMS Life'!B29+'Bankers Commercial'!B29+Benicorp!B29+'Booker T Washington'!B29+Centennial!B29+'Coastal States'!B29+'Confed Life (CLIC)'!B29+'Consolidated National'!B29+'Consumers United'!B29+'Corporate Life'!B29+'Diamond Benefits'!B29+'EBL Life'!B29+'Family Guaranty'!B29+'Fidelity Bankers'!B29+'First Natl'!B29+'Franklin American'!B29+'Franklin Protective'!B29+'George Washington'!B29+'Golden State'!B29+'Guarantee Security'!B29+Imerica!B29+'Inter-American'!B29+'International Fin'!B29+'Investment Life of America'!B29+'Investors Equity'!B29+'Kentucky Central'!B29+Legion!B29+'London Pac'!B29+'Medical Savings'!B29+'Midwest Life'!B29+'Mutual Benefit'!B29+'Mutual Security'!B29+'National Affiliated'!B29+'Natl American'!B29+'New Jersey Life'!B29+'Old Colony Life'!B29+'Old Faithful'!B29+'Pacific Standard'!B29+SeeChange!B29+'States General'!B29+Statesman!B29+'Summit National'!B29+Supreme!B29+Underwriters!B29+Unison!B29+'United Republic'!B29+'Universal Life'!B29+Universe!B29+Villanova!B29</f>
        <v>2755060.0196639765</v>
      </c>
      <c r="C29" s="30">
        <f>+'Alabama Life'!C29+'American Chambers'!C29+'American Educators'!C29+'American Integrity'!C29+'Amer Life Asr'!C29+'Amer Std Life Acc'!C29+AmerWstrn!C29+'AMS Life'!C29+'Bankers Commercial'!C29+Benicorp!C29+'Booker T Washington'!C29+Centennial!C29+'Coastal States'!C29+'Confed Life (CLIC)'!C29+'Consolidated National'!C29+'Consumers United'!C29+'Corporate Life'!C29+'Diamond Benefits'!C29+'EBL Life'!C29+'Family Guaranty'!C29+'Fidelity Bankers'!C29+'First Natl'!C29+'Franklin American'!C29+'Franklin Protective'!C29+'George Washington'!C29+'Golden State'!C29+'Guarantee Security'!C29+Imerica!C29+'Inter-American'!C29+'International Fin'!C29+'Investment Life of America'!C29+'Investors Equity'!C29+'Kentucky Central'!C29+Legion!C29+'London Pac'!C29+'Medical Savings'!C29+'Midwest Life'!C29+'Mutual Benefit'!C29+'Mutual Security'!C29+'National Affiliated'!C29+'Natl American'!C29+'New Jersey Life'!C29+'Old Colony Life'!C29+'Old Faithful'!C29+'Pacific Standard'!C29+SeeChange!C29+'States General'!C29+Statesman!C29+'Summit National'!C29+Supreme!C29+Underwriters!C29+Unison!C29+'United Republic'!C29+'Universal Life'!C29+Universe!C29+Villanova!C29</f>
        <v>23326827.631874789</v>
      </c>
      <c r="D29" s="30">
        <f>+'Alabama Life'!D29+'American Chambers'!D29+'American Educators'!D29+'American Integrity'!D29+'Amer Life Asr'!D29+'Amer Std Life Acc'!D29+AmerWstrn!D29+'AMS Life'!D29+'Bankers Commercial'!D29+Benicorp!D29+'Booker T Washington'!D29+Centennial!D29+'Coastal States'!D29+'Confed Life (CLIC)'!D29+'Consolidated National'!D29+'Consumers United'!D29+'Corporate Life'!D29+'Diamond Benefits'!D29+'EBL Life'!D29+'Family Guaranty'!D29+'Fidelity Bankers'!D29+'First Natl'!D29+'Franklin American'!D29+'Franklin Protective'!D29+'George Washington'!D29+'Golden State'!D29+'Guarantee Security'!D29+Imerica!D29+'Inter-American'!D29+'International Fin'!D29+'Investment Life of America'!D29+'Investors Equity'!D29+'Kentucky Central'!D29+Legion!D29+'London Pac'!D29+'Medical Savings'!D29+'Midwest Life'!D29+'Mutual Benefit'!D29+'Mutual Security'!D29+'National Affiliated'!D29+'Natl American'!D29+'New Jersey Life'!D29+'Old Colony Life'!D29+'Old Faithful'!D29+'Pacific Standard'!D29+SeeChange!D29+'States General'!D29+Statesman!D29+'Summit National'!D29+Supreme!D29+Underwriters!D29+Unison!D29+'United Republic'!D29+'Universal Life'!D29+Universe!D29+Villanova!D29</f>
        <v>257992.14964444155</v>
      </c>
      <c r="E29" s="30">
        <f>+'Alabama Life'!E29+'American Chambers'!E29+'American Educators'!E29+'American Integrity'!E29+'Amer Life Asr'!E29+'Amer Std Life Acc'!E29+AmerWstrn!E29+'AMS Life'!E29+'Bankers Commercial'!E29+Benicorp!E29+'Booker T Washington'!E29+Centennial!E29+'Coastal States'!E29+'Confed Life (CLIC)'!E29+'Consolidated National'!E29+'Consumers United'!E29+'Corporate Life'!E29+'Diamond Benefits'!E29+'EBL Life'!E29+'Family Guaranty'!E29+'Fidelity Bankers'!E29+'First Natl'!E29+'Franklin American'!E29+'Franklin Protective'!E29+'George Washington'!E29+'Golden State'!E29+'Guarantee Security'!E29+Imerica!E29+'Inter-American'!E29+'International Fin'!E29+'Investment Life of America'!E29+'Investors Equity'!E29+'Kentucky Central'!E29+Legion!E29+'London Pac'!E29+'Medical Savings'!E29+'Midwest Life'!E29+'Mutual Benefit'!E29+'Mutual Security'!E29+'National Affiliated'!E29+'Natl American'!E29+'New Jersey Life'!E29+'Old Colony Life'!E29+'Old Faithful'!E29+'Pacific Standard'!E29+SeeChange!E29+'States General'!E29+Statesman!E29+'Summit National'!E29+Supreme!E29+Underwriters!E29+Unison!E29+'United Republic'!E29+'Universal Life'!E29+Universe!E29+Villanova!E29</f>
        <v>2396400.2635905049</v>
      </c>
      <c r="F29" s="30">
        <f>+'Alabama Life'!F29+'American Chambers'!F29+'American Educators'!F29+'American Integrity'!F29+'Amer Life Asr'!F29+'Amer Std Life Acc'!F29+AmerWstrn!F29+'AMS Life'!F29+'Bankers Commercial'!F29+Benicorp!F29+'Booker T Washington'!F29+Centennial!F29+'Coastal States'!F29+'Confed Life (CLIC)'!F29+'Consolidated National'!F29+'Consumers United'!F29+'Corporate Life'!F29+'Diamond Benefits'!F29+'EBL Life'!F29+'Family Guaranty'!F29+'Fidelity Bankers'!F29+'First Natl'!F29+'Franklin American'!F29+'Franklin Protective'!F29+'George Washington'!F29+'Golden State'!F29+'Guarantee Security'!F29+Imerica!F29+'Inter-American'!F29+'International Fin'!F29+'Investment Life of America'!F29+'Investors Equity'!F29+'Kentucky Central'!F29+Legion!F29+'London Pac'!F29+'Medical Savings'!F29+'Midwest Life'!F29+'Mutual Benefit'!F29+'Mutual Security'!F29+'National Affiliated'!F29+'Natl American'!F29+'New Jersey Life'!F29+'Old Colony Life'!F29+'Old Faithful'!F29+'Pacific Standard'!F29+SeeChange!F29+'States General'!F29+Statesman!F29+'Summit National'!F29+Supreme!F29+Underwriters!F29+Unison!F29+'United Republic'!F29+'Universal Life'!F29+Universe!F29+Villanova!F29</f>
        <v>0</v>
      </c>
      <c r="G29" s="30">
        <f t="shared" si="0"/>
        <v>28736280.064773712</v>
      </c>
      <c r="H29" s="30"/>
      <c r="I29" s="30" t="s">
        <v>425</v>
      </c>
      <c r="J29" s="30">
        <f>Summary!TOTAL_98655</f>
        <v>12583422.18711181</v>
      </c>
    </row>
    <row r="30" spans="1:10">
      <c r="A30" s="1" t="s">
        <v>51</v>
      </c>
      <c r="B30" s="30">
        <f>+'Alabama Life'!B30+'American Chambers'!B30+'American Educators'!B30+'American Integrity'!B30+'Amer Life Asr'!B30+'Amer Std Life Acc'!B30+AmerWstrn!B30+'AMS Life'!B30+'Bankers Commercial'!B30+Benicorp!B30+'Booker T Washington'!B30+Centennial!B30+'Coastal States'!B30+'Confed Life (CLIC)'!B30+'Consolidated National'!B30+'Consumers United'!B30+'Corporate Life'!B30+'Diamond Benefits'!B30+'EBL Life'!B30+'Family Guaranty'!B30+'Fidelity Bankers'!B30+'First Natl'!B30+'Franklin American'!B30+'Franklin Protective'!B30+'George Washington'!B30+'Golden State'!B30+'Guarantee Security'!B30+Imerica!B30+'Inter-American'!B30+'International Fin'!B30+'Investment Life of America'!B30+'Investors Equity'!B30+'Kentucky Central'!B30+Legion!B30+'London Pac'!B30+'Medical Savings'!B30+'Midwest Life'!B30+'Mutual Benefit'!B30+'Mutual Security'!B30+'National Affiliated'!B30+'Natl American'!B30+'New Jersey Life'!B30+'Old Colony Life'!B30+'Old Faithful'!B30+'Pacific Standard'!B30+SeeChange!B30+'States General'!B30+Statesman!B30+'Summit National'!B30+Supreme!B30+Underwriters!B30+Unison!B30+'United Republic'!B30+'Universal Life'!B30+Universe!B30+Villanova!B30</f>
        <v>28731872.313499548</v>
      </c>
      <c r="C30" s="30">
        <f>+'Alabama Life'!C30+'American Chambers'!C30+'American Educators'!C30+'American Integrity'!C30+'Amer Life Asr'!C30+'Amer Std Life Acc'!C30+AmerWstrn!C30+'AMS Life'!C30+'Bankers Commercial'!C30+Benicorp!C30+'Booker T Washington'!C30+Centennial!C30+'Coastal States'!C30+'Confed Life (CLIC)'!C30+'Consolidated National'!C30+'Consumers United'!C30+'Corporate Life'!C30+'Diamond Benefits'!C30+'EBL Life'!C30+'Family Guaranty'!C30+'Fidelity Bankers'!C30+'First Natl'!C30+'Franklin American'!C30+'Franklin Protective'!C30+'George Washington'!C30+'Golden State'!C30+'Guarantee Security'!C30+Imerica!C30+'Inter-American'!C30+'International Fin'!C30+'Investment Life of America'!C30+'Investors Equity'!C30+'Kentucky Central'!C30+Legion!C30+'London Pac'!C30+'Medical Savings'!C30+'Midwest Life'!C30+'Mutual Benefit'!C30+'Mutual Security'!C30+'National Affiliated'!C30+'Natl American'!C30+'New Jersey Life'!C30+'Old Colony Life'!C30+'Old Faithful'!C30+'Pacific Standard'!C30+SeeChange!C30+'States General'!C30+Statesman!C30+'Summit National'!C30+Supreme!C30+Underwriters!C30+Unison!C30+'United Republic'!C30+'Universal Life'!C30+Universe!C30+Villanova!C30</f>
        <v>4213329.5858790409</v>
      </c>
      <c r="D30" s="30">
        <f>+'Alabama Life'!D30+'American Chambers'!D30+'American Educators'!D30+'American Integrity'!D30+'Amer Life Asr'!D30+'Amer Std Life Acc'!D30+AmerWstrn!D30+'AMS Life'!D30+'Bankers Commercial'!D30+Benicorp!D30+'Booker T Washington'!D30+Centennial!D30+'Coastal States'!D30+'Confed Life (CLIC)'!D30+'Consolidated National'!D30+'Consumers United'!D30+'Corporate Life'!D30+'Diamond Benefits'!D30+'EBL Life'!D30+'Family Guaranty'!D30+'Fidelity Bankers'!D30+'First Natl'!D30+'Franklin American'!D30+'Franklin Protective'!D30+'George Washington'!D30+'Golden State'!D30+'Guarantee Security'!D30+Imerica!D30+'Inter-American'!D30+'International Fin'!D30+'Investment Life of America'!D30+'Investors Equity'!D30+'Kentucky Central'!D30+Legion!D30+'London Pac'!D30+'Medical Savings'!D30+'Midwest Life'!D30+'Mutual Benefit'!D30+'Mutual Security'!D30+'National Affiliated'!D30+'Natl American'!D30+'New Jersey Life'!D30+'Old Colony Life'!D30+'Old Faithful'!D30+'Pacific Standard'!D30+SeeChange!D30+'States General'!D30+Statesman!D30+'Summit National'!D30+Supreme!D30+Underwriters!D30+Unison!D30+'United Republic'!D30+'Universal Life'!D30+Universe!D30+Villanova!D30</f>
        <v>5710811.5258766767</v>
      </c>
      <c r="E30" s="30">
        <f>+'Alabama Life'!E30+'American Chambers'!E30+'American Educators'!E30+'American Integrity'!E30+'Amer Life Asr'!E30+'Amer Std Life Acc'!E30+AmerWstrn!E30+'AMS Life'!E30+'Bankers Commercial'!E30+Benicorp!E30+'Booker T Washington'!E30+Centennial!E30+'Coastal States'!E30+'Confed Life (CLIC)'!E30+'Consolidated National'!E30+'Consumers United'!E30+'Corporate Life'!E30+'Diamond Benefits'!E30+'EBL Life'!E30+'Family Guaranty'!E30+'Fidelity Bankers'!E30+'First Natl'!E30+'Franklin American'!E30+'Franklin Protective'!E30+'George Washington'!E30+'Golden State'!E30+'Guarantee Security'!E30+Imerica!E30+'Inter-American'!E30+'International Fin'!E30+'Investment Life of America'!E30+'Investors Equity'!E30+'Kentucky Central'!E30+Legion!E30+'London Pac'!E30+'Medical Savings'!E30+'Midwest Life'!E30+'Mutual Benefit'!E30+'Mutual Security'!E30+'National Affiliated'!E30+'Natl American'!E30+'New Jersey Life'!E30+'Old Colony Life'!E30+'Old Faithful'!E30+'Pacific Standard'!E30+SeeChange!E30+'States General'!E30+Statesman!E30+'Summit National'!E30+Supreme!E30+Underwriters!E30+Unison!E30+'United Republic'!E30+'Universal Life'!E30+Universe!E30+Villanova!E30</f>
        <v>-97.333197792177089</v>
      </c>
      <c r="F30" s="30">
        <f>+'Alabama Life'!F30+'American Chambers'!F30+'American Educators'!F30+'American Integrity'!F30+'Amer Life Asr'!F30+'Amer Std Life Acc'!F30+AmerWstrn!F30+'AMS Life'!F30+'Bankers Commercial'!F30+Benicorp!F30+'Booker T Washington'!F30+Centennial!F30+'Coastal States'!F30+'Confed Life (CLIC)'!F30+'Consolidated National'!F30+'Consumers United'!F30+'Corporate Life'!F30+'Diamond Benefits'!F30+'EBL Life'!F30+'Family Guaranty'!F30+'Fidelity Bankers'!F30+'First Natl'!F30+'Franklin American'!F30+'Franklin Protective'!F30+'George Washington'!F30+'Golden State'!F30+'Guarantee Security'!F30+Imerica!F30+'Inter-American'!F30+'International Fin'!F30+'Investment Life of America'!F30+'Investors Equity'!F30+'Kentucky Central'!F30+Legion!F30+'London Pac'!F30+'Medical Savings'!F30+'Midwest Life'!F30+'Mutual Benefit'!F30+'Mutual Security'!F30+'National Affiliated'!F30+'Natl American'!F30+'New Jersey Life'!F30+'Old Colony Life'!F30+'Old Faithful'!F30+'Pacific Standard'!F30+SeeChange!F30+'States General'!F30+Statesman!F30+'Summit National'!F30+Supreme!F30+Underwriters!F30+Unison!F30+'United Republic'!F30+'Universal Life'!F30+Universe!F30+Villanova!F30</f>
        <v>0</v>
      </c>
      <c r="G30" s="30">
        <f t="shared" si="0"/>
        <v>38655916.092057474</v>
      </c>
      <c r="H30" s="30"/>
      <c r="I30" s="30" t="s">
        <v>428</v>
      </c>
      <c r="J30" s="30">
        <f>Summary!TOTAL_63770</f>
        <v>1804983.0999999989</v>
      </c>
    </row>
    <row r="31" spans="1:10">
      <c r="A31" s="1" t="s">
        <v>52</v>
      </c>
      <c r="B31" s="30">
        <f>+'Alabama Life'!B31+'American Chambers'!B31+'American Educators'!B31+'American Integrity'!B31+'Amer Life Asr'!B31+'Amer Std Life Acc'!B31+AmerWstrn!B31+'AMS Life'!B31+'Bankers Commercial'!B31+Benicorp!B31+'Booker T Washington'!B31+Centennial!B31+'Coastal States'!B31+'Confed Life (CLIC)'!B31+'Consolidated National'!B31+'Consumers United'!B31+'Corporate Life'!B31+'Diamond Benefits'!B31+'EBL Life'!B31+'Family Guaranty'!B31+'Fidelity Bankers'!B31+'First Natl'!B31+'Franklin American'!B31+'Franklin Protective'!B31+'George Washington'!B31+'Golden State'!B31+'Guarantee Security'!B31+Imerica!B31+'Inter-American'!B31+'International Fin'!B31+'Investment Life of America'!B31+'Investors Equity'!B31+'Kentucky Central'!B31+Legion!B31+'London Pac'!B31+'Medical Savings'!B31+'Midwest Life'!B31+'Mutual Benefit'!B31+'Mutual Security'!B31+'National Affiliated'!B31+'Natl American'!B31+'New Jersey Life'!B31+'Old Colony Life'!B31+'Old Faithful'!B31+'Pacific Standard'!B31+SeeChange!B31+'States General'!B31+Statesman!B31+'Summit National'!B31+Supreme!B31+Underwriters!B31+Unison!B31+'United Republic'!B31+'Universal Life'!B31+Universe!B31+Villanova!B31</f>
        <v>2566801.5338764847</v>
      </c>
      <c r="C31" s="30">
        <f>+'Alabama Life'!C31+'American Chambers'!C31+'American Educators'!C31+'American Integrity'!C31+'Amer Life Asr'!C31+'Amer Std Life Acc'!C31+AmerWstrn!C31+'AMS Life'!C31+'Bankers Commercial'!C31+Benicorp!C31+'Booker T Washington'!C31+Centennial!C31+'Coastal States'!C31+'Confed Life (CLIC)'!C31+'Consolidated National'!C31+'Consumers United'!C31+'Corporate Life'!C31+'Diamond Benefits'!C31+'EBL Life'!C31+'Family Guaranty'!C31+'Fidelity Bankers'!C31+'First Natl'!C31+'Franklin American'!C31+'Franklin Protective'!C31+'George Washington'!C31+'Golden State'!C31+'Guarantee Security'!C31+Imerica!C31+'Inter-American'!C31+'International Fin'!C31+'Investment Life of America'!C31+'Investors Equity'!C31+'Kentucky Central'!C31+Legion!C31+'London Pac'!C31+'Medical Savings'!C31+'Midwest Life'!C31+'Mutual Benefit'!C31+'Mutual Security'!C31+'National Affiliated'!C31+'Natl American'!C31+'New Jersey Life'!C31+'Old Colony Life'!C31+'Old Faithful'!C31+'Pacific Standard'!C31+SeeChange!C31+'States General'!C31+Statesman!C31+'Summit National'!C31+Supreme!C31+Underwriters!C31+Unison!C31+'United Republic'!C31+'Universal Life'!C31+Universe!C31+Villanova!C31</f>
        <v>7241791.8136708923</v>
      </c>
      <c r="D31" s="30">
        <f>+'Alabama Life'!D31+'American Chambers'!D31+'American Educators'!D31+'American Integrity'!D31+'Amer Life Asr'!D31+'Amer Std Life Acc'!D31+AmerWstrn!D31+'AMS Life'!D31+'Bankers Commercial'!D31+Benicorp!D31+'Booker T Washington'!D31+Centennial!D31+'Coastal States'!D31+'Confed Life (CLIC)'!D31+'Consolidated National'!D31+'Consumers United'!D31+'Corporate Life'!D31+'Diamond Benefits'!D31+'EBL Life'!D31+'Family Guaranty'!D31+'Fidelity Bankers'!D31+'First Natl'!D31+'Franklin American'!D31+'Franklin Protective'!D31+'George Washington'!D31+'Golden State'!D31+'Guarantee Security'!D31+Imerica!D31+'Inter-American'!D31+'International Fin'!D31+'Investment Life of America'!D31+'Investors Equity'!D31+'Kentucky Central'!D31+Legion!D31+'London Pac'!D31+'Medical Savings'!D31+'Midwest Life'!D31+'Mutual Benefit'!D31+'Mutual Security'!D31+'National Affiliated'!D31+'Natl American'!D31+'New Jersey Life'!D31+'Old Colony Life'!D31+'Old Faithful'!D31+'Pacific Standard'!D31+SeeChange!D31+'States General'!D31+Statesman!D31+'Summit National'!D31+Supreme!D31+Underwriters!D31+Unison!D31+'United Republic'!D31+'Universal Life'!D31+Universe!D31+Villanova!D31</f>
        <v>6000918.2472594781</v>
      </c>
      <c r="E31" s="30">
        <f>+'Alabama Life'!E31+'American Chambers'!E31+'American Educators'!E31+'American Integrity'!E31+'Amer Life Asr'!E31+'Amer Std Life Acc'!E31+AmerWstrn!E31+'AMS Life'!E31+'Bankers Commercial'!E31+Benicorp!E31+'Booker T Washington'!E31+Centennial!E31+'Coastal States'!E31+'Confed Life (CLIC)'!E31+'Consolidated National'!E31+'Consumers United'!E31+'Corporate Life'!E31+'Diamond Benefits'!E31+'EBL Life'!E31+'Family Guaranty'!E31+'Fidelity Bankers'!E31+'First Natl'!E31+'Franklin American'!E31+'Franklin Protective'!E31+'George Washington'!E31+'Golden State'!E31+'Guarantee Security'!E31+Imerica!E31+'Inter-American'!E31+'International Fin'!E31+'Investment Life of America'!E31+'Investors Equity'!E31+'Kentucky Central'!E31+Legion!E31+'London Pac'!E31+'Medical Savings'!E31+'Midwest Life'!E31+'Mutual Benefit'!E31+'Mutual Security'!E31+'National Affiliated'!E31+'Natl American'!E31+'New Jersey Life'!E31+'Old Colony Life'!E31+'Old Faithful'!E31+'Pacific Standard'!E31+SeeChange!E31+'States General'!E31+Statesman!E31+'Summit National'!E31+Supreme!E31+Underwriters!E31+Unison!E31+'United Republic'!E31+'Universal Life'!E31+Universe!E31+Villanova!E31</f>
        <v>27443.965790575112</v>
      </c>
      <c r="F31" s="30">
        <f>+'Alabama Life'!F31+'American Chambers'!F31+'American Educators'!F31+'American Integrity'!F31+'Amer Life Asr'!F31+'Amer Std Life Acc'!F31+AmerWstrn!F31+'AMS Life'!F31+'Bankers Commercial'!F31+Benicorp!F31+'Booker T Washington'!F31+Centennial!F31+'Coastal States'!F31+'Confed Life (CLIC)'!F31+'Consolidated National'!F31+'Consumers United'!F31+'Corporate Life'!F31+'Diamond Benefits'!F31+'EBL Life'!F31+'Family Guaranty'!F31+'Fidelity Bankers'!F31+'First Natl'!F31+'Franklin American'!F31+'Franklin Protective'!F31+'George Washington'!F31+'Golden State'!F31+'Guarantee Security'!F31+Imerica!F31+'Inter-American'!F31+'International Fin'!F31+'Investment Life of America'!F31+'Investors Equity'!F31+'Kentucky Central'!F31+Legion!F31+'London Pac'!F31+'Medical Savings'!F31+'Midwest Life'!F31+'Mutual Benefit'!F31+'Mutual Security'!F31+'National Affiliated'!F31+'Natl American'!F31+'New Jersey Life'!F31+'Old Colony Life'!F31+'Old Faithful'!F31+'Pacific Standard'!F31+SeeChange!F31+'States General'!F31+Statesman!F31+'Summit National'!F31+Supreme!F31+Underwriters!F31+Unison!F31+'United Republic'!F31+'Universal Life'!F31+Universe!F31+Villanova!F31</f>
        <v>0</v>
      </c>
      <c r="G31" s="30">
        <f t="shared" si="0"/>
        <v>15836955.560597429</v>
      </c>
      <c r="H31" s="30"/>
      <c r="I31" s="30" t="s">
        <v>434</v>
      </c>
      <c r="J31" s="30">
        <f>Summary!TOTAL_63924</f>
        <v>1600680.8539999998</v>
      </c>
    </row>
    <row r="32" spans="1:10">
      <c r="A32" s="1" t="s">
        <v>53</v>
      </c>
      <c r="B32" s="30">
        <f>+'Alabama Life'!B32+'American Chambers'!B32+'American Educators'!B32+'American Integrity'!B32+'Amer Life Asr'!B32+'Amer Std Life Acc'!B32+AmerWstrn!B32+'AMS Life'!B32+'Bankers Commercial'!B32+Benicorp!B32+'Booker T Washington'!B32+Centennial!B32+'Coastal States'!B32+'Confed Life (CLIC)'!B32+'Consolidated National'!B32+'Consumers United'!B32+'Corporate Life'!B32+'Diamond Benefits'!B32+'EBL Life'!B32+'Family Guaranty'!B32+'Fidelity Bankers'!B32+'First Natl'!B32+'Franklin American'!B32+'Franklin Protective'!B32+'George Washington'!B32+'Golden State'!B32+'Guarantee Security'!B32+Imerica!B32+'Inter-American'!B32+'International Fin'!B32+'Investment Life of America'!B32+'Investors Equity'!B32+'Kentucky Central'!B32+Legion!B32+'London Pac'!B32+'Medical Savings'!B32+'Midwest Life'!B32+'Mutual Benefit'!B32+'Mutual Security'!B32+'National Affiliated'!B32+'Natl American'!B32+'New Jersey Life'!B32+'Old Colony Life'!B32+'Old Faithful'!B32+'Pacific Standard'!B32+SeeChange!B32+'States General'!B32+Statesman!B32+'Summit National'!B32+Supreme!B32+Underwriters!B32+Unison!B32+'United Republic'!B32+'Universal Life'!B32+Universe!B32+Villanova!B32</f>
        <v>719449.9912715432</v>
      </c>
      <c r="C32" s="30">
        <f>+'Alabama Life'!C32+'American Chambers'!C32+'American Educators'!C32+'American Integrity'!C32+'Amer Life Asr'!C32+'Amer Std Life Acc'!C32+AmerWstrn!C32+'AMS Life'!C32+'Bankers Commercial'!C32+Benicorp!C32+'Booker T Washington'!C32+Centennial!C32+'Coastal States'!C32+'Confed Life (CLIC)'!C32+'Consolidated National'!C32+'Consumers United'!C32+'Corporate Life'!C32+'Diamond Benefits'!C32+'EBL Life'!C32+'Family Guaranty'!C32+'Fidelity Bankers'!C32+'First Natl'!C32+'Franklin American'!C32+'Franklin Protective'!C32+'George Washington'!C32+'Golden State'!C32+'Guarantee Security'!C32+Imerica!C32+'Inter-American'!C32+'International Fin'!C32+'Investment Life of America'!C32+'Investors Equity'!C32+'Kentucky Central'!C32+Legion!C32+'London Pac'!C32+'Medical Savings'!C32+'Midwest Life'!C32+'Mutual Benefit'!C32+'Mutual Security'!C32+'National Affiliated'!C32+'Natl American'!C32+'New Jersey Life'!C32+'Old Colony Life'!C32+'Old Faithful'!C32+'Pacific Standard'!C32+SeeChange!C32+'States General'!C32+Statesman!C32+'Summit National'!C32+Supreme!C32+Underwriters!C32+Unison!C32+'United Republic'!C32+'Universal Life'!C32+Universe!C32+Villanova!C32</f>
        <v>2358333.4887728528</v>
      </c>
      <c r="D32" s="30">
        <f>+'Alabama Life'!D32+'American Chambers'!D32+'American Educators'!D32+'American Integrity'!D32+'Amer Life Asr'!D32+'Amer Std Life Acc'!D32+AmerWstrn!D32+'AMS Life'!D32+'Bankers Commercial'!D32+Benicorp!D32+'Booker T Washington'!D32+Centennial!D32+'Coastal States'!D32+'Confed Life (CLIC)'!D32+'Consolidated National'!D32+'Consumers United'!D32+'Corporate Life'!D32+'Diamond Benefits'!D32+'EBL Life'!D32+'Family Guaranty'!D32+'Fidelity Bankers'!D32+'First Natl'!D32+'Franklin American'!D32+'Franklin Protective'!D32+'George Washington'!D32+'Golden State'!D32+'Guarantee Security'!D32+Imerica!D32+'Inter-American'!D32+'International Fin'!D32+'Investment Life of America'!D32+'Investors Equity'!D32+'Kentucky Central'!D32+Legion!D32+'London Pac'!D32+'Medical Savings'!D32+'Midwest Life'!D32+'Mutual Benefit'!D32+'Mutual Security'!D32+'National Affiliated'!D32+'Natl American'!D32+'New Jersey Life'!D32+'Old Colony Life'!D32+'Old Faithful'!D32+'Pacific Standard'!D32+SeeChange!D32+'States General'!D32+Statesman!D32+'Summit National'!D32+Supreme!D32+Underwriters!D32+Unison!D32+'United Republic'!D32+'Universal Life'!D32+Universe!D32+Villanova!D32</f>
        <v>1098563.9438943453</v>
      </c>
      <c r="E32" s="30">
        <f>+'Alabama Life'!E32+'American Chambers'!E32+'American Educators'!E32+'American Integrity'!E32+'Amer Life Asr'!E32+'Amer Std Life Acc'!E32+AmerWstrn!E32+'AMS Life'!E32+'Bankers Commercial'!E32+Benicorp!E32+'Booker T Washington'!E32+Centennial!E32+'Coastal States'!E32+'Confed Life (CLIC)'!E32+'Consolidated National'!E32+'Consumers United'!E32+'Corporate Life'!E32+'Diamond Benefits'!E32+'EBL Life'!E32+'Family Guaranty'!E32+'Fidelity Bankers'!E32+'First Natl'!E32+'Franklin American'!E32+'Franklin Protective'!E32+'George Washington'!E32+'Golden State'!E32+'Guarantee Security'!E32+Imerica!E32+'Inter-American'!E32+'International Fin'!E32+'Investment Life of America'!E32+'Investors Equity'!E32+'Kentucky Central'!E32+Legion!E32+'London Pac'!E32+'Medical Savings'!E32+'Midwest Life'!E32+'Mutual Benefit'!E32+'Mutual Security'!E32+'National Affiliated'!E32+'Natl American'!E32+'New Jersey Life'!E32+'Old Colony Life'!E32+'Old Faithful'!E32+'Pacific Standard'!E32+SeeChange!E32+'States General'!E32+Statesman!E32+'Summit National'!E32+Supreme!E32+Underwriters!E32+Unison!E32+'United Republic'!E32+'Universal Life'!E32+Universe!E32+Villanova!E32</f>
        <v>0</v>
      </c>
      <c r="F32" s="30">
        <f>+'Alabama Life'!F32+'American Chambers'!F32+'American Educators'!F32+'American Integrity'!F32+'Amer Life Asr'!F32+'Amer Std Life Acc'!F32+AmerWstrn!F32+'AMS Life'!F32+'Bankers Commercial'!F32+Benicorp!F32+'Booker T Washington'!F32+Centennial!F32+'Coastal States'!F32+'Confed Life (CLIC)'!F32+'Consolidated National'!F32+'Consumers United'!F32+'Corporate Life'!F32+'Diamond Benefits'!F32+'EBL Life'!F32+'Family Guaranty'!F32+'Fidelity Bankers'!F32+'First Natl'!F32+'Franklin American'!F32+'Franklin Protective'!F32+'George Washington'!F32+'Golden State'!F32+'Guarantee Security'!F32+Imerica!F32+'Inter-American'!F32+'International Fin'!F32+'Investment Life of America'!F32+'Investors Equity'!F32+'Kentucky Central'!F32+Legion!F32+'London Pac'!F32+'Medical Savings'!F32+'Midwest Life'!F32+'Mutual Benefit'!F32+'Mutual Security'!F32+'National Affiliated'!F32+'Natl American'!F32+'New Jersey Life'!F32+'Old Colony Life'!F32+'Old Faithful'!F32+'Pacific Standard'!F32+SeeChange!F32+'States General'!F32+Statesman!F32+'Summit National'!F32+Supreme!F32+Underwriters!F32+Unison!F32+'United Republic'!F32+'Universal Life'!F32+Universe!F32+Villanova!F32</f>
        <v>0</v>
      </c>
      <c r="G32" s="30">
        <f t="shared" si="0"/>
        <v>4176347.4239387414</v>
      </c>
      <c r="H32" s="30"/>
      <c r="I32" s="30" t="s">
        <v>439</v>
      </c>
      <c r="J32" s="30">
        <f>Summary!TOTAL_84271</f>
        <v>106918498.54317257</v>
      </c>
    </row>
    <row r="33" spans="1:10">
      <c r="A33" s="1" t="s">
        <v>54</v>
      </c>
      <c r="B33" s="30">
        <f>+'Alabama Life'!B33+'American Chambers'!B33+'American Educators'!B33+'American Integrity'!B33+'Amer Life Asr'!B33+'Amer Std Life Acc'!B33+AmerWstrn!B33+'AMS Life'!B33+'Bankers Commercial'!B33+Benicorp!B33+'Booker T Washington'!B33+Centennial!B33+'Coastal States'!B33+'Confed Life (CLIC)'!B33+'Consolidated National'!B33+'Consumers United'!B33+'Corporate Life'!B33+'Diamond Benefits'!B33+'EBL Life'!B33+'Family Guaranty'!B33+'Fidelity Bankers'!B33+'First Natl'!B33+'Franklin American'!B33+'Franklin Protective'!B33+'George Washington'!B33+'Golden State'!B33+'Guarantee Security'!B33+Imerica!B33+'Inter-American'!B33+'International Fin'!B33+'Investment Life of America'!B33+'Investors Equity'!B33+'Kentucky Central'!B33+Legion!B33+'London Pac'!B33+'Medical Savings'!B33+'Midwest Life'!B33+'Mutual Benefit'!B33+'Mutual Security'!B33+'National Affiliated'!B33+'Natl American'!B33+'New Jersey Life'!B33+'Old Colony Life'!B33+'Old Faithful'!B33+'Pacific Standard'!B33+SeeChange!B33+'States General'!B33+Statesman!B33+'Summit National'!B33+Supreme!B33+Underwriters!B33+Unison!B33+'United Republic'!B33+'Universal Life'!B33+Universe!B33+Villanova!B33</f>
        <v>2177304.9063512553</v>
      </c>
      <c r="C33" s="30">
        <f>+'Alabama Life'!C33+'American Chambers'!C33+'American Educators'!C33+'American Integrity'!C33+'Amer Life Asr'!C33+'Amer Std Life Acc'!C33+AmerWstrn!C33+'AMS Life'!C33+'Bankers Commercial'!C33+Benicorp!C33+'Booker T Washington'!C33+Centennial!C33+'Coastal States'!C33+'Confed Life (CLIC)'!C33+'Consolidated National'!C33+'Consumers United'!C33+'Corporate Life'!C33+'Diamond Benefits'!C33+'EBL Life'!C33+'Family Guaranty'!C33+'Fidelity Bankers'!C33+'First Natl'!C33+'Franklin American'!C33+'Franklin Protective'!C33+'George Washington'!C33+'Golden State'!C33+'Guarantee Security'!C33+Imerica!C33+'Inter-American'!C33+'International Fin'!C33+'Investment Life of America'!C33+'Investors Equity'!C33+'Kentucky Central'!C33+Legion!C33+'London Pac'!C33+'Medical Savings'!C33+'Midwest Life'!C33+'Mutual Benefit'!C33+'Mutual Security'!C33+'National Affiliated'!C33+'Natl American'!C33+'New Jersey Life'!C33+'Old Colony Life'!C33+'Old Faithful'!C33+'Pacific Standard'!C33+SeeChange!C33+'States General'!C33+Statesman!C33+'Summit National'!C33+Supreme!C33+Underwriters!C33+Unison!C33+'United Republic'!C33+'Universal Life'!C33+Universe!C33+Villanova!C33</f>
        <v>6092906.2043452337</v>
      </c>
      <c r="D33" s="30">
        <f>+'Alabama Life'!D33+'American Chambers'!D33+'American Educators'!D33+'American Integrity'!D33+'Amer Life Asr'!D33+'Amer Std Life Acc'!D33+AmerWstrn!D33+'AMS Life'!D33+'Bankers Commercial'!D33+Benicorp!D33+'Booker T Washington'!D33+Centennial!D33+'Coastal States'!D33+'Confed Life (CLIC)'!D33+'Consolidated National'!D33+'Consumers United'!D33+'Corporate Life'!D33+'Diamond Benefits'!D33+'EBL Life'!D33+'Family Guaranty'!D33+'Fidelity Bankers'!D33+'First Natl'!D33+'Franklin American'!D33+'Franklin Protective'!D33+'George Washington'!D33+'Golden State'!D33+'Guarantee Security'!D33+Imerica!D33+'Inter-American'!D33+'International Fin'!D33+'Investment Life of America'!D33+'Investors Equity'!D33+'Kentucky Central'!D33+Legion!D33+'London Pac'!D33+'Medical Savings'!D33+'Midwest Life'!D33+'Mutual Benefit'!D33+'Mutual Security'!D33+'National Affiliated'!D33+'Natl American'!D33+'New Jersey Life'!D33+'Old Colony Life'!D33+'Old Faithful'!D33+'Pacific Standard'!D33+SeeChange!D33+'States General'!D33+Statesman!D33+'Summit National'!D33+Supreme!D33+Underwriters!D33+Unison!D33+'United Republic'!D33+'Universal Life'!D33+Universe!D33+Villanova!D33</f>
        <v>2474159.7311611371</v>
      </c>
      <c r="E33" s="30">
        <f>+'Alabama Life'!E33+'American Chambers'!E33+'American Educators'!E33+'American Integrity'!E33+'Amer Life Asr'!E33+'Amer Std Life Acc'!E33+AmerWstrn!E33+'AMS Life'!E33+'Bankers Commercial'!E33+Benicorp!E33+'Booker T Washington'!E33+Centennial!E33+'Coastal States'!E33+'Confed Life (CLIC)'!E33+'Consolidated National'!E33+'Consumers United'!E33+'Corporate Life'!E33+'Diamond Benefits'!E33+'EBL Life'!E33+'Family Guaranty'!E33+'Fidelity Bankers'!E33+'First Natl'!E33+'Franklin American'!E33+'Franklin Protective'!E33+'George Washington'!E33+'Golden State'!E33+'Guarantee Security'!E33+Imerica!E33+'Inter-American'!E33+'International Fin'!E33+'Investment Life of America'!E33+'Investors Equity'!E33+'Kentucky Central'!E33+Legion!E33+'London Pac'!E33+'Medical Savings'!E33+'Midwest Life'!E33+'Mutual Benefit'!E33+'Mutual Security'!E33+'National Affiliated'!E33+'Natl American'!E33+'New Jersey Life'!E33+'Old Colony Life'!E33+'Old Faithful'!E33+'Pacific Standard'!E33+SeeChange!E33+'States General'!E33+Statesman!E33+'Summit National'!E33+Supreme!E33+Underwriters!E33+Unison!E33+'United Republic'!E33+'Universal Life'!E33+Universe!E33+Villanova!E33</f>
        <v>0</v>
      </c>
      <c r="F33" s="30">
        <f>+'Alabama Life'!F33+'American Chambers'!F33+'American Educators'!F33+'American Integrity'!F33+'Amer Life Asr'!F33+'Amer Std Life Acc'!F33+AmerWstrn!F33+'AMS Life'!F33+'Bankers Commercial'!F33+Benicorp!F33+'Booker T Washington'!F33+Centennial!F33+'Coastal States'!F33+'Confed Life (CLIC)'!F33+'Consolidated National'!F33+'Consumers United'!F33+'Corporate Life'!F33+'Diamond Benefits'!F33+'EBL Life'!F33+'Family Guaranty'!F33+'Fidelity Bankers'!F33+'First Natl'!F33+'Franklin American'!F33+'Franklin Protective'!F33+'George Washington'!F33+'Golden State'!F33+'Guarantee Security'!F33+Imerica!F33+'Inter-American'!F33+'International Fin'!F33+'Investment Life of America'!F33+'Investors Equity'!F33+'Kentucky Central'!F33+Legion!F33+'London Pac'!F33+'Medical Savings'!F33+'Midwest Life'!F33+'Mutual Benefit'!F33+'Mutual Security'!F33+'National Affiliated'!F33+'Natl American'!F33+'New Jersey Life'!F33+'Old Colony Life'!F33+'Old Faithful'!F33+'Pacific Standard'!F33+SeeChange!F33+'States General'!F33+Statesman!F33+'Summit National'!F33+Supreme!F33+Underwriters!F33+Unison!F33+'United Republic'!F33+'Universal Life'!F33+Universe!F33+Villanova!F33</f>
        <v>0</v>
      </c>
      <c r="G33" s="30">
        <f t="shared" si="0"/>
        <v>10744370.841857627</v>
      </c>
      <c r="H33" s="30"/>
      <c r="I33" s="30" t="s">
        <v>444</v>
      </c>
      <c r="J33" s="30">
        <f>Summary!TOTAL_63533</f>
        <v>11497817.278988643</v>
      </c>
    </row>
    <row r="34" spans="1:10">
      <c r="A34" s="1" t="s">
        <v>55</v>
      </c>
      <c r="B34" s="30">
        <f>+'Alabama Life'!B34+'American Chambers'!B34+'American Educators'!B34+'American Integrity'!B34+'Amer Life Asr'!B34+'Amer Std Life Acc'!B34+AmerWstrn!B34+'AMS Life'!B34+'Bankers Commercial'!B34+Benicorp!B34+'Booker T Washington'!B34+Centennial!B34+'Coastal States'!B34+'Confed Life (CLIC)'!B34+'Consolidated National'!B34+'Consumers United'!B34+'Corporate Life'!B34+'Diamond Benefits'!B34+'EBL Life'!B34+'Family Guaranty'!B34+'Fidelity Bankers'!B34+'First Natl'!B34+'Franklin American'!B34+'Franklin Protective'!B34+'George Washington'!B34+'Golden State'!B34+'Guarantee Security'!B34+Imerica!B34+'Inter-American'!B34+'International Fin'!B34+'Investment Life of America'!B34+'Investors Equity'!B34+'Kentucky Central'!B34+Legion!B34+'London Pac'!B34+'Medical Savings'!B34+'Midwest Life'!B34+'Mutual Benefit'!B34+'Mutual Security'!B34+'National Affiliated'!B34+'Natl American'!B34+'New Jersey Life'!B34+'Old Colony Life'!B34+'Old Faithful'!B34+'Pacific Standard'!B34+SeeChange!B34+'States General'!B34+Statesman!B34+'Summit National'!B34+Supreme!B34+Underwriters!B34+Unison!B34+'United Republic'!B34+'Universal Life'!B34+Universe!B34+Villanova!B34</f>
        <v>450615.99773470877</v>
      </c>
      <c r="C34" s="30">
        <f>+'Alabama Life'!C34+'American Chambers'!C34+'American Educators'!C34+'American Integrity'!C34+'Amer Life Asr'!C34+'Amer Std Life Acc'!C34+AmerWstrn!C34+'AMS Life'!C34+'Bankers Commercial'!C34+Benicorp!C34+'Booker T Washington'!C34+Centennial!C34+'Coastal States'!C34+'Confed Life (CLIC)'!C34+'Consolidated National'!C34+'Consumers United'!C34+'Corporate Life'!C34+'Diamond Benefits'!C34+'EBL Life'!C34+'Family Guaranty'!C34+'Fidelity Bankers'!C34+'First Natl'!C34+'Franklin American'!C34+'Franklin Protective'!C34+'George Washington'!C34+'Golden State'!C34+'Guarantee Security'!C34+Imerica!C34+'Inter-American'!C34+'International Fin'!C34+'Investment Life of America'!C34+'Investors Equity'!C34+'Kentucky Central'!C34+Legion!C34+'London Pac'!C34+'Medical Savings'!C34+'Midwest Life'!C34+'Mutual Benefit'!C34+'Mutual Security'!C34+'National Affiliated'!C34+'Natl American'!C34+'New Jersey Life'!C34+'Old Colony Life'!C34+'Old Faithful'!C34+'Pacific Standard'!C34+SeeChange!C34+'States General'!C34+Statesman!C34+'Summit National'!C34+Supreme!C34+Underwriters!C34+Unison!C34+'United Republic'!C34+'Universal Life'!C34+Universe!C34+Villanova!C34</f>
        <v>1700940.48388081</v>
      </c>
      <c r="D34" s="30">
        <f>+'Alabama Life'!D34+'American Chambers'!D34+'American Educators'!D34+'American Integrity'!D34+'Amer Life Asr'!D34+'Amer Std Life Acc'!D34+AmerWstrn!D34+'AMS Life'!D34+'Bankers Commercial'!D34+Benicorp!D34+'Booker T Washington'!D34+Centennial!D34+'Coastal States'!D34+'Confed Life (CLIC)'!D34+'Consolidated National'!D34+'Consumers United'!D34+'Corporate Life'!D34+'Diamond Benefits'!D34+'EBL Life'!D34+'Family Guaranty'!D34+'Fidelity Bankers'!D34+'First Natl'!D34+'Franklin American'!D34+'Franklin Protective'!D34+'George Washington'!D34+'Golden State'!D34+'Guarantee Security'!D34+Imerica!D34+'Inter-American'!D34+'International Fin'!D34+'Investment Life of America'!D34+'Investors Equity'!D34+'Kentucky Central'!D34+Legion!D34+'London Pac'!D34+'Medical Savings'!D34+'Midwest Life'!D34+'Mutual Benefit'!D34+'Mutual Security'!D34+'National Affiliated'!D34+'Natl American'!D34+'New Jersey Life'!D34+'Old Colony Life'!D34+'Old Faithful'!D34+'Pacific Standard'!D34+SeeChange!D34+'States General'!D34+Statesman!D34+'Summit National'!D34+Supreme!D34+Underwriters!D34+Unison!D34+'United Republic'!D34+'Universal Life'!D34+Universe!D34+Villanova!D34</f>
        <v>3767785.4058594848</v>
      </c>
      <c r="E34" s="30">
        <f>+'Alabama Life'!E34+'American Chambers'!E34+'American Educators'!E34+'American Integrity'!E34+'Amer Life Asr'!E34+'Amer Std Life Acc'!E34+AmerWstrn!E34+'AMS Life'!E34+'Bankers Commercial'!E34+Benicorp!E34+'Booker T Washington'!E34+Centennial!E34+'Coastal States'!E34+'Confed Life (CLIC)'!E34+'Consolidated National'!E34+'Consumers United'!E34+'Corporate Life'!E34+'Diamond Benefits'!E34+'EBL Life'!E34+'Family Guaranty'!E34+'Fidelity Bankers'!E34+'First Natl'!E34+'Franklin American'!E34+'Franklin Protective'!E34+'George Washington'!E34+'Golden State'!E34+'Guarantee Security'!E34+Imerica!E34+'Inter-American'!E34+'International Fin'!E34+'Investment Life of America'!E34+'Investors Equity'!E34+'Kentucky Central'!E34+Legion!E34+'London Pac'!E34+'Medical Savings'!E34+'Midwest Life'!E34+'Mutual Benefit'!E34+'Mutual Security'!E34+'National Affiliated'!E34+'Natl American'!E34+'New Jersey Life'!E34+'Old Colony Life'!E34+'Old Faithful'!E34+'Pacific Standard'!E34+SeeChange!E34+'States General'!E34+Statesman!E34+'Summit National'!E34+Supreme!E34+Underwriters!E34+Unison!E34+'United Republic'!E34+'Universal Life'!E34+Universe!E34+Villanova!E34</f>
        <v>0</v>
      </c>
      <c r="F34" s="30">
        <f>+'Alabama Life'!F34+'American Chambers'!F34+'American Educators'!F34+'American Integrity'!F34+'Amer Life Asr'!F34+'Amer Std Life Acc'!F34+AmerWstrn!F34+'AMS Life'!F34+'Bankers Commercial'!F34+Benicorp!F34+'Booker T Washington'!F34+Centennial!F34+'Coastal States'!F34+'Confed Life (CLIC)'!F34+'Consolidated National'!F34+'Consumers United'!F34+'Corporate Life'!F34+'Diamond Benefits'!F34+'EBL Life'!F34+'Family Guaranty'!F34+'Fidelity Bankers'!F34+'First Natl'!F34+'Franklin American'!F34+'Franklin Protective'!F34+'George Washington'!F34+'Golden State'!F34+'Guarantee Security'!F34+Imerica!F34+'Inter-American'!F34+'International Fin'!F34+'Investment Life of America'!F34+'Investors Equity'!F34+'Kentucky Central'!F34+Legion!F34+'London Pac'!F34+'Medical Savings'!F34+'Midwest Life'!F34+'Mutual Benefit'!F34+'Mutual Security'!F34+'National Affiliated'!F34+'Natl American'!F34+'New Jersey Life'!F34+'Old Colony Life'!F34+'Old Faithful'!F34+'Pacific Standard'!F34+SeeChange!F34+'States General'!F34+Statesman!F34+'Summit National'!F34+Supreme!F34+Underwriters!F34+Unison!F34+'United Republic'!F34+'Universal Life'!F34+Universe!F34+Villanova!F34</f>
        <v>0</v>
      </c>
      <c r="G34" s="30">
        <f t="shared" si="0"/>
        <v>5919341.8874750035</v>
      </c>
      <c r="H34" s="30"/>
      <c r="I34" s="30" t="s">
        <v>450</v>
      </c>
      <c r="J34" s="30">
        <f>Summary!TOTAL_67210</f>
        <v>107771804.22937052</v>
      </c>
    </row>
    <row r="35" spans="1:10">
      <c r="A35" s="1" t="s">
        <v>56</v>
      </c>
      <c r="B35" s="30">
        <f>+'Alabama Life'!B35+'American Chambers'!B35+'American Educators'!B35+'American Integrity'!B35+'Amer Life Asr'!B35+'Amer Std Life Acc'!B35+AmerWstrn!B35+'AMS Life'!B35+'Bankers Commercial'!B35+Benicorp!B35+'Booker T Washington'!B35+Centennial!B35+'Coastal States'!B35+'Confed Life (CLIC)'!B35+'Consolidated National'!B35+'Consumers United'!B35+'Corporate Life'!B35+'Diamond Benefits'!B35+'EBL Life'!B35+'Family Guaranty'!B35+'Fidelity Bankers'!B35+'First Natl'!B35+'Franklin American'!B35+'Franklin Protective'!B35+'George Washington'!B35+'Golden State'!B35+'Guarantee Security'!B35+Imerica!B35+'Inter-American'!B35+'International Fin'!B35+'Investment Life of America'!B35+'Investors Equity'!B35+'Kentucky Central'!B35+Legion!B35+'London Pac'!B35+'Medical Savings'!B35+'Midwest Life'!B35+'Mutual Benefit'!B35+'Mutual Security'!B35+'National Affiliated'!B35+'Natl American'!B35+'New Jersey Life'!B35+'Old Colony Life'!B35+'Old Faithful'!B35+'Pacific Standard'!B35+SeeChange!B35+'States General'!B35+Statesman!B35+'Summit National'!B35+Supreme!B35+Underwriters!B35+Unison!B35+'United Republic'!B35+'Universal Life'!B35+Universe!B35+Villanova!B35</f>
        <v>551106.02030964289</v>
      </c>
      <c r="C35" s="30">
        <f>+'Alabama Life'!C35+'American Chambers'!C35+'American Educators'!C35+'American Integrity'!C35+'Amer Life Asr'!C35+'Amer Std Life Acc'!C35+AmerWstrn!C35+'AMS Life'!C35+'Bankers Commercial'!C35+Benicorp!C35+'Booker T Washington'!C35+Centennial!C35+'Coastal States'!C35+'Confed Life (CLIC)'!C35+'Consolidated National'!C35+'Consumers United'!C35+'Corporate Life'!C35+'Diamond Benefits'!C35+'EBL Life'!C35+'Family Guaranty'!C35+'Fidelity Bankers'!C35+'First Natl'!C35+'Franklin American'!C35+'Franklin Protective'!C35+'George Washington'!C35+'Golden State'!C35+'Guarantee Security'!C35+Imerica!C35+'Inter-American'!C35+'International Fin'!C35+'Investment Life of America'!C35+'Investors Equity'!C35+'Kentucky Central'!C35+Legion!C35+'London Pac'!C35+'Medical Savings'!C35+'Midwest Life'!C35+'Mutual Benefit'!C35+'Mutual Security'!C35+'National Affiliated'!C35+'Natl American'!C35+'New Jersey Life'!C35+'Old Colony Life'!C35+'Old Faithful'!C35+'Pacific Standard'!C35+SeeChange!C35+'States General'!C35+Statesman!C35+'Summit National'!C35+Supreme!C35+Underwriters!C35+Unison!C35+'United Republic'!C35+'Universal Life'!C35+Universe!C35+Villanova!C35</f>
        <v>435407.27634376386</v>
      </c>
      <c r="D35" s="30">
        <f>+'Alabama Life'!D35+'American Chambers'!D35+'American Educators'!D35+'American Integrity'!D35+'Amer Life Asr'!D35+'Amer Std Life Acc'!D35+AmerWstrn!D35+'AMS Life'!D35+'Bankers Commercial'!D35+Benicorp!D35+'Booker T Washington'!D35+Centennial!D35+'Coastal States'!D35+'Confed Life (CLIC)'!D35+'Consolidated National'!D35+'Consumers United'!D35+'Corporate Life'!D35+'Diamond Benefits'!D35+'EBL Life'!D35+'Family Guaranty'!D35+'Fidelity Bankers'!D35+'First Natl'!D35+'Franklin American'!D35+'Franklin Protective'!D35+'George Washington'!D35+'Golden State'!D35+'Guarantee Security'!D35+Imerica!D35+'Inter-American'!D35+'International Fin'!D35+'Investment Life of America'!D35+'Investors Equity'!D35+'Kentucky Central'!D35+Legion!D35+'London Pac'!D35+'Medical Savings'!D35+'Midwest Life'!D35+'Mutual Benefit'!D35+'Mutual Security'!D35+'National Affiliated'!D35+'Natl American'!D35+'New Jersey Life'!D35+'Old Colony Life'!D35+'Old Faithful'!D35+'Pacific Standard'!D35+SeeChange!D35+'States General'!D35+Statesman!D35+'Summit National'!D35+Supreme!D35+Underwriters!D35+Unison!D35+'United Republic'!D35+'Universal Life'!D35+Universe!D35+Villanova!D35</f>
        <v>183545.17952446415</v>
      </c>
      <c r="E35" s="30">
        <f>+'Alabama Life'!E35+'American Chambers'!E35+'American Educators'!E35+'American Integrity'!E35+'Amer Life Asr'!E35+'Amer Std Life Acc'!E35+AmerWstrn!E35+'AMS Life'!E35+'Bankers Commercial'!E35+Benicorp!E35+'Booker T Washington'!E35+Centennial!E35+'Coastal States'!E35+'Confed Life (CLIC)'!E35+'Consolidated National'!E35+'Consumers United'!E35+'Corporate Life'!E35+'Diamond Benefits'!E35+'EBL Life'!E35+'Family Guaranty'!E35+'Fidelity Bankers'!E35+'First Natl'!E35+'Franklin American'!E35+'Franklin Protective'!E35+'George Washington'!E35+'Golden State'!E35+'Guarantee Security'!E35+Imerica!E35+'Inter-American'!E35+'International Fin'!E35+'Investment Life of America'!E35+'Investors Equity'!E35+'Kentucky Central'!E35+Legion!E35+'London Pac'!E35+'Medical Savings'!E35+'Midwest Life'!E35+'Mutual Benefit'!E35+'Mutual Security'!E35+'National Affiliated'!E35+'Natl American'!E35+'New Jersey Life'!E35+'Old Colony Life'!E35+'Old Faithful'!E35+'Pacific Standard'!E35+SeeChange!E35+'States General'!E35+Statesman!E35+'Summit National'!E35+Supreme!E35+Underwriters!E35+Unison!E35+'United Republic'!E35+'Universal Life'!E35+Universe!E35+Villanova!E35</f>
        <v>607576.32708864158</v>
      </c>
      <c r="F35" s="30">
        <f>+'Alabama Life'!F35+'American Chambers'!F35+'American Educators'!F35+'American Integrity'!F35+'Amer Life Asr'!F35+'Amer Std Life Acc'!F35+AmerWstrn!F35+'AMS Life'!F35+'Bankers Commercial'!F35+Benicorp!F35+'Booker T Washington'!F35+Centennial!F35+'Coastal States'!F35+'Confed Life (CLIC)'!F35+'Consolidated National'!F35+'Consumers United'!F35+'Corporate Life'!F35+'Diamond Benefits'!F35+'EBL Life'!F35+'Family Guaranty'!F35+'Fidelity Bankers'!F35+'First Natl'!F35+'Franklin American'!F35+'Franklin Protective'!F35+'George Washington'!F35+'Golden State'!F35+'Guarantee Security'!F35+Imerica!F35+'Inter-American'!F35+'International Fin'!F35+'Investment Life of America'!F35+'Investors Equity'!F35+'Kentucky Central'!F35+Legion!F35+'London Pac'!F35+'Medical Savings'!F35+'Midwest Life'!F35+'Mutual Benefit'!F35+'Mutual Security'!F35+'National Affiliated'!F35+'Natl American'!F35+'New Jersey Life'!F35+'Old Colony Life'!F35+'Old Faithful'!F35+'Pacific Standard'!F35+SeeChange!F35+'States General'!F35+Statesman!F35+'Summit National'!F35+Supreme!F35+Underwriters!F35+Unison!F35+'United Republic'!F35+'Universal Life'!F35+Universe!F35+Villanova!F35</f>
        <v>0</v>
      </c>
      <c r="G35" s="30">
        <f t="shared" si="0"/>
        <v>1777634.8032665122</v>
      </c>
      <c r="H35" s="30"/>
      <c r="I35" s="30" t="s">
        <v>455</v>
      </c>
      <c r="J35" s="30">
        <f>Summary!TOTAL_64084</f>
        <v>1874315.0259775603</v>
      </c>
    </row>
    <row r="36" spans="1:10">
      <c r="A36" s="1" t="s">
        <v>57</v>
      </c>
      <c r="B36" s="30">
        <f>+'Alabama Life'!B36+'American Chambers'!B36+'American Educators'!B36+'American Integrity'!B36+'Amer Life Asr'!B36+'Amer Std Life Acc'!B36+AmerWstrn!B36+'AMS Life'!B36+'Bankers Commercial'!B36+Benicorp!B36+'Booker T Washington'!B36+Centennial!B36+'Coastal States'!B36+'Confed Life (CLIC)'!B36+'Consolidated National'!B36+'Consumers United'!B36+'Corporate Life'!B36+'Diamond Benefits'!B36+'EBL Life'!B36+'Family Guaranty'!B36+'Fidelity Bankers'!B36+'First Natl'!B36+'Franklin American'!B36+'Franklin Protective'!B36+'George Washington'!B36+'Golden State'!B36+'Guarantee Security'!B36+Imerica!B36+'Inter-American'!B36+'International Fin'!B36+'Investment Life of America'!B36+'Investors Equity'!B36+'Kentucky Central'!B36+Legion!B36+'London Pac'!B36+'Medical Savings'!B36+'Midwest Life'!B36+'Mutual Benefit'!B36+'Mutual Security'!B36+'National Affiliated'!B36+'Natl American'!B36+'New Jersey Life'!B36+'Old Colony Life'!B36+'Old Faithful'!B36+'Pacific Standard'!B36+SeeChange!B36+'States General'!B36+Statesman!B36+'Summit National'!B36+Supreme!B36+Underwriters!B36+Unison!B36+'United Republic'!B36+'Universal Life'!B36+Universe!B36+Villanova!B36</f>
        <v>18355901.976159204</v>
      </c>
      <c r="C36" s="30">
        <f>+'Alabama Life'!C36+'American Chambers'!C36+'American Educators'!C36+'American Integrity'!C36+'Amer Life Asr'!C36+'Amer Std Life Acc'!C36+AmerWstrn!C36+'AMS Life'!C36+'Bankers Commercial'!C36+Benicorp!C36+'Booker T Washington'!C36+Centennial!C36+'Coastal States'!C36+'Confed Life (CLIC)'!C36+'Consolidated National'!C36+'Consumers United'!C36+'Corporate Life'!C36+'Diamond Benefits'!C36+'EBL Life'!C36+'Family Guaranty'!C36+'Fidelity Bankers'!C36+'First Natl'!C36+'Franklin American'!C36+'Franklin Protective'!C36+'George Washington'!C36+'Golden State'!C36+'Guarantee Security'!C36+Imerica!C36+'Inter-American'!C36+'International Fin'!C36+'Investment Life of America'!C36+'Investors Equity'!C36+'Kentucky Central'!C36+Legion!C36+'London Pac'!C36+'Medical Savings'!C36+'Midwest Life'!C36+'Mutual Benefit'!C36+'Mutual Security'!C36+'National Affiliated'!C36+'Natl American'!C36+'New Jersey Life'!C36+'Old Colony Life'!C36+'Old Faithful'!C36+'Pacific Standard'!C36+SeeChange!C36+'States General'!C36+Statesman!C36+'Summit National'!C36+Supreme!C36+Underwriters!C36+Unison!C36+'United Republic'!C36+'Universal Life'!C36+Universe!C36+Villanova!C36</f>
        <v>1452839.8207427303</v>
      </c>
      <c r="D36" s="30">
        <f>+'Alabama Life'!D36+'American Chambers'!D36+'American Educators'!D36+'American Integrity'!D36+'Amer Life Asr'!D36+'Amer Std Life Acc'!D36+AmerWstrn!D36+'AMS Life'!D36+'Bankers Commercial'!D36+Benicorp!D36+'Booker T Washington'!D36+Centennial!D36+'Coastal States'!D36+'Confed Life (CLIC)'!D36+'Consolidated National'!D36+'Consumers United'!D36+'Corporate Life'!D36+'Diamond Benefits'!D36+'EBL Life'!D36+'Family Guaranty'!D36+'Fidelity Bankers'!D36+'First Natl'!D36+'Franklin American'!D36+'Franklin Protective'!D36+'George Washington'!D36+'Golden State'!D36+'Guarantee Security'!D36+Imerica!D36+'Inter-American'!D36+'International Fin'!D36+'Investment Life of America'!D36+'Investors Equity'!D36+'Kentucky Central'!D36+Legion!D36+'London Pac'!D36+'Medical Savings'!D36+'Midwest Life'!D36+'Mutual Benefit'!D36+'Mutual Security'!D36+'National Affiliated'!D36+'Natl American'!D36+'New Jersey Life'!D36+'Old Colony Life'!D36+'Old Faithful'!D36+'Pacific Standard'!D36+SeeChange!D36+'States General'!D36+Statesman!D36+'Summit National'!D36+Supreme!D36+Underwriters!D36+Unison!D36+'United Republic'!D36+'Universal Life'!D36+Universe!D36+Villanova!D36</f>
        <v>414262.63089831278</v>
      </c>
      <c r="E36" s="30">
        <f>+'Alabama Life'!E36+'American Chambers'!E36+'American Educators'!E36+'American Integrity'!E36+'Amer Life Asr'!E36+'Amer Std Life Acc'!E36+AmerWstrn!E36+'AMS Life'!E36+'Bankers Commercial'!E36+Benicorp!E36+'Booker T Washington'!E36+Centennial!E36+'Coastal States'!E36+'Confed Life (CLIC)'!E36+'Consolidated National'!E36+'Consumers United'!E36+'Corporate Life'!E36+'Diamond Benefits'!E36+'EBL Life'!E36+'Family Guaranty'!E36+'Fidelity Bankers'!E36+'First Natl'!E36+'Franklin American'!E36+'Franklin Protective'!E36+'George Washington'!E36+'Golden State'!E36+'Guarantee Security'!E36+Imerica!E36+'Inter-American'!E36+'International Fin'!E36+'Investment Life of America'!E36+'Investors Equity'!E36+'Kentucky Central'!E36+Legion!E36+'London Pac'!E36+'Medical Savings'!E36+'Midwest Life'!E36+'Mutual Benefit'!E36+'Mutual Security'!E36+'National Affiliated'!E36+'Natl American'!E36+'New Jersey Life'!E36+'Old Colony Life'!E36+'Old Faithful'!E36+'Pacific Standard'!E36+SeeChange!E36+'States General'!E36+Statesman!E36+'Summit National'!E36+Supreme!E36+Underwriters!E36+Unison!E36+'United Republic'!E36+'Universal Life'!E36+Universe!E36+Villanova!E36</f>
        <v>3461099.7262478308</v>
      </c>
      <c r="F36" s="30">
        <f>+'Alabama Life'!F36+'American Chambers'!F36+'American Educators'!F36+'American Integrity'!F36+'Amer Life Asr'!F36+'Amer Std Life Acc'!F36+AmerWstrn!F36+'AMS Life'!F36+'Bankers Commercial'!F36+Benicorp!F36+'Booker T Washington'!F36+Centennial!F36+'Coastal States'!F36+'Confed Life (CLIC)'!F36+'Consolidated National'!F36+'Consumers United'!F36+'Corporate Life'!F36+'Diamond Benefits'!F36+'EBL Life'!F36+'Family Guaranty'!F36+'Fidelity Bankers'!F36+'First Natl'!F36+'Franklin American'!F36+'Franklin Protective'!F36+'George Washington'!F36+'Golden State'!F36+'Guarantee Security'!F36+Imerica!F36+'Inter-American'!F36+'International Fin'!F36+'Investment Life of America'!F36+'Investors Equity'!F36+'Kentucky Central'!F36+Legion!F36+'London Pac'!F36+'Medical Savings'!F36+'Midwest Life'!F36+'Mutual Benefit'!F36+'Mutual Security'!F36+'National Affiliated'!F36+'Natl American'!F36+'New Jersey Life'!F36+'Old Colony Life'!F36+'Old Faithful'!F36+'Pacific Standard'!F36+SeeChange!F36+'States General'!F36+Statesman!F36+'Summit National'!F36+Supreme!F36+Underwriters!F36+Unison!F36+'United Republic'!F36+'Universal Life'!F36+Universe!F36+Villanova!F36</f>
        <v>0</v>
      </c>
      <c r="G36" s="30">
        <f t="shared" si="0"/>
        <v>23684104.154048078</v>
      </c>
      <c r="H36" s="30"/>
      <c r="I36" s="30" t="s">
        <v>459</v>
      </c>
      <c r="J36" s="30">
        <f>Summary!TOTAL_76015</f>
        <v>15757958.124517085</v>
      </c>
    </row>
    <row r="37" spans="1:10">
      <c r="A37" s="1" t="s">
        <v>58</v>
      </c>
      <c r="B37" s="30">
        <f>+'Alabama Life'!B37+'American Chambers'!B37+'American Educators'!B37+'American Integrity'!B37+'Amer Life Asr'!B37+'Amer Std Life Acc'!B37+AmerWstrn!B37+'AMS Life'!B37+'Bankers Commercial'!B37+Benicorp!B37+'Booker T Washington'!B37+Centennial!B37+'Coastal States'!B37+'Confed Life (CLIC)'!B37+'Consolidated National'!B37+'Consumers United'!B37+'Corporate Life'!B37+'Diamond Benefits'!B37+'EBL Life'!B37+'Family Guaranty'!B37+'Fidelity Bankers'!B37+'First Natl'!B37+'Franklin American'!B37+'Franklin Protective'!B37+'George Washington'!B37+'Golden State'!B37+'Guarantee Security'!B37+Imerica!B37+'Inter-American'!B37+'International Fin'!B37+'Investment Life of America'!B37+'Investors Equity'!B37+'Kentucky Central'!B37+Legion!B37+'London Pac'!B37+'Medical Savings'!B37+'Midwest Life'!B37+'Mutual Benefit'!B37+'Mutual Security'!B37+'National Affiliated'!B37+'Natl American'!B37+'New Jersey Life'!B37+'Old Colony Life'!B37+'Old Faithful'!B37+'Pacific Standard'!B37+SeeChange!B37+'States General'!B37+Statesman!B37+'Summit National'!B37+Supreme!B37+Underwriters!B37+Unison!B37+'United Republic'!B37+'Universal Life'!B37+Universe!B37+Villanova!B37</f>
        <v>800307.71341069893</v>
      </c>
      <c r="C37" s="30">
        <f>+'Alabama Life'!C37+'American Chambers'!C37+'American Educators'!C37+'American Integrity'!C37+'Amer Life Asr'!C37+'Amer Std Life Acc'!C37+AmerWstrn!C37+'AMS Life'!C37+'Bankers Commercial'!C37+Benicorp!C37+'Booker T Washington'!C37+Centennial!C37+'Coastal States'!C37+'Confed Life (CLIC)'!C37+'Consolidated National'!C37+'Consumers United'!C37+'Corporate Life'!C37+'Diamond Benefits'!C37+'EBL Life'!C37+'Family Guaranty'!C37+'Fidelity Bankers'!C37+'First Natl'!C37+'Franklin American'!C37+'Franklin Protective'!C37+'George Washington'!C37+'Golden State'!C37+'Guarantee Security'!C37+Imerica!C37+'Inter-American'!C37+'International Fin'!C37+'Investment Life of America'!C37+'Investors Equity'!C37+'Kentucky Central'!C37+Legion!C37+'London Pac'!C37+'Medical Savings'!C37+'Midwest Life'!C37+'Mutual Benefit'!C37+'Mutual Security'!C37+'National Affiliated'!C37+'Natl American'!C37+'New Jersey Life'!C37+'Old Colony Life'!C37+'Old Faithful'!C37+'Pacific Standard'!C37+SeeChange!C37+'States General'!C37+Statesman!C37+'Summit National'!C37+Supreme!C37+Underwriters!C37+Unison!C37+'United Republic'!C37+'Universal Life'!C37+Universe!C37+Villanova!C37</f>
        <v>1711912.2509913852</v>
      </c>
      <c r="D37" s="30">
        <f>+'Alabama Life'!D37+'American Chambers'!D37+'American Educators'!D37+'American Integrity'!D37+'Amer Life Asr'!D37+'Amer Std Life Acc'!D37+AmerWstrn!D37+'AMS Life'!D37+'Bankers Commercial'!D37+Benicorp!D37+'Booker T Washington'!D37+Centennial!D37+'Coastal States'!D37+'Confed Life (CLIC)'!D37+'Consolidated National'!D37+'Consumers United'!D37+'Corporate Life'!D37+'Diamond Benefits'!D37+'EBL Life'!D37+'Family Guaranty'!D37+'Fidelity Bankers'!D37+'First Natl'!D37+'Franklin American'!D37+'Franklin Protective'!D37+'George Washington'!D37+'Golden State'!D37+'Guarantee Security'!D37+Imerica!D37+'Inter-American'!D37+'International Fin'!D37+'Investment Life of America'!D37+'Investors Equity'!D37+'Kentucky Central'!D37+Legion!D37+'London Pac'!D37+'Medical Savings'!D37+'Midwest Life'!D37+'Mutual Benefit'!D37+'Mutual Security'!D37+'National Affiliated'!D37+'Natl American'!D37+'New Jersey Life'!D37+'Old Colony Life'!D37+'Old Faithful'!D37+'Pacific Standard'!D37+SeeChange!D37+'States General'!D37+Statesman!D37+'Summit National'!D37+Supreme!D37+Underwriters!D37+Unison!D37+'United Republic'!D37+'Universal Life'!D37+Universe!D37+Villanova!D37</f>
        <v>-130464.90418480249</v>
      </c>
      <c r="E37" s="30">
        <f>+'Alabama Life'!E37+'American Chambers'!E37+'American Educators'!E37+'American Integrity'!E37+'Amer Life Asr'!E37+'Amer Std Life Acc'!E37+AmerWstrn!E37+'AMS Life'!E37+'Bankers Commercial'!E37+Benicorp!E37+'Booker T Washington'!E37+Centennial!E37+'Coastal States'!E37+'Confed Life (CLIC)'!E37+'Consolidated National'!E37+'Consumers United'!E37+'Corporate Life'!E37+'Diamond Benefits'!E37+'EBL Life'!E37+'Family Guaranty'!E37+'Fidelity Bankers'!E37+'First Natl'!E37+'Franklin American'!E37+'Franklin Protective'!E37+'George Washington'!E37+'Golden State'!E37+'Guarantee Security'!E37+Imerica!E37+'Inter-American'!E37+'International Fin'!E37+'Investment Life of America'!E37+'Investors Equity'!E37+'Kentucky Central'!E37+Legion!E37+'London Pac'!E37+'Medical Savings'!E37+'Midwest Life'!E37+'Mutual Benefit'!E37+'Mutual Security'!E37+'National Affiliated'!E37+'Natl American'!E37+'New Jersey Life'!E37+'Old Colony Life'!E37+'Old Faithful'!E37+'Pacific Standard'!E37+SeeChange!E37+'States General'!E37+Statesman!E37+'Summit National'!E37+Supreme!E37+Underwriters!E37+Unison!E37+'United Republic'!E37+'Universal Life'!E37+Universe!E37+Villanova!E37</f>
        <v>0</v>
      </c>
      <c r="F37" s="30">
        <f>+'Alabama Life'!F37+'American Chambers'!F37+'American Educators'!F37+'American Integrity'!F37+'Amer Life Asr'!F37+'Amer Std Life Acc'!F37+AmerWstrn!F37+'AMS Life'!F37+'Bankers Commercial'!F37+Benicorp!F37+'Booker T Washington'!F37+Centennial!F37+'Coastal States'!F37+'Confed Life (CLIC)'!F37+'Consolidated National'!F37+'Consumers United'!F37+'Corporate Life'!F37+'Diamond Benefits'!F37+'EBL Life'!F37+'Family Guaranty'!F37+'Fidelity Bankers'!F37+'First Natl'!F37+'Franklin American'!F37+'Franklin Protective'!F37+'George Washington'!F37+'Golden State'!F37+'Guarantee Security'!F37+Imerica!F37+'Inter-American'!F37+'International Fin'!F37+'Investment Life of America'!F37+'Investors Equity'!F37+'Kentucky Central'!F37+Legion!F37+'London Pac'!F37+'Medical Savings'!F37+'Midwest Life'!F37+'Mutual Benefit'!F37+'Mutual Security'!F37+'National Affiliated'!F37+'Natl American'!F37+'New Jersey Life'!F37+'Old Colony Life'!F37+'Old Faithful'!F37+'Pacific Standard'!F37+SeeChange!F37+'States General'!F37+Statesman!F37+'Summit National'!F37+Supreme!F37+Underwriters!F37+Unison!F37+'United Republic'!F37+'Universal Life'!F37+Universe!F37+Villanova!F37</f>
        <v>0</v>
      </c>
      <c r="G37" s="30">
        <f t="shared" si="0"/>
        <v>2381755.0602172818</v>
      </c>
      <c r="H37" s="30"/>
      <c r="I37" s="30" t="s">
        <v>465</v>
      </c>
      <c r="J37" s="30">
        <f>Summary!TOTAL_64874</f>
        <v>37078074.870000005</v>
      </c>
    </row>
    <row r="38" spans="1:10">
      <c r="A38" s="1" t="s">
        <v>59</v>
      </c>
      <c r="B38" s="30">
        <f>+'Alabama Life'!B38+'American Chambers'!B38+'American Educators'!B38+'American Integrity'!B38+'Amer Life Asr'!B38+'Amer Std Life Acc'!B38+AmerWstrn!B38+'AMS Life'!B38+'Bankers Commercial'!B38+Benicorp!B38+'Booker T Washington'!B38+Centennial!B38+'Coastal States'!B38+'Confed Life (CLIC)'!B38+'Consolidated National'!B38+'Consumers United'!B38+'Corporate Life'!B38+'Diamond Benefits'!B38+'EBL Life'!B38+'Family Guaranty'!B38+'Fidelity Bankers'!B38+'First Natl'!B38+'Franklin American'!B38+'Franklin Protective'!B38+'George Washington'!B38+'Golden State'!B38+'Guarantee Security'!B38+Imerica!B38+'Inter-American'!B38+'International Fin'!B38+'Investment Life of America'!B38+'Investors Equity'!B38+'Kentucky Central'!B38+Legion!B38+'London Pac'!B38+'Medical Savings'!B38+'Midwest Life'!B38+'Mutual Benefit'!B38+'Mutual Security'!B38+'National Affiliated'!B38+'Natl American'!B38+'New Jersey Life'!B38+'Old Colony Life'!B38+'Old Faithful'!B38+'Pacific Standard'!B38+SeeChange!B38+'States General'!B38+Statesman!B38+'Summit National'!B38+Supreme!B38+Underwriters!B38+Unison!B38+'United Republic'!B38+'Universal Life'!B38+Universe!B38+Villanova!B38</f>
        <v>-36964.970106366323</v>
      </c>
      <c r="C38" s="30">
        <f>+'Alabama Life'!C38+'American Chambers'!C38+'American Educators'!C38+'American Integrity'!C38+'Amer Life Asr'!C38+'Amer Std Life Acc'!C38+AmerWstrn!C38+'AMS Life'!C38+'Bankers Commercial'!C38+Benicorp!C38+'Booker T Washington'!C38+Centennial!C38+'Coastal States'!C38+'Confed Life (CLIC)'!C38+'Consolidated National'!C38+'Consumers United'!C38+'Corporate Life'!C38+'Diamond Benefits'!C38+'EBL Life'!C38+'Family Guaranty'!C38+'Fidelity Bankers'!C38+'First Natl'!C38+'Franklin American'!C38+'Franklin Protective'!C38+'George Washington'!C38+'Golden State'!C38+'Guarantee Security'!C38+Imerica!C38+'Inter-American'!C38+'International Fin'!C38+'Investment Life of America'!C38+'Investors Equity'!C38+'Kentucky Central'!C38+Legion!C38+'London Pac'!C38+'Medical Savings'!C38+'Midwest Life'!C38+'Mutual Benefit'!C38+'Mutual Security'!C38+'National Affiliated'!C38+'Natl American'!C38+'New Jersey Life'!C38+'Old Colony Life'!C38+'Old Faithful'!C38+'Pacific Standard'!C38+SeeChange!C38+'States General'!C38+Statesman!C38+'Summit National'!C38+Supreme!C38+Underwriters!C38+Unison!C38+'United Republic'!C38+'Universal Life'!C38+Universe!C38+Villanova!C38</f>
        <v>-265512.21401918307</v>
      </c>
      <c r="D38" s="30">
        <f>+'Alabama Life'!D38+'American Chambers'!D38+'American Educators'!D38+'American Integrity'!D38+'Amer Life Asr'!D38+'Amer Std Life Acc'!D38+AmerWstrn!D38+'AMS Life'!D38+'Bankers Commercial'!D38+Benicorp!D38+'Booker T Washington'!D38+Centennial!D38+'Coastal States'!D38+'Confed Life (CLIC)'!D38+'Consolidated National'!D38+'Consumers United'!D38+'Corporate Life'!D38+'Diamond Benefits'!D38+'EBL Life'!D38+'Family Guaranty'!D38+'Fidelity Bankers'!D38+'First Natl'!D38+'Franklin American'!D38+'Franklin Protective'!D38+'George Washington'!D38+'Golden State'!D38+'Guarantee Security'!D38+Imerica!D38+'Inter-American'!D38+'International Fin'!D38+'Investment Life of America'!D38+'Investors Equity'!D38+'Kentucky Central'!D38+Legion!D38+'London Pac'!D38+'Medical Savings'!D38+'Midwest Life'!D38+'Mutual Benefit'!D38+'Mutual Security'!D38+'National Affiliated'!D38+'Natl American'!D38+'New Jersey Life'!D38+'Old Colony Life'!D38+'Old Faithful'!D38+'Pacific Standard'!D38+SeeChange!D38+'States General'!D38+Statesman!D38+'Summit National'!D38+Supreme!D38+Underwriters!D38+Unison!D38+'United Republic'!D38+'Universal Life'!D38+Universe!D38+Villanova!D38</f>
        <v>-142996.45468900117</v>
      </c>
      <c r="E38" s="30">
        <f>+'Alabama Life'!E38+'American Chambers'!E38+'American Educators'!E38+'American Integrity'!E38+'Amer Life Asr'!E38+'Amer Std Life Acc'!E38+AmerWstrn!E38+'AMS Life'!E38+'Bankers Commercial'!E38+Benicorp!E38+'Booker T Washington'!E38+Centennial!E38+'Coastal States'!E38+'Confed Life (CLIC)'!E38+'Consolidated National'!E38+'Consumers United'!E38+'Corporate Life'!E38+'Diamond Benefits'!E38+'EBL Life'!E38+'Family Guaranty'!E38+'Fidelity Bankers'!E38+'First Natl'!E38+'Franklin American'!E38+'Franklin Protective'!E38+'George Washington'!E38+'Golden State'!E38+'Guarantee Security'!E38+Imerica!E38+'Inter-American'!E38+'International Fin'!E38+'Investment Life of America'!E38+'Investors Equity'!E38+'Kentucky Central'!E38+Legion!E38+'London Pac'!E38+'Medical Savings'!E38+'Midwest Life'!E38+'Mutual Benefit'!E38+'Mutual Security'!E38+'National Affiliated'!E38+'Natl American'!E38+'New Jersey Life'!E38+'Old Colony Life'!E38+'Old Faithful'!E38+'Pacific Standard'!E38+SeeChange!E38+'States General'!E38+Statesman!E38+'Summit National'!E38+Supreme!E38+Underwriters!E38+Unison!E38+'United Republic'!E38+'Universal Life'!E38+Universe!E38+Villanova!E38</f>
        <v>-9646.7778394741181</v>
      </c>
      <c r="F38" s="30">
        <f>+'Alabama Life'!F38+'American Chambers'!F38+'American Educators'!F38+'American Integrity'!F38+'Amer Life Asr'!F38+'Amer Std Life Acc'!F38+AmerWstrn!F38+'AMS Life'!F38+'Bankers Commercial'!F38+Benicorp!F38+'Booker T Washington'!F38+Centennial!F38+'Coastal States'!F38+'Confed Life (CLIC)'!F38+'Consolidated National'!F38+'Consumers United'!F38+'Corporate Life'!F38+'Diamond Benefits'!F38+'EBL Life'!F38+'Family Guaranty'!F38+'Fidelity Bankers'!F38+'First Natl'!F38+'Franklin American'!F38+'Franklin Protective'!F38+'George Washington'!F38+'Golden State'!F38+'Guarantee Security'!F38+Imerica!F38+'Inter-American'!F38+'International Fin'!F38+'Investment Life of America'!F38+'Investors Equity'!F38+'Kentucky Central'!F38+Legion!F38+'London Pac'!F38+'Medical Savings'!F38+'Midwest Life'!F38+'Mutual Benefit'!F38+'Mutual Security'!F38+'National Affiliated'!F38+'Natl American'!F38+'New Jersey Life'!F38+'Old Colony Life'!F38+'Old Faithful'!F38+'Pacific Standard'!F38+SeeChange!F38+'States General'!F38+Statesman!F38+'Summit National'!F38+Supreme!F38+Underwriters!F38+Unison!F38+'United Republic'!F38+'Universal Life'!F38+Universe!F38+Villanova!F38</f>
        <v>0</v>
      </c>
      <c r="G38" s="30">
        <f t="shared" ref="G38:G58" si="1">SUM(B38:F38)</f>
        <v>-455120.41665402474</v>
      </c>
      <c r="H38" s="30"/>
      <c r="I38" s="30" t="s">
        <v>471</v>
      </c>
      <c r="J38" s="30">
        <f>Summary!TOTAL_65188</f>
        <v>-12501289.675266903</v>
      </c>
    </row>
    <row r="39" spans="1:10">
      <c r="A39" s="1" t="s">
        <v>60</v>
      </c>
      <c r="B39" s="30">
        <f>+'Alabama Life'!B39+'American Chambers'!B39+'American Educators'!B39+'American Integrity'!B39+'Amer Life Asr'!B39+'Amer Std Life Acc'!B39+AmerWstrn!B39+'AMS Life'!B39+'Bankers Commercial'!B39+Benicorp!B39+'Booker T Washington'!B39+Centennial!B39+'Coastal States'!B39+'Confed Life (CLIC)'!B39+'Consolidated National'!B39+'Consumers United'!B39+'Corporate Life'!B39+'Diamond Benefits'!B39+'EBL Life'!B39+'Family Guaranty'!B39+'Fidelity Bankers'!B39+'First Natl'!B39+'Franklin American'!B39+'Franklin Protective'!B39+'George Washington'!B39+'Golden State'!B39+'Guarantee Security'!B39+Imerica!B39+'Inter-American'!B39+'International Fin'!B39+'Investment Life of America'!B39+'Investors Equity'!B39+'Kentucky Central'!B39+Legion!B39+'London Pac'!B39+'Medical Savings'!B39+'Midwest Life'!B39+'Mutual Benefit'!B39+'Mutual Security'!B39+'National Affiliated'!B39+'Natl American'!B39+'New Jersey Life'!B39+'Old Colony Life'!B39+'Old Faithful'!B39+'Pacific Standard'!B39+SeeChange!B39+'States General'!B39+Statesman!B39+'Summit National'!B39+Supreme!B39+Underwriters!B39+Unison!B39+'United Republic'!B39+'Universal Life'!B39+Universe!B39+Villanova!B39</f>
        <v>8675790.3423675951</v>
      </c>
      <c r="C39" s="30">
        <f>+'Alabama Life'!C39+'American Chambers'!C39+'American Educators'!C39+'American Integrity'!C39+'Amer Life Asr'!C39+'Amer Std Life Acc'!C39+AmerWstrn!C39+'AMS Life'!C39+'Bankers Commercial'!C39+Benicorp!C39+'Booker T Washington'!C39+Centennial!C39+'Coastal States'!C39+'Confed Life (CLIC)'!C39+'Consolidated National'!C39+'Consumers United'!C39+'Corporate Life'!C39+'Diamond Benefits'!C39+'EBL Life'!C39+'Family Guaranty'!C39+'Fidelity Bankers'!C39+'First Natl'!C39+'Franklin American'!C39+'Franklin Protective'!C39+'George Washington'!C39+'Golden State'!C39+'Guarantee Security'!C39+Imerica!C39+'Inter-American'!C39+'International Fin'!C39+'Investment Life of America'!C39+'Investors Equity'!C39+'Kentucky Central'!C39+Legion!C39+'London Pac'!C39+'Medical Savings'!C39+'Midwest Life'!C39+'Mutual Benefit'!C39+'Mutual Security'!C39+'National Affiliated'!C39+'Natl American'!C39+'New Jersey Life'!C39+'Old Colony Life'!C39+'Old Faithful'!C39+'Pacific Standard'!C39+SeeChange!C39+'States General'!C39+Statesman!C39+'Summit National'!C39+Supreme!C39+Underwriters!C39+Unison!C39+'United Republic'!C39+'Universal Life'!C39+Universe!C39+Villanova!C39</f>
        <v>13099509.38787807</v>
      </c>
      <c r="D39" s="30">
        <f>+'Alabama Life'!D39+'American Chambers'!D39+'American Educators'!D39+'American Integrity'!D39+'Amer Life Asr'!D39+'Amer Std Life Acc'!D39+AmerWstrn!D39+'AMS Life'!D39+'Bankers Commercial'!D39+Benicorp!D39+'Booker T Washington'!D39+Centennial!D39+'Coastal States'!D39+'Confed Life (CLIC)'!D39+'Consolidated National'!D39+'Consumers United'!D39+'Corporate Life'!D39+'Diamond Benefits'!D39+'EBL Life'!D39+'Family Guaranty'!D39+'Fidelity Bankers'!D39+'First Natl'!D39+'Franklin American'!D39+'Franklin Protective'!D39+'George Washington'!D39+'Golden State'!D39+'Guarantee Security'!D39+Imerica!D39+'Inter-American'!D39+'International Fin'!D39+'Investment Life of America'!D39+'Investors Equity'!D39+'Kentucky Central'!D39+Legion!D39+'London Pac'!D39+'Medical Savings'!D39+'Midwest Life'!D39+'Mutual Benefit'!D39+'Mutual Security'!D39+'National Affiliated'!D39+'Natl American'!D39+'New Jersey Life'!D39+'Old Colony Life'!D39+'Old Faithful'!D39+'Pacific Standard'!D39+SeeChange!D39+'States General'!D39+Statesman!D39+'Summit National'!D39+Supreme!D39+Underwriters!D39+Unison!D39+'United Republic'!D39+'Universal Life'!D39+Universe!D39+Villanova!D39</f>
        <v>-283025.06453253917</v>
      </c>
      <c r="E39" s="30">
        <f>+'Alabama Life'!E39+'American Chambers'!E39+'American Educators'!E39+'American Integrity'!E39+'Amer Life Asr'!E39+'Amer Std Life Acc'!E39+AmerWstrn!E39+'AMS Life'!E39+'Bankers Commercial'!E39+Benicorp!E39+'Booker T Washington'!E39+Centennial!E39+'Coastal States'!E39+'Confed Life (CLIC)'!E39+'Consolidated National'!E39+'Consumers United'!E39+'Corporate Life'!E39+'Diamond Benefits'!E39+'EBL Life'!E39+'Family Guaranty'!E39+'Fidelity Bankers'!E39+'First Natl'!E39+'Franklin American'!E39+'Franklin Protective'!E39+'George Washington'!E39+'Golden State'!E39+'Guarantee Security'!E39+Imerica!E39+'Inter-American'!E39+'International Fin'!E39+'Investment Life of America'!E39+'Investors Equity'!E39+'Kentucky Central'!E39+Legion!E39+'London Pac'!E39+'Medical Savings'!E39+'Midwest Life'!E39+'Mutual Benefit'!E39+'Mutual Security'!E39+'National Affiliated'!E39+'Natl American'!E39+'New Jersey Life'!E39+'Old Colony Life'!E39+'Old Faithful'!E39+'Pacific Standard'!E39+SeeChange!E39+'States General'!E39+Statesman!E39+'Summit National'!E39+Supreme!E39+Underwriters!E39+Unison!E39+'United Republic'!E39+'Universal Life'!E39+Universe!E39+Villanova!E39</f>
        <v>219176.06225038791</v>
      </c>
      <c r="F39" s="30">
        <f>+'Alabama Life'!F39+'American Chambers'!F39+'American Educators'!F39+'American Integrity'!F39+'Amer Life Asr'!F39+'Amer Std Life Acc'!F39+AmerWstrn!F39+'AMS Life'!F39+'Bankers Commercial'!F39+Benicorp!F39+'Booker T Washington'!F39+Centennial!F39+'Coastal States'!F39+'Confed Life (CLIC)'!F39+'Consolidated National'!F39+'Consumers United'!F39+'Corporate Life'!F39+'Diamond Benefits'!F39+'EBL Life'!F39+'Family Guaranty'!F39+'Fidelity Bankers'!F39+'First Natl'!F39+'Franklin American'!F39+'Franklin Protective'!F39+'George Washington'!F39+'Golden State'!F39+'Guarantee Security'!F39+Imerica!F39+'Inter-American'!F39+'International Fin'!F39+'Investment Life of America'!F39+'Investors Equity'!F39+'Kentucky Central'!F39+Legion!F39+'London Pac'!F39+'Medical Savings'!F39+'Midwest Life'!F39+'Mutual Benefit'!F39+'Mutual Security'!F39+'National Affiliated'!F39+'Natl American'!F39+'New Jersey Life'!F39+'Old Colony Life'!F39+'Old Faithful'!F39+'Pacific Standard'!F39+SeeChange!F39+'States General'!F39+Statesman!F39+'Summit National'!F39+Supreme!F39+Underwriters!F39+Unison!F39+'United Republic'!F39+'Universal Life'!F39+Universe!F39+Villanova!F39</f>
        <v>0</v>
      </c>
      <c r="G39" s="30">
        <f t="shared" si="1"/>
        <v>21711450.727963511</v>
      </c>
      <c r="H39" s="30"/>
      <c r="I39" s="30" t="s">
        <v>477</v>
      </c>
      <c r="J39" s="30">
        <f>Summary!TOTAL_24422</f>
        <v>410967.5164547048</v>
      </c>
    </row>
    <row r="40" spans="1:10">
      <c r="A40" s="1" t="s">
        <v>61</v>
      </c>
      <c r="B40" s="30">
        <f>+'Alabama Life'!B40+'American Chambers'!B40+'American Educators'!B40+'American Integrity'!B40+'Amer Life Asr'!B40+'Amer Std Life Acc'!B40+AmerWstrn!B40+'AMS Life'!B40+'Bankers Commercial'!B40+Benicorp!B40+'Booker T Washington'!B40+Centennial!B40+'Coastal States'!B40+'Confed Life (CLIC)'!B40+'Consolidated National'!B40+'Consumers United'!B40+'Corporate Life'!B40+'Diamond Benefits'!B40+'EBL Life'!B40+'Family Guaranty'!B40+'Fidelity Bankers'!B40+'First Natl'!B40+'Franklin American'!B40+'Franklin Protective'!B40+'George Washington'!B40+'Golden State'!B40+'Guarantee Security'!B40+Imerica!B40+'Inter-American'!B40+'International Fin'!B40+'Investment Life of America'!B40+'Investors Equity'!B40+'Kentucky Central'!B40+Legion!B40+'London Pac'!B40+'Medical Savings'!B40+'Midwest Life'!B40+'Mutual Benefit'!B40+'Mutual Security'!B40+'National Affiliated'!B40+'Natl American'!B40+'New Jersey Life'!B40+'Old Colony Life'!B40+'Old Faithful'!B40+'Pacific Standard'!B40+SeeChange!B40+'States General'!B40+Statesman!B40+'Summit National'!B40+Supreme!B40+Underwriters!B40+Unison!B40+'United Republic'!B40+'Universal Life'!B40+Universe!B40+Villanova!B40</f>
        <v>767887.77543516736</v>
      </c>
      <c r="C40" s="30">
        <f>+'Alabama Life'!C40+'American Chambers'!C40+'American Educators'!C40+'American Integrity'!C40+'Amer Life Asr'!C40+'Amer Std Life Acc'!C40+AmerWstrn!C40+'AMS Life'!C40+'Bankers Commercial'!C40+Benicorp!C40+'Booker T Washington'!C40+Centennial!C40+'Coastal States'!C40+'Confed Life (CLIC)'!C40+'Consolidated National'!C40+'Consumers United'!C40+'Corporate Life'!C40+'Diamond Benefits'!C40+'EBL Life'!C40+'Family Guaranty'!C40+'Fidelity Bankers'!C40+'First Natl'!C40+'Franklin American'!C40+'Franklin Protective'!C40+'George Washington'!C40+'Golden State'!C40+'Guarantee Security'!C40+Imerica!C40+'Inter-American'!C40+'International Fin'!C40+'Investment Life of America'!C40+'Investors Equity'!C40+'Kentucky Central'!C40+Legion!C40+'London Pac'!C40+'Medical Savings'!C40+'Midwest Life'!C40+'Mutual Benefit'!C40+'Mutual Security'!C40+'National Affiliated'!C40+'Natl American'!C40+'New Jersey Life'!C40+'Old Colony Life'!C40+'Old Faithful'!C40+'Pacific Standard'!C40+SeeChange!C40+'States General'!C40+Statesman!C40+'Summit National'!C40+Supreme!C40+Underwriters!C40+Unison!C40+'United Republic'!C40+'Universal Life'!C40+Universe!C40+Villanova!C40</f>
        <v>2121701.5518026897</v>
      </c>
      <c r="D40" s="30">
        <f>+'Alabama Life'!D40+'American Chambers'!D40+'American Educators'!D40+'American Integrity'!D40+'Amer Life Asr'!D40+'Amer Std Life Acc'!D40+AmerWstrn!D40+'AMS Life'!D40+'Bankers Commercial'!D40+Benicorp!D40+'Booker T Washington'!D40+Centennial!D40+'Coastal States'!D40+'Confed Life (CLIC)'!D40+'Consolidated National'!D40+'Consumers United'!D40+'Corporate Life'!D40+'Diamond Benefits'!D40+'EBL Life'!D40+'Family Guaranty'!D40+'Fidelity Bankers'!D40+'First Natl'!D40+'Franklin American'!D40+'Franklin Protective'!D40+'George Washington'!D40+'Golden State'!D40+'Guarantee Security'!D40+Imerica!D40+'Inter-American'!D40+'International Fin'!D40+'Investment Life of America'!D40+'Investors Equity'!D40+'Kentucky Central'!D40+Legion!D40+'London Pac'!D40+'Medical Savings'!D40+'Midwest Life'!D40+'Mutual Benefit'!D40+'Mutual Security'!D40+'National Affiliated'!D40+'Natl American'!D40+'New Jersey Life'!D40+'Old Colony Life'!D40+'Old Faithful'!D40+'Pacific Standard'!D40+SeeChange!D40+'States General'!D40+Statesman!D40+'Summit National'!D40+Supreme!D40+Underwriters!D40+Unison!D40+'United Republic'!D40+'Universal Life'!D40+Universe!D40+Villanova!D40</f>
        <v>1209855.8372411542</v>
      </c>
      <c r="E40" s="30">
        <f>+'Alabama Life'!E40+'American Chambers'!E40+'American Educators'!E40+'American Integrity'!E40+'Amer Life Asr'!E40+'Amer Std Life Acc'!E40+AmerWstrn!E40+'AMS Life'!E40+'Bankers Commercial'!E40+Benicorp!E40+'Booker T Washington'!E40+Centennial!E40+'Coastal States'!E40+'Confed Life (CLIC)'!E40+'Consolidated National'!E40+'Consumers United'!E40+'Corporate Life'!E40+'Diamond Benefits'!E40+'EBL Life'!E40+'Family Guaranty'!E40+'Fidelity Bankers'!E40+'First Natl'!E40+'Franklin American'!E40+'Franklin Protective'!E40+'George Washington'!E40+'Golden State'!E40+'Guarantee Security'!E40+Imerica!E40+'Inter-American'!E40+'International Fin'!E40+'Investment Life of America'!E40+'Investors Equity'!E40+'Kentucky Central'!E40+Legion!E40+'London Pac'!E40+'Medical Savings'!E40+'Midwest Life'!E40+'Mutual Benefit'!E40+'Mutual Security'!E40+'National Affiliated'!E40+'Natl American'!E40+'New Jersey Life'!E40+'Old Colony Life'!E40+'Old Faithful'!E40+'Pacific Standard'!E40+SeeChange!E40+'States General'!E40+Statesman!E40+'Summit National'!E40+Supreme!E40+Underwriters!E40+Unison!E40+'United Republic'!E40+'Universal Life'!E40+Universe!E40+Villanova!E40</f>
        <v>0</v>
      </c>
      <c r="F40" s="30">
        <f>+'Alabama Life'!F40+'American Chambers'!F40+'American Educators'!F40+'American Integrity'!F40+'Amer Life Asr'!F40+'Amer Std Life Acc'!F40+AmerWstrn!F40+'AMS Life'!F40+'Bankers Commercial'!F40+Benicorp!F40+'Booker T Washington'!F40+Centennial!F40+'Coastal States'!F40+'Confed Life (CLIC)'!F40+'Consolidated National'!F40+'Consumers United'!F40+'Corporate Life'!F40+'Diamond Benefits'!F40+'EBL Life'!F40+'Family Guaranty'!F40+'Fidelity Bankers'!F40+'First Natl'!F40+'Franklin American'!F40+'Franklin Protective'!F40+'George Washington'!F40+'Golden State'!F40+'Guarantee Security'!F40+Imerica!F40+'Inter-American'!F40+'International Fin'!F40+'Investment Life of America'!F40+'Investors Equity'!F40+'Kentucky Central'!F40+Legion!F40+'London Pac'!F40+'Medical Savings'!F40+'Midwest Life'!F40+'Mutual Benefit'!F40+'Mutual Security'!F40+'National Affiliated'!F40+'Natl American'!F40+'New Jersey Life'!F40+'Old Colony Life'!F40+'Old Faithful'!F40+'Pacific Standard'!F40+SeeChange!F40+'States General'!F40+Statesman!F40+'Summit National'!F40+Supreme!F40+Underwriters!F40+Unison!F40+'United Republic'!F40+'Universal Life'!F40+Universe!F40+Villanova!F40</f>
        <v>0</v>
      </c>
      <c r="G40" s="30">
        <f t="shared" si="1"/>
        <v>4099445.1644790112</v>
      </c>
      <c r="H40" s="30"/>
      <c r="I40" s="30" t="s">
        <v>482</v>
      </c>
      <c r="J40" s="30">
        <f>Summary!TOTAL_68934</f>
        <v>96324078.240000188</v>
      </c>
    </row>
    <row r="41" spans="1:10">
      <c r="A41" s="1" t="s">
        <v>62</v>
      </c>
      <c r="B41" s="30">
        <f>+'Alabama Life'!B41+'American Chambers'!B41+'American Educators'!B41+'American Integrity'!B41+'Amer Life Asr'!B41+'Amer Std Life Acc'!B41+AmerWstrn!B41+'AMS Life'!B41+'Bankers Commercial'!B41+Benicorp!B41+'Booker T Washington'!B41+Centennial!B41+'Coastal States'!B41+'Confed Life (CLIC)'!B41+'Consolidated National'!B41+'Consumers United'!B41+'Corporate Life'!B41+'Diamond Benefits'!B41+'EBL Life'!B41+'Family Guaranty'!B41+'Fidelity Bankers'!B41+'First Natl'!B41+'Franklin American'!B41+'Franklin Protective'!B41+'George Washington'!B41+'Golden State'!B41+'Guarantee Security'!B41+Imerica!B41+'Inter-American'!B41+'International Fin'!B41+'Investment Life of America'!B41+'Investors Equity'!B41+'Kentucky Central'!B41+Legion!B41+'London Pac'!B41+'Medical Savings'!B41+'Midwest Life'!B41+'Mutual Benefit'!B41+'Mutual Security'!B41+'National Affiliated'!B41+'Natl American'!B41+'New Jersey Life'!B41+'Old Colony Life'!B41+'Old Faithful'!B41+'Pacific Standard'!B41+SeeChange!B41+'States General'!B41+Statesman!B41+'Summit National'!B41+Supreme!B41+Underwriters!B41+Unison!B41+'United Republic'!B41+'Universal Life'!B41+Universe!B41+Villanova!B41</f>
        <v>9769635.4872992132</v>
      </c>
      <c r="C41" s="30">
        <f>+'Alabama Life'!C41+'American Chambers'!C41+'American Educators'!C41+'American Integrity'!C41+'Amer Life Asr'!C41+'Amer Std Life Acc'!C41+AmerWstrn!C41+'AMS Life'!C41+'Bankers Commercial'!C41+Benicorp!C41+'Booker T Washington'!C41+Centennial!C41+'Coastal States'!C41+'Confed Life (CLIC)'!C41+'Consolidated National'!C41+'Consumers United'!C41+'Corporate Life'!C41+'Diamond Benefits'!C41+'EBL Life'!C41+'Family Guaranty'!C41+'Fidelity Bankers'!C41+'First Natl'!C41+'Franklin American'!C41+'Franklin Protective'!C41+'George Washington'!C41+'Golden State'!C41+'Guarantee Security'!C41+Imerica!C41+'Inter-American'!C41+'International Fin'!C41+'Investment Life of America'!C41+'Investors Equity'!C41+'Kentucky Central'!C41+Legion!C41+'London Pac'!C41+'Medical Savings'!C41+'Midwest Life'!C41+'Mutual Benefit'!C41+'Mutual Security'!C41+'National Affiliated'!C41+'Natl American'!C41+'New Jersey Life'!C41+'Old Colony Life'!C41+'Old Faithful'!C41+'Pacific Standard'!C41+SeeChange!C41+'States General'!C41+Statesman!C41+'Summit National'!C41+Supreme!C41+Underwriters!C41+Unison!C41+'United Republic'!C41+'Universal Life'!C41+Universe!C41+Villanova!C41</f>
        <v>19796892.807808839</v>
      </c>
      <c r="D41" s="30">
        <f>+'Alabama Life'!D41+'American Chambers'!D41+'American Educators'!D41+'American Integrity'!D41+'Amer Life Asr'!D41+'Amer Std Life Acc'!D41+AmerWstrn!D41+'AMS Life'!D41+'Bankers Commercial'!D41+Benicorp!D41+'Booker T Washington'!D41+Centennial!D41+'Coastal States'!D41+'Confed Life (CLIC)'!D41+'Consolidated National'!D41+'Consumers United'!D41+'Corporate Life'!D41+'Diamond Benefits'!D41+'EBL Life'!D41+'Family Guaranty'!D41+'Fidelity Bankers'!D41+'First Natl'!D41+'Franklin American'!D41+'Franklin Protective'!D41+'George Washington'!D41+'Golden State'!D41+'Guarantee Security'!D41+Imerica!D41+'Inter-American'!D41+'International Fin'!D41+'Investment Life of America'!D41+'Investors Equity'!D41+'Kentucky Central'!D41+Legion!D41+'London Pac'!D41+'Medical Savings'!D41+'Midwest Life'!D41+'Mutual Benefit'!D41+'Mutual Security'!D41+'National Affiliated'!D41+'Natl American'!D41+'New Jersey Life'!D41+'Old Colony Life'!D41+'Old Faithful'!D41+'Pacific Standard'!D41+SeeChange!D41+'States General'!D41+Statesman!D41+'Summit National'!D41+Supreme!D41+Underwriters!D41+Unison!D41+'United Republic'!D41+'Universal Life'!D41+Universe!D41+Villanova!D41</f>
        <v>8587669.7240976375</v>
      </c>
      <c r="E41" s="30">
        <f>+'Alabama Life'!E41+'American Chambers'!E41+'American Educators'!E41+'American Integrity'!E41+'Amer Life Asr'!E41+'Amer Std Life Acc'!E41+AmerWstrn!E41+'AMS Life'!E41+'Bankers Commercial'!E41+Benicorp!E41+'Booker T Washington'!E41+Centennial!E41+'Coastal States'!E41+'Confed Life (CLIC)'!E41+'Consolidated National'!E41+'Consumers United'!E41+'Corporate Life'!E41+'Diamond Benefits'!E41+'EBL Life'!E41+'Family Guaranty'!E41+'Fidelity Bankers'!E41+'First Natl'!E41+'Franklin American'!E41+'Franklin Protective'!E41+'George Washington'!E41+'Golden State'!E41+'Guarantee Security'!E41+Imerica!E41+'Inter-American'!E41+'International Fin'!E41+'Investment Life of America'!E41+'Investors Equity'!E41+'Kentucky Central'!E41+Legion!E41+'London Pac'!E41+'Medical Savings'!E41+'Midwest Life'!E41+'Mutual Benefit'!E41+'Mutual Security'!E41+'National Affiliated'!E41+'Natl American'!E41+'New Jersey Life'!E41+'Old Colony Life'!E41+'Old Faithful'!E41+'Pacific Standard'!E41+SeeChange!E41+'States General'!E41+Statesman!E41+'Summit National'!E41+Supreme!E41+Underwriters!E41+Unison!E41+'United Republic'!E41+'Universal Life'!E41+Universe!E41+Villanova!E41</f>
        <v>486636.95491450676</v>
      </c>
      <c r="F41" s="30">
        <f>+'Alabama Life'!F41+'American Chambers'!F41+'American Educators'!F41+'American Integrity'!F41+'Amer Life Asr'!F41+'Amer Std Life Acc'!F41+AmerWstrn!F41+'AMS Life'!F41+'Bankers Commercial'!F41+Benicorp!F41+'Booker T Washington'!F41+Centennial!F41+'Coastal States'!F41+'Confed Life (CLIC)'!F41+'Consolidated National'!F41+'Consumers United'!F41+'Corporate Life'!F41+'Diamond Benefits'!F41+'EBL Life'!F41+'Family Guaranty'!F41+'Fidelity Bankers'!F41+'First Natl'!F41+'Franklin American'!F41+'Franklin Protective'!F41+'George Washington'!F41+'Golden State'!F41+'Guarantee Security'!F41+Imerica!F41+'Inter-American'!F41+'International Fin'!F41+'Investment Life of America'!F41+'Investors Equity'!F41+'Kentucky Central'!F41+Legion!F41+'London Pac'!F41+'Medical Savings'!F41+'Midwest Life'!F41+'Mutual Benefit'!F41+'Mutual Security'!F41+'National Affiliated'!F41+'Natl American'!F41+'New Jersey Life'!F41+'Old Colony Life'!F41+'Old Faithful'!F41+'Pacific Standard'!F41+SeeChange!F41+'States General'!F41+Statesman!F41+'Summit National'!F41+Supreme!F41+Underwriters!F41+Unison!F41+'United Republic'!F41+'Universal Life'!F41+Universe!F41+Villanova!F41</f>
        <v>0</v>
      </c>
      <c r="G41" s="30">
        <f t="shared" si="1"/>
        <v>38640834.9741202</v>
      </c>
      <c r="H41" s="30"/>
      <c r="I41" s="30" t="s">
        <v>487</v>
      </c>
      <c r="J41" s="30">
        <f>Summary!TOTAL_74217A</f>
        <v>25705698.670000002</v>
      </c>
    </row>
    <row r="42" spans="1:10">
      <c r="A42" s="1" t="s">
        <v>63</v>
      </c>
      <c r="B42" s="30">
        <f>+'Alabama Life'!B42+'American Chambers'!B42+'American Educators'!B42+'American Integrity'!B42+'Amer Life Asr'!B42+'Amer Std Life Acc'!B42+AmerWstrn!B42+'AMS Life'!B42+'Bankers Commercial'!B42+Benicorp!B42+'Booker T Washington'!B42+Centennial!B42+'Coastal States'!B42+'Confed Life (CLIC)'!B42+'Consolidated National'!B42+'Consumers United'!B42+'Corporate Life'!B42+'Diamond Benefits'!B42+'EBL Life'!B42+'Family Guaranty'!B42+'Fidelity Bankers'!B42+'First Natl'!B42+'Franklin American'!B42+'Franklin Protective'!B42+'George Washington'!B42+'Golden State'!B42+'Guarantee Security'!B42+Imerica!B42+'Inter-American'!B42+'International Fin'!B42+'Investment Life of America'!B42+'Investors Equity'!B42+'Kentucky Central'!B42+Legion!B42+'London Pac'!B42+'Medical Savings'!B42+'Midwest Life'!B42+'Mutual Benefit'!B42+'Mutual Security'!B42+'National Affiliated'!B42+'Natl American'!B42+'New Jersey Life'!B42+'Old Colony Life'!B42+'Old Faithful'!B42+'Pacific Standard'!B42+SeeChange!B42+'States General'!B42+Statesman!B42+'Summit National'!B42+Supreme!B42+Underwriters!B42+Unison!B42+'United Republic'!B42+'Universal Life'!B42+Universe!B42+Villanova!B42</f>
        <v>5454104.4695111923</v>
      </c>
      <c r="C42" s="30">
        <f>+'Alabama Life'!C42+'American Chambers'!C42+'American Educators'!C42+'American Integrity'!C42+'Amer Life Asr'!C42+'Amer Std Life Acc'!C42+AmerWstrn!C42+'AMS Life'!C42+'Bankers Commercial'!C42+Benicorp!C42+'Booker T Washington'!C42+Centennial!C42+'Coastal States'!C42+'Confed Life (CLIC)'!C42+'Consolidated National'!C42+'Consumers United'!C42+'Corporate Life'!C42+'Diamond Benefits'!C42+'EBL Life'!C42+'Family Guaranty'!C42+'Fidelity Bankers'!C42+'First Natl'!C42+'Franklin American'!C42+'Franklin Protective'!C42+'George Washington'!C42+'Golden State'!C42+'Guarantee Security'!C42+Imerica!C42+'Inter-American'!C42+'International Fin'!C42+'Investment Life of America'!C42+'Investors Equity'!C42+'Kentucky Central'!C42+Legion!C42+'London Pac'!C42+'Medical Savings'!C42+'Midwest Life'!C42+'Mutual Benefit'!C42+'Mutual Security'!C42+'National Affiliated'!C42+'Natl American'!C42+'New Jersey Life'!C42+'Old Colony Life'!C42+'Old Faithful'!C42+'Pacific Standard'!C42+SeeChange!C42+'States General'!C42+Statesman!C42+'Summit National'!C42+Supreme!C42+Underwriters!C42+Unison!C42+'United Republic'!C42+'Universal Life'!C42+Universe!C42+Villanova!C42</f>
        <v>11086798.686501175</v>
      </c>
      <c r="D42" s="30">
        <f>+'Alabama Life'!D42+'American Chambers'!D42+'American Educators'!D42+'American Integrity'!D42+'Amer Life Asr'!D42+'Amer Std Life Acc'!D42+AmerWstrn!D42+'AMS Life'!D42+'Bankers Commercial'!D42+Benicorp!D42+'Booker T Washington'!D42+Centennial!D42+'Coastal States'!D42+'Confed Life (CLIC)'!D42+'Consolidated National'!D42+'Consumers United'!D42+'Corporate Life'!D42+'Diamond Benefits'!D42+'EBL Life'!D42+'Family Guaranty'!D42+'Fidelity Bankers'!D42+'First Natl'!D42+'Franklin American'!D42+'Franklin Protective'!D42+'George Washington'!D42+'Golden State'!D42+'Guarantee Security'!D42+Imerica!D42+'Inter-American'!D42+'International Fin'!D42+'Investment Life of America'!D42+'Investors Equity'!D42+'Kentucky Central'!D42+Legion!D42+'London Pac'!D42+'Medical Savings'!D42+'Midwest Life'!D42+'Mutual Benefit'!D42+'Mutual Security'!D42+'National Affiliated'!D42+'Natl American'!D42+'New Jersey Life'!D42+'Old Colony Life'!D42+'Old Faithful'!D42+'Pacific Standard'!D42+SeeChange!D42+'States General'!D42+Statesman!D42+'Summit National'!D42+Supreme!D42+Underwriters!D42+Unison!D42+'United Republic'!D42+'Universal Life'!D42+Universe!D42+Villanova!D42</f>
        <v>3290063.3462994401</v>
      </c>
      <c r="E42" s="30">
        <f>+'Alabama Life'!E42+'American Chambers'!E42+'American Educators'!E42+'American Integrity'!E42+'Amer Life Asr'!E42+'Amer Std Life Acc'!E42+AmerWstrn!E42+'AMS Life'!E42+'Bankers Commercial'!E42+Benicorp!E42+'Booker T Washington'!E42+Centennial!E42+'Coastal States'!E42+'Confed Life (CLIC)'!E42+'Consolidated National'!E42+'Consumers United'!E42+'Corporate Life'!E42+'Diamond Benefits'!E42+'EBL Life'!E42+'Family Guaranty'!E42+'Fidelity Bankers'!E42+'First Natl'!E42+'Franklin American'!E42+'Franklin Protective'!E42+'George Washington'!E42+'Golden State'!E42+'Guarantee Security'!E42+Imerica!E42+'Inter-American'!E42+'International Fin'!E42+'Investment Life of America'!E42+'Investors Equity'!E42+'Kentucky Central'!E42+Legion!E42+'London Pac'!E42+'Medical Savings'!E42+'Midwest Life'!E42+'Mutual Benefit'!E42+'Mutual Security'!E42+'National Affiliated'!E42+'Natl American'!E42+'New Jersey Life'!E42+'Old Colony Life'!E42+'Old Faithful'!E42+'Pacific Standard'!E42+SeeChange!E42+'States General'!E42+Statesman!E42+'Summit National'!E42+Supreme!E42+Underwriters!E42+Unison!E42+'United Republic'!E42+'Universal Life'!E42+Universe!E42+Villanova!E42</f>
        <v>0</v>
      </c>
      <c r="F42" s="30">
        <f>+'Alabama Life'!F42+'American Chambers'!F42+'American Educators'!F42+'American Integrity'!F42+'Amer Life Asr'!F42+'Amer Std Life Acc'!F42+AmerWstrn!F42+'AMS Life'!F42+'Bankers Commercial'!F42+Benicorp!F42+'Booker T Washington'!F42+Centennial!F42+'Coastal States'!F42+'Confed Life (CLIC)'!F42+'Consolidated National'!F42+'Consumers United'!F42+'Corporate Life'!F42+'Diamond Benefits'!F42+'EBL Life'!F42+'Family Guaranty'!F42+'Fidelity Bankers'!F42+'First Natl'!F42+'Franklin American'!F42+'Franklin Protective'!F42+'George Washington'!F42+'Golden State'!F42+'Guarantee Security'!F42+Imerica!F42+'Inter-American'!F42+'International Fin'!F42+'Investment Life of America'!F42+'Investors Equity'!F42+'Kentucky Central'!F42+Legion!F42+'London Pac'!F42+'Medical Savings'!F42+'Midwest Life'!F42+'Mutual Benefit'!F42+'Mutual Security'!F42+'National Affiliated'!F42+'Natl American'!F42+'New Jersey Life'!F42+'Old Colony Life'!F42+'Old Faithful'!F42+'Pacific Standard'!F42+SeeChange!F42+'States General'!F42+Statesman!F42+'Summit National'!F42+Supreme!F42+Underwriters!F42+Unison!F42+'United Republic'!F42+'Universal Life'!F42+Universe!F42+Villanova!F42</f>
        <v>0</v>
      </c>
      <c r="G42" s="30">
        <f t="shared" si="1"/>
        <v>19830966.502311807</v>
      </c>
      <c r="H42" s="30"/>
      <c r="I42" s="30" t="s">
        <v>492</v>
      </c>
      <c r="J42" s="30">
        <f>Summary!TOTAL_66060</f>
        <v>33016710.040000003</v>
      </c>
    </row>
    <row r="43" spans="1:10">
      <c r="A43" s="1" t="s">
        <v>64</v>
      </c>
      <c r="B43" s="30">
        <f>+'Alabama Life'!B43+'American Chambers'!B43+'American Educators'!B43+'American Integrity'!B43+'Amer Life Asr'!B43+'Amer Std Life Acc'!B43+AmerWstrn!B43+'AMS Life'!B43+'Bankers Commercial'!B43+Benicorp!B43+'Booker T Washington'!B43+Centennial!B43+'Coastal States'!B43+'Confed Life (CLIC)'!B43+'Consolidated National'!B43+'Consumers United'!B43+'Corporate Life'!B43+'Diamond Benefits'!B43+'EBL Life'!B43+'Family Guaranty'!B43+'Fidelity Bankers'!B43+'First Natl'!B43+'Franklin American'!B43+'Franklin Protective'!B43+'George Washington'!B43+'Golden State'!B43+'Guarantee Security'!B43+Imerica!B43+'Inter-American'!B43+'International Fin'!B43+'Investment Life of America'!B43+'Investors Equity'!B43+'Kentucky Central'!B43+Legion!B43+'London Pac'!B43+'Medical Savings'!B43+'Midwest Life'!B43+'Mutual Benefit'!B43+'Mutual Security'!B43+'National Affiliated'!B43+'Natl American'!B43+'New Jersey Life'!B43+'Old Colony Life'!B43+'Old Faithful'!B43+'Pacific Standard'!B43+SeeChange!B43+'States General'!B43+Statesman!B43+'Summit National'!B43+Supreme!B43+Underwriters!B43+Unison!B43+'United Republic'!B43+'Universal Life'!B43+Universe!B43+Villanova!B43</f>
        <v>2013229.4570076186</v>
      </c>
      <c r="C43" s="30">
        <f>+'Alabama Life'!C43+'American Chambers'!C43+'American Educators'!C43+'American Integrity'!C43+'Amer Life Asr'!C43+'Amer Std Life Acc'!C43+AmerWstrn!C43+'AMS Life'!C43+'Bankers Commercial'!C43+Benicorp!C43+'Booker T Washington'!C43+Centennial!C43+'Coastal States'!C43+'Confed Life (CLIC)'!C43+'Consolidated National'!C43+'Consumers United'!C43+'Corporate Life'!C43+'Diamond Benefits'!C43+'EBL Life'!C43+'Family Guaranty'!C43+'Fidelity Bankers'!C43+'First Natl'!C43+'Franklin American'!C43+'Franklin Protective'!C43+'George Washington'!C43+'Golden State'!C43+'Guarantee Security'!C43+Imerica!C43+'Inter-American'!C43+'International Fin'!C43+'Investment Life of America'!C43+'Investors Equity'!C43+'Kentucky Central'!C43+Legion!C43+'London Pac'!C43+'Medical Savings'!C43+'Midwest Life'!C43+'Mutual Benefit'!C43+'Mutual Security'!C43+'National Affiliated'!C43+'Natl American'!C43+'New Jersey Life'!C43+'Old Colony Life'!C43+'Old Faithful'!C43+'Pacific Standard'!C43+SeeChange!C43+'States General'!C43+Statesman!C43+'Summit National'!C43+Supreme!C43+Underwriters!C43+Unison!C43+'United Republic'!C43+'Universal Life'!C43+Universe!C43+Villanova!C43</f>
        <v>2563492.5500622415</v>
      </c>
      <c r="D43" s="30">
        <f>+'Alabama Life'!D43+'American Chambers'!D43+'American Educators'!D43+'American Integrity'!D43+'Amer Life Asr'!D43+'Amer Std Life Acc'!D43+AmerWstrn!D43+'AMS Life'!D43+'Bankers Commercial'!D43+Benicorp!D43+'Booker T Washington'!D43+Centennial!D43+'Coastal States'!D43+'Confed Life (CLIC)'!D43+'Consolidated National'!D43+'Consumers United'!D43+'Corporate Life'!D43+'Diamond Benefits'!D43+'EBL Life'!D43+'Family Guaranty'!D43+'Fidelity Bankers'!D43+'First Natl'!D43+'Franklin American'!D43+'Franklin Protective'!D43+'George Washington'!D43+'Golden State'!D43+'Guarantee Security'!D43+Imerica!D43+'Inter-American'!D43+'International Fin'!D43+'Investment Life of America'!D43+'Investors Equity'!D43+'Kentucky Central'!D43+Legion!D43+'London Pac'!D43+'Medical Savings'!D43+'Midwest Life'!D43+'Mutual Benefit'!D43+'Mutual Security'!D43+'National Affiliated'!D43+'Natl American'!D43+'New Jersey Life'!D43+'Old Colony Life'!D43+'Old Faithful'!D43+'Pacific Standard'!D43+SeeChange!D43+'States General'!D43+Statesman!D43+'Summit National'!D43+Supreme!D43+Underwriters!D43+Unison!D43+'United Republic'!D43+'Universal Life'!D43+Universe!D43+Villanova!D43</f>
        <v>1125138.8765403475</v>
      </c>
      <c r="E43" s="30">
        <f>+'Alabama Life'!E43+'American Chambers'!E43+'American Educators'!E43+'American Integrity'!E43+'Amer Life Asr'!E43+'Amer Std Life Acc'!E43+AmerWstrn!E43+'AMS Life'!E43+'Bankers Commercial'!E43+Benicorp!E43+'Booker T Washington'!E43+Centennial!E43+'Coastal States'!E43+'Confed Life (CLIC)'!E43+'Consolidated National'!E43+'Consumers United'!E43+'Corporate Life'!E43+'Diamond Benefits'!E43+'EBL Life'!E43+'Family Guaranty'!E43+'Fidelity Bankers'!E43+'First Natl'!E43+'Franklin American'!E43+'Franklin Protective'!E43+'George Washington'!E43+'Golden State'!E43+'Guarantee Security'!E43+Imerica!E43+'Inter-American'!E43+'International Fin'!E43+'Investment Life of America'!E43+'Investors Equity'!E43+'Kentucky Central'!E43+Legion!E43+'London Pac'!E43+'Medical Savings'!E43+'Midwest Life'!E43+'Mutual Benefit'!E43+'Mutual Security'!E43+'National Affiliated'!E43+'Natl American'!E43+'New Jersey Life'!E43+'Old Colony Life'!E43+'Old Faithful'!E43+'Pacific Standard'!E43+SeeChange!E43+'States General'!E43+Statesman!E43+'Summit National'!E43+Supreme!E43+Underwriters!E43+Unison!E43+'United Republic'!E43+'Universal Life'!E43+Universe!E43+Villanova!E43</f>
        <v>0</v>
      </c>
      <c r="F43" s="30">
        <f>+'Alabama Life'!F43+'American Chambers'!F43+'American Educators'!F43+'American Integrity'!F43+'Amer Life Asr'!F43+'Amer Std Life Acc'!F43+AmerWstrn!F43+'AMS Life'!F43+'Bankers Commercial'!F43+Benicorp!F43+'Booker T Washington'!F43+Centennial!F43+'Coastal States'!F43+'Confed Life (CLIC)'!F43+'Consolidated National'!F43+'Consumers United'!F43+'Corporate Life'!F43+'Diamond Benefits'!F43+'EBL Life'!F43+'Family Guaranty'!F43+'Fidelity Bankers'!F43+'First Natl'!F43+'Franklin American'!F43+'Franklin Protective'!F43+'George Washington'!F43+'Golden State'!F43+'Guarantee Security'!F43+Imerica!F43+'Inter-American'!F43+'International Fin'!F43+'Investment Life of America'!F43+'Investors Equity'!F43+'Kentucky Central'!F43+Legion!F43+'London Pac'!F43+'Medical Savings'!F43+'Midwest Life'!F43+'Mutual Benefit'!F43+'Mutual Security'!F43+'National Affiliated'!F43+'Natl American'!F43+'New Jersey Life'!F43+'Old Colony Life'!F43+'Old Faithful'!F43+'Pacific Standard'!F43+SeeChange!F43+'States General'!F43+Statesman!F43+'Summit National'!F43+Supreme!F43+Underwriters!F43+Unison!F43+'United Republic'!F43+'Universal Life'!F43+Universe!F43+Villanova!F43</f>
        <v>0</v>
      </c>
      <c r="G43" s="30">
        <f t="shared" si="1"/>
        <v>5701860.8836102076</v>
      </c>
      <c r="H43" s="30"/>
      <c r="I43" s="30" t="s">
        <v>498</v>
      </c>
      <c r="J43" s="30">
        <f>Summary!TOTAL_66362</f>
        <v>-1665408.4499997206</v>
      </c>
    </row>
    <row r="44" spans="1:10">
      <c r="A44" s="1" t="s">
        <v>65</v>
      </c>
      <c r="B44" s="30">
        <f>+'Alabama Life'!B44+'American Chambers'!B44+'American Educators'!B44+'American Integrity'!B44+'Amer Life Asr'!B44+'Amer Std Life Acc'!B44+AmerWstrn!B44+'AMS Life'!B44+'Bankers Commercial'!B44+Benicorp!B44+'Booker T Washington'!B44+Centennial!B44+'Coastal States'!B44+'Confed Life (CLIC)'!B44+'Consolidated National'!B44+'Consumers United'!B44+'Corporate Life'!B44+'Diamond Benefits'!B44+'EBL Life'!B44+'Family Guaranty'!B44+'Fidelity Bankers'!B44+'First Natl'!B44+'Franklin American'!B44+'Franklin Protective'!B44+'George Washington'!B44+'Golden State'!B44+'Guarantee Security'!B44+Imerica!B44+'Inter-American'!B44+'International Fin'!B44+'Investment Life of America'!B44+'Investors Equity'!B44+'Kentucky Central'!B44+Legion!B44+'London Pac'!B44+'Medical Savings'!B44+'Midwest Life'!B44+'Mutual Benefit'!B44+'Mutual Security'!B44+'National Affiliated'!B44+'Natl American'!B44+'New Jersey Life'!B44+'Old Colony Life'!B44+'Old Faithful'!B44+'Pacific Standard'!B44+SeeChange!B44+'States General'!B44+Statesman!B44+'Summit National'!B44+Supreme!B44+Underwriters!B44+Unison!B44+'United Republic'!B44+'Universal Life'!B44+Universe!B44+Villanova!B44</f>
        <v>23596243.107326627</v>
      </c>
      <c r="C44" s="30">
        <f>+'Alabama Life'!C44+'American Chambers'!C44+'American Educators'!C44+'American Integrity'!C44+'Amer Life Asr'!C44+'Amer Std Life Acc'!C44+AmerWstrn!C44+'AMS Life'!C44+'Bankers Commercial'!C44+Benicorp!C44+'Booker T Washington'!C44+Centennial!C44+'Coastal States'!C44+'Confed Life (CLIC)'!C44+'Consolidated National'!C44+'Consumers United'!C44+'Corporate Life'!C44+'Diamond Benefits'!C44+'EBL Life'!C44+'Family Guaranty'!C44+'Fidelity Bankers'!C44+'First Natl'!C44+'Franklin American'!C44+'Franklin Protective'!C44+'George Washington'!C44+'Golden State'!C44+'Guarantee Security'!C44+Imerica!C44+'Inter-American'!C44+'International Fin'!C44+'Investment Life of America'!C44+'Investors Equity'!C44+'Kentucky Central'!C44+Legion!C44+'London Pac'!C44+'Medical Savings'!C44+'Midwest Life'!C44+'Mutual Benefit'!C44+'Mutual Security'!C44+'National Affiliated'!C44+'Natl American'!C44+'New Jersey Life'!C44+'Old Colony Life'!C44+'Old Faithful'!C44+'Pacific Standard'!C44+SeeChange!C44+'States General'!C44+Statesman!C44+'Summit National'!C44+Supreme!C44+Underwriters!C44+Unison!C44+'United Republic'!C44+'Universal Life'!C44+Universe!C44+Villanova!C44</f>
        <v>181115526.44782668</v>
      </c>
      <c r="D44" s="30">
        <f>+'Alabama Life'!D44+'American Chambers'!D44+'American Educators'!D44+'American Integrity'!D44+'Amer Life Asr'!D44+'Amer Std Life Acc'!D44+AmerWstrn!D44+'AMS Life'!D44+'Bankers Commercial'!D44+Benicorp!D44+'Booker T Washington'!D44+Centennial!D44+'Coastal States'!D44+'Confed Life (CLIC)'!D44+'Consolidated National'!D44+'Consumers United'!D44+'Corporate Life'!D44+'Diamond Benefits'!D44+'EBL Life'!D44+'Family Guaranty'!D44+'Fidelity Bankers'!D44+'First Natl'!D44+'Franklin American'!D44+'Franklin Protective'!D44+'George Washington'!D44+'Golden State'!D44+'Guarantee Security'!D44+Imerica!D44+'Inter-American'!D44+'International Fin'!D44+'Investment Life of America'!D44+'Investors Equity'!D44+'Kentucky Central'!D44+Legion!D44+'London Pac'!D44+'Medical Savings'!D44+'Midwest Life'!D44+'Mutual Benefit'!D44+'Mutual Security'!D44+'National Affiliated'!D44+'Natl American'!D44+'New Jersey Life'!D44+'Old Colony Life'!D44+'Old Faithful'!D44+'Pacific Standard'!D44+SeeChange!D44+'States General'!D44+Statesman!D44+'Summit National'!D44+Supreme!D44+Underwriters!D44+Unison!D44+'United Republic'!D44+'Universal Life'!D44+Universe!D44+Villanova!D44</f>
        <v>591119.83352301945</v>
      </c>
      <c r="E44" s="30">
        <f>+'Alabama Life'!E44+'American Chambers'!E44+'American Educators'!E44+'American Integrity'!E44+'Amer Life Asr'!E44+'Amer Std Life Acc'!E44+AmerWstrn!E44+'AMS Life'!E44+'Bankers Commercial'!E44+Benicorp!E44+'Booker T Washington'!E44+Centennial!E44+'Coastal States'!E44+'Confed Life (CLIC)'!E44+'Consolidated National'!E44+'Consumers United'!E44+'Corporate Life'!E44+'Diamond Benefits'!E44+'EBL Life'!E44+'Family Guaranty'!E44+'Fidelity Bankers'!E44+'First Natl'!E44+'Franklin American'!E44+'Franklin Protective'!E44+'George Washington'!E44+'Golden State'!E44+'Guarantee Security'!E44+Imerica!E44+'Inter-American'!E44+'International Fin'!E44+'Investment Life of America'!E44+'Investors Equity'!E44+'Kentucky Central'!E44+Legion!E44+'London Pac'!E44+'Medical Savings'!E44+'Midwest Life'!E44+'Mutual Benefit'!E44+'Mutual Security'!E44+'National Affiliated'!E44+'Natl American'!E44+'New Jersey Life'!E44+'Old Colony Life'!E44+'Old Faithful'!E44+'Pacific Standard'!E44+SeeChange!E44+'States General'!E44+Statesman!E44+'Summit National'!E44+Supreme!E44+Underwriters!E44+Unison!E44+'United Republic'!E44+'Universal Life'!E44+Universe!E44+Villanova!E44</f>
        <v>1528919.5140483719</v>
      </c>
      <c r="F44" s="30">
        <f>+'Alabama Life'!F44+'American Chambers'!F44+'American Educators'!F44+'American Integrity'!F44+'Amer Life Asr'!F44+'Amer Std Life Acc'!F44+AmerWstrn!F44+'AMS Life'!F44+'Bankers Commercial'!F44+Benicorp!F44+'Booker T Washington'!F44+Centennial!F44+'Coastal States'!F44+'Confed Life (CLIC)'!F44+'Consolidated National'!F44+'Consumers United'!F44+'Corporate Life'!F44+'Diamond Benefits'!F44+'EBL Life'!F44+'Family Guaranty'!F44+'Fidelity Bankers'!F44+'First Natl'!F44+'Franklin American'!F44+'Franklin Protective'!F44+'George Washington'!F44+'Golden State'!F44+'Guarantee Security'!F44+Imerica!F44+'Inter-American'!F44+'International Fin'!F44+'Investment Life of America'!F44+'Investors Equity'!F44+'Kentucky Central'!F44+Legion!F44+'London Pac'!F44+'Medical Savings'!F44+'Midwest Life'!F44+'Mutual Benefit'!F44+'Mutual Security'!F44+'National Affiliated'!F44+'Natl American'!F44+'New Jersey Life'!F44+'Old Colony Life'!F44+'Old Faithful'!F44+'Pacific Standard'!F44+SeeChange!F44+'States General'!F44+Statesman!F44+'Summit National'!F44+Supreme!F44+Underwriters!F44+Unison!F44+'United Republic'!F44+'Universal Life'!F44+Universe!F44+Villanova!F44</f>
        <v>0</v>
      </c>
      <c r="G44" s="30">
        <f t="shared" si="1"/>
        <v>206831808.90272468</v>
      </c>
      <c r="H44" s="30"/>
      <c r="I44" s="30" t="s">
        <v>503</v>
      </c>
      <c r="J44" s="30">
        <f>Summary!TOTAL_66400</f>
        <v>12760003.5</v>
      </c>
    </row>
    <row r="45" spans="1:10">
      <c r="A45" s="1" t="s">
        <v>66</v>
      </c>
      <c r="B45" s="30">
        <f>+'Alabama Life'!B45+'American Chambers'!B45+'American Educators'!B45+'American Integrity'!B45+'Amer Life Asr'!B45+'Amer Std Life Acc'!B45+AmerWstrn!B45+'AMS Life'!B45+'Bankers Commercial'!B45+Benicorp!B45+'Booker T Washington'!B45+Centennial!B45+'Coastal States'!B45+'Confed Life (CLIC)'!B45+'Consolidated National'!B45+'Consumers United'!B45+'Corporate Life'!B45+'Diamond Benefits'!B45+'EBL Life'!B45+'Family Guaranty'!B45+'Fidelity Bankers'!B45+'First Natl'!B45+'Franklin American'!B45+'Franklin Protective'!B45+'George Washington'!B45+'Golden State'!B45+'Guarantee Security'!B45+Imerica!B45+'Inter-American'!B45+'International Fin'!B45+'Investment Life of America'!B45+'Investors Equity'!B45+'Kentucky Central'!B45+Legion!B45+'London Pac'!B45+'Medical Savings'!B45+'Midwest Life'!B45+'Mutual Benefit'!B45+'Mutual Security'!B45+'National Affiliated'!B45+'Natl American'!B45+'New Jersey Life'!B45+'Old Colony Life'!B45+'Old Faithful'!B45+'Pacific Standard'!B45+SeeChange!B45+'States General'!B45+Statesman!B45+'Summit National'!B45+Supreme!B45+Underwriters!B45+Unison!B45+'United Republic'!B45+'Universal Life'!B45+Universe!B45+Villanova!B45</f>
        <v>48209.837063656196</v>
      </c>
      <c r="C45" s="30">
        <f>+'Alabama Life'!C45+'American Chambers'!C45+'American Educators'!C45+'American Integrity'!C45+'Amer Life Asr'!C45+'Amer Std Life Acc'!C45+AmerWstrn!C45+'AMS Life'!C45+'Bankers Commercial'!C45+Benicorp!C45+'Booker T Washington'!C45+Centennial!C45+'Coastal States'!C45+'Confed Life (CLIC)'!C45+'Consolidated National'!C45+'Consumers United'!C45+'Corporate Life'!C45+'Diamond Benefits'!C45+'EBL Life'!C45+'Family Guaranty'!C45+'Fidelity Bankers'!C45+'First Natl'!C45+'Franklin American'!C45+'Franklin Protective'!C45+'George Washington'!C45+'Golden State'!C45+'Guarantee Security'!C45+Imerica!C45+'Inter-American'!C45+'International Fin'!C45+'Investment Life of America'!C45+'Investors Equity'!C45+'Kentucky Central'!C45+Legion!C45+'London Pac'!C45+'Medical Savings'!C45+'Midwest Life'!C45+'Mutual Benefit'!C45+'Mutual Security'!C45+'National Affiliated'!C45+'Natl American'!C45+'New Jersey Life'!C45+'Old Colony Life'!C45+'Old Faithful'!C45+'Pacific Standard'!C45+SeeChange!C45+'States General'!C45+Statesman!C45+'Summit National'!C45+Supreme!C45+Underwriters!C45+Unison!C45+'United Republic'!C45+'Universal Life'!C45+Universe!C45+Villanova!C45</f>
        <v>-29.597756015416877</v>
      </c>
      <c r="D45" s="30">
        <f>+'Alabama Life'!D45+'American Chambers'!D45+'American Educators'!D45+'American Integrity'!D45+'Amer Life Asr'!D45+'Amer Std Life Acc'!D45+AmerWstrn!D45+'AMS Life'!D45+'Bankers Commercial'!D45+Benicorp!D45+'Booker T Washington'!D45+Centennial!D45+'Coastal States'!D45+'Confed Life (CLIC)'!D45+'Consolidated National'!D45+'Consumers United'!D45+'Corporate Life'!D45+'Diamond Benefits'!D45+'EBL Life'!D45+'Family Guaranty'!D45+'Fidelity Bankers'!D45+'First Natl'!D45+'Franklin American'!D45+'Franklin Protective'!D45+'George Washington'!D45+'Golden State'!D45+'Guarantee Security'!D45+Imerica!D45+'Inter-American'!D45+'International Fin'!D45+'Investment Life of America'!D45+'Investors Equity'!D45+'Kentucky Central'!D45+Legion!D45+'London Pac'!D45+'Medical Savings'!D45+'Midwest Life'!D45+'Mutual Benefit'!D45+'Mutual Security'!D45+'National Affiliated'!D45+'Natl American'!D45+'New Jersey Life'!D45+'Old Colony Life'!D45+'Old Faithful'!D45+'Pacific Standard'!D45+SeeChange!D45+'States General'!D45+Statesman!D45+'Summit National'!D45+Supreme!D45+Underwriters!D45+Unison!D45+'United Republic'!D45+'Universal Life'!D45+Universe!D45+Villanova!D45</f>
        <v>-7567.2698410309822</v>
      </c>
      <c r="E45" s="30">
        <f>+'Alabama Life'!E45+'American Chambers'!E45+'American Educators'!E45+'American Integrity'!E45+'Amer Life Asr'!E45+'Amer Std Life Acc'!E45+AmerWstrn!E45+'AMS Life'!E45+'Bankers Commercial'!E45+Benicorp!E45+'Booker T Washington'!E45+Centennial!E45+'Coastal States'!E45+'Confed Life (CLIC)'!E45+'Consolidated National'!E45+'Consumers United'!E45+'Corporate Life'!E45+'Diamond Benefits'!E45+'EBL Life'!E45+'Family Guaranty'!E45+'Fidelity Bankers'!E45+'First Natl'!E45+'Franklin American'!E45+'Franklin Protective'!E45+'George Washington'!E45+'Golden State'!E45+'Guarantee Security'!E45+Imerica!E45+'Inter-American'!E45+'International Fin'!E45+'Investment Life of America'!E45+'Investors Equity'!E45+'Kentucky Central'!E45+Legion!E45+'London Pac'!E45+'Medical Savings'!E45+'Midwest Life'!E45+'Mutual Benefit'!E45+'Mutual Security'!E45+'National Affiliated'!E45+'Natl American'!E45+'New Jersey Life'!E45+'Old Colony Life'!E45+'Old Faithful'!E45+'Pacific Standard'!E45+SeeChange!E45+'States General'!E45+Statesman!E45+'Summit National'!E45+Supreme!E45+Underwriters!E45+Unison!E45+'United Republic'!E45+'Universal Life'!E45+Universe!E45+Villanova!E45</f>
        <v>0</v>
      </c>
      <c r="F45" s="30">
        <f>+'Alabama Life'!F45+'American Chambers'!F45+'American Educators'!F45+'American Integrity'!F45+'Amer Life Asr'!F45+'Amer Std Life Acc'!F45+AmerWstrn!F45+'AMS Life'!F45+'Bankers Commercial'!F45+Benicorp!F45+'Booker T Washington'!F45+Centennial!F45+'Coastal States'!F45+'Confed Life (CLIC)'!F45+'Consolidated National'!F45+'Consumers United'!F45+'Corporate Life'!F45+'Diamond Benefits'!F45+'EBL Life'!F45+'Family Guaranty'!F45+'Fidelity Bankers'!F45+'First Natl'!F45+'Franklin American'!F45+'Franklin Protective'!F45+'George Washington'!F45+'Golden State'!F45+'Guarantee Security'!F45+Imerica!F45+'Inter-American'!F45+'International Fin'!F45+'Investment Life of America'!F45+'Investors Equity'!F45+'Kentucky Central'!F45+Legion!F45+'London Pac'!F45+'Medical Savings'!F45+'Midwest Life'!F45+'Mutual Benefit'!F45+'Mutual Security'!F45+'National Affiliated'!F45+'Natl American'!F45+'New Jersey Life'!F45+'Old Colony Life'!F45+'Old Faithful'!F45+'Pacific Standard'!F45+SeeChange!F45+'States General'!F45+Statesman!F45+'Summit National'!F45+Supreme!F45+Underwriters!F45+Unison!F45+'United Republic'!F45+'Universal Life'!F45+Universe!F45+Villanova!F45</f>
        <v>0</v>
      </c>
      <c r="G45" s="30">
        <f t="shared" si="1"/>
        <v>40612.9694666098</v>
      </c>
      <c r="H45" s="30"/>
      <c r="I45" s="30" t="s">
        <v>506</v>
      </c>
      <c r="J45" s="30">
        <f>Summary!TOTAL_69370</f>
        <v>1309088.152858512</v>
      </c>
    </row>
    <row r="46" spans="1:10">
      <c r="A46" s="1" t="s">
        <v>67</v>
      </c>
      <c r="B46" s="30">
        <f>+'Alabama Life'!B46+'American Chambers'!B46+'American Educators'!B46+'American Integrity'!B46+'Amer Life Asr'!B46+'Amer Std Life Acc'!B46+AmerWstrn!B46+'AMS Life'!B46+'Bankers Commercial'!B46+Benicorp!B46+'Booker T Washington'!B46+Centennial!B46+'Coastal States'!B46+'Confed Life (CLIC)'!B46+'Consolidated National'!B46+'Consumers United'!B46+'Corporate Life'!B46+'Diamond Benefits'!B46+'EBL Life'!B46+'Family Guaranty'!B46+'Fidelity Bankers'!B46+'First Natl'!B46+'Franklin American'!B46+'Franklin Protective'!B46+'George Washington'!B46+'Golden State'!B46+'Guarantee Security'!B46+Imerica!B46+'Inter-American'!B46+'International Fin'!B46+'Investment Life of America'!B46+'Investors Equity'!B46+'Kentucky Central'!B46+Legion!B46+'London Pac'!B46+'Medical Savings'!B46+'Midwest Life'!B46+'Mutual Benefit'!B46+'Mutual Security'!B46+'National Affiliated'!B46+'Natl American'!B46+'New Jersey Life'!B46+'Old Colony Life'!B46+'Old Faithful'!B46+'Pacific Standard'!B46+SeeChange!B46+'States General'!B46+Statesman!B46+'Summit National'!B46+Supreme!B46+Underwriters!B46+Unison!B46+'United Republic'!B46+'Universal Life'!B46+Universe!B46+Villanova!B46</f>
        <v>332284.23211555998</v>
      </c>
      <c r="C46" s="30">
        <f>+'Alabama Life'!C46+'American Chambers'!C46+'American Educators'!C46+'American Integrity'!C46+'Amer Life Asr'!C46+'Amer Std Life Acc'!C46+AmerWstrn!C46+'AMS Life'!C46+'Bankers Commercial'!C46+Benicorp!C46+'Booker T Washington'!C46+Centennial!C46+'Coastal States'!C46+'Confed Life (CLIC)'!C46+'Consolidated National'!C46+'Consumers United'!C46+'Corporate Life'!C46+'Diamond Benefits'!C46+'EBL Life'!C46+'Family Guaranty'!C46+'Fidelity Bankers'!C46+'First Natl'!C46+'Franklin American'!C46+'Franklin Protective'!C46+'George Washington'!C46+'Golden State'!C46+'Guarantee Security'!C46+Imerica!C46+'Inter-American'!C46+'International Fin'!C46+'Investment Life of America'!C46+'Investors Equity'!C46+'Kentucky Central'!C46+Legion!C46+'London Pac'!C46+'Medical Savings'!C46+'Midwest Life'!C46+'Mutual Benefit'!C46+'Mutual Security'!C46+'National Affiliated'!C46+'Natl American'!C46+'New Jersey Life'!C46+'Old Colony Life'!C46+'Old Faithful'!C46+'Pacific Standard'!C46+SeeChange!C46+'States General'!C46+Statesman!C46+'Summit National'!C46+Supreme!C46+Underwriters!C46+Unison!C46+'United Republic'!C46+'Universal Life'!C46+Universe!C46+Villanova!C46</f>
        <v>250679.95421308753</v>
      </c>
      <c r="D46" s="30">
        <f>+'Alabama Life'!D46+'American Chambers'!D46+'American Educators'!D46+'American Integrity'!D46+'Amer Life Asr'!D46+'Amer Std Life Acc'!D46+AmerWstrn!D46+'AMS Life'!D46+'Bankers Commercial'!D46+Benicorp!D46+'Booker T Washington'!D46+Centennial!D46+'Coastal States'!D46+'Confed Life (CLIC)'!D46+'Consolidated National'!D46+'Consumers United'!D46+'Corporate Life'!D46+'Diamond Benefits'!D46+'EBL Life'!D46+'Family Guaranty'!D46+'Fidelity Bankers'!D46+'First Natl'!D46+'Franklin American'!D46+'Franklin Protective'!D46+'George Washington'!D46+'Golden State'!D46+'Guarantee Security'!D46+Imerica!D46+'Inter-American'!D46+'International Fin'!D46+'Investment Life of America'!D46+'Investors Equity'!D46+'Kentucky Central'!D46+Legion!D46+'London Pac'!D46+'Medical Savings'!D46+'Midwest Life'!D46+'Mutual Benefit'!D46+'Mutual Security'!D46+'National Affiliated'!D46+'Natl American'!D46+'New Jersey Life'!D46+'Old Colony Life'!D46+'Old Faithful'!D46+'Pacific Standard'!D46+SeeChange!D46+'States General'!D46+Statesman!D46+'Summit National'!D46+Supreme!D46+Underwriters!D46+Unison!D46+'United Republic'!D46+'Universal Life'!D46+Universe!D46+Villanova!D46</f>
        <v>-665.4881956110894</v>
      </c>
      <c r="E46" s="30">
        <f>+'Alabama Life'!E46+'American Chambers'!E46+'American Educators'!E46+'American Integrity'!E46+'Amer Life Asr'!E46+'Amer Std Life Acc'!E46+AmerWstrn!E46+'AMS Life'!E46+'Bankers Commercial'!E46+Benicorp!E46+'Booker T Washington'!E46+Centennial!E46+'Coastal States'!E46+'Confed Life (CLIC)'!E46+'Consolidated National'!E46+'Consumers United'!E46+'Corporate Life'!E46+'Diamond Benefits'!E46+'EBL Life'!E46+'Family Guaranty'!E46+'Fidelity Bankers'!E46+'First Natl'!E46+'Franklin American'!E46+'Franklin Protective'!E46+'George Washington'!E46+'Golden State'!E46+'Guarantee Security'!E46+Imerica!E46+'Inter-American'!E46+'International Fin'!E46+'Investment Life of America'!E46+'Investors Equity'!E46+'Kentucky Central'!E46+Legion!E46+'London Pac'!E46+'Medical Savings'!E46+'Midwest Life'!E46+'Mutual Benefit'!E46+'Mutual Security'!E46+'National Affiliated'!E46+'Natl American'!E46+'New Jersey Life'!E46+'Old Colony Life'!E46+'Old Faithful'!E46+'Pacific Standard'!E46+SeeChange!E46+'States General'!E46+Statesman!E46+'Summit National'!E46+Supreme!E46+Underwriters!E46+Unison!E46+'United Republic'!E46+'Universal Life'!E46+Universe!E46+Villanova!E46</f>
        <v>0</v>
      </c>
      <c r="F46" s="30">
        <f>+'Alabama Life'!F46+'American Chambers'!F46+'American Educators'!F46+'American Integrity'!F46+'Amer Life Asr'!F46+'Amer Std Life Acc'!F46+AmerWstrn!F46+'AMS Life'!F46+'Bankers Commercial'!F46+Benicorp!F46+'Booker T Washington'!F46+Centennial!F46+'Coastal States'!F46+'Confed Life (CLIC)'!F46+'Consolidated National'!F46+'Consumers United'!F46+'Corporate Life'!F46+'Diamond Benefits'!F46+'EBL Life'!F46+'Family Guaranty'!F46+'Fidelity Bankers'!F46+'First Natl'!F46+'Franklin American'!F46+'Franklin Protective'!F46+'George Washington'!F46+'Golden State'!F46+'Guarantee Security'!F46+Imerica!F46+'Inter-American'!F46+'International Fin'!F46+'Investment Life of America'!F46+'Investors Equity'!F46+'Kentucky Central'!F46+Legion!F46+'London Pac'!F46+'Medical Savings'!F46+'Midwest Life'!F46+'Mutual Benefit'!F46+'Mutual Security'!F46+'National Affiliated'!F46+'Natl American'!F46+'New Jersey Life'!F46+'Old Colony Life'!F46+'Old Faithful'!F46+'Pacific Standard'!F46+SeeChange!F46+'States General'!F46+Statesman!F46+'Summit National'!F46+Supreme!F46+Underwriters!F46+Unison!F46+'United Republic'!F46+'Universal Life'!F46+Universe!F46+Villanova!F46</f>
        <v>0</v>
      </c>
      <c r="G46" s="30">
        <f t="shared" si="1"/>
        <v>582298.69813303649</v>
      </c>
      <c r="H46" s="30"/>
      <c r="I46" s="30" t="s">
        <v>511</v>
      </c>
      <c r="J46" s="30">
        <f>Summary!TOTAL_69221</f>
        <v>13133444.315430962</v>
      </c>
    </row>
    <row r="47" spans="1:10">
      <c r="A47" s="1" t="s">
        <v>68</v>
      </c>
      <c r="B47" s="30">
        <f>+'Alabama Life'!B47+'American Chambers'!B47+'American Educators'!B47+'American Integrity'!B47+'Amer Life Asr'!B47+'Amer Std Life Acc'!B47+AmerWstrn!B47+'AMS Life'!B47+'Bankers Commercial'!B47+Benicorp!B47+'Booker T Washington'!B47+Centennial!B47+'Coastal States'!B47+'Confed Life (CLIC)'!B47+'Consolidated National'!B47+'Consumers United'!B47+'Corporate Life'!B47+'Diamond Benefits'!B47+'EBL Life'!B47+'Family Guaranty'!B47+'Fidelity Bankers'!B47+'First Natl'!B47+'Franklin American'!B47+'Franklin Protective'!B47+'George Washington'!B47+'Golden State'!B47+'Guarantee Security'!B47+Imerica!B47+'Inter-American'!B47+'International Fin'!B47+'Investment Life of America'!B47+'Investors Equity'!B47+'Kentucky Central'!B47+Legion!B47+'London Pac'!B47+'Medical Savings'!B47+'Midwest Life'!B47+'Mutual Benefit'!B47+'Mutual Security'!B47+'National Affiliated'!B47+'Natl American'!B47+'New Jersey Life'!B47+'Old Colony Life'!B47+'Old Faithful'!B47+'Pacific Standard'!B47+SeeChange!B47+'States General'!B47+Statesman!B47+'Summit National'!B47+Supreme!B47+Underwriters!B47+Unison!B47+'United Republic'!B47+'Universal Life'!B47+Universe!B47+Villanova!B47</f>
        <v>4964065.4813486878</v>
      </c>
      <c r="C47" s="30">
        <f>+'Alabama Life'!C47+'American Chambers'!C47+'American Educators'!C47+'American Integrity'!C47+'Amer Life Asr'!C47+'Amer Std Life Acc'!C47+AmerWstrn!C47+'AMS Life'!C47+'Bankers Commercial'!C47+Benicorp!C47+'Booker T Washington'!C47+Centennial!C47+'Coastal States'!C47+'Confed Life (CLIC)'!C47+'Consolidated National'!C47+'Consumers United'!C47+'Corporate Life'!C47+'Diamond Benefits'!C47+'EBL Life'!C47+'Family Guaranty'!C47+'Fidelity Bankers'!C47+'First Natl'!C47+'Franklin American'!C47+'Franklin Protective'!C47+'George Washington'!C47+'Golden State'!C47+'Guarantee Security'!C47+Imerica!C47+'Inter-American'!C47+'International Fin'!C47+'Investment Life of America'!C47+'Investors Equity'!C47+'Kentucky Central'!C47+Legion!C47+'London Pac'!C47+'Medical Savings'!C47+'Midwest Life'!C47+'Mutual Benefit'!C47+'Mutual Security'!C47+'National Affiliated'!C47+'Natl American'!C47+'New Jersey Life'!C47+'Old Colony Life'!C47+'Old Faithful'!C47+'Pacific Standard'!C47+SeeChange!C47+'States General'!C47+Statesman!C47+'Summit National'!C47+Supreme!C47+Underwriters!C47+Unison!C47+'United Republic'!C47+'Universal Life'!C47+Universe!C47+Villanova!C47</f>
        <v>7151551.8767828736</v>
      </c>
      <c r="D47" s="30">
        <f>+'Alabama Life'!D47+'American Chambers'!D47+'American Educators'!D47+'American Integrity'!D47+'Amer Life Asr'!D47+'Amer Std Life Acc'!D47+AmerWstrn!D47+'AMS Life'!D47+'Bankers Commercial'!D47+Benicorp!D47+'Booker T Washington'!D47+Centennial!D47+'Coastal States'!D47+'Confed Life (CLIC)'!D47+'Consolidated National'!D47+'Consumers United'!D47+'Corporate Life'!D47+'Diamond Benefits'!D47+'EBL Life'!D47+'Family Guaranty'!D47+'Fidelity Bankers'!D47+'First Natl'!D47+'Franklin American'!D47+'Franklin Protective'!D47+'George Washington'!D47+'Golden State'!D47+'Guarantee Security'!D47+Imerica!D47+'Inter-American'!D47+'International Fin'!D47+'Investment Life of America'!D47+'Investors Equity'!D47+'Kentucky Central'!D47+Legion!D47+'London Pac'!D47+'Medical Savings'!D47+'Midwest Life'!D47+'Mutual Benefit'!D47+'Mutual Security'!D47+'National Affiliated'!D47+'Natl American'!D47+'New Jersey Life'!D47+'Old Colony Life'!D47+'Old Faithful'!D47+'Pacific Standard'!D47+SeeChange!D47+'States General'!D47+Statesman!D47+'Summit National'!D47+Supreme!D47+Underwriters!D47+Unison!D47+'United Republic'!D47+'Universal Life'!D47+Universe!D47+Villanova!D47</f>
        <v>2669826.7677780595</v>
      </c>
      <c r="E47" s="30">
        <f>+'Alabama Life'!E47+'American Chambers'!E47+'American Educators'!E47+'American Integrity'!E47+'Amer Life Asr'!E47+'Amer Std Life Acc'!E47+AmerWstrn!E47+'AMS Life'!E47+'Bankers Commercial'!E47+Benicorp!E47+'Booker T Washington'!E47+Centennial!E47+'Coastal States'!E47+'Confed Life (CLIC)'!E47+'Consolidated National'!E47+'Consumers United'!E47+'Corporate Life'!E47+'Diamond Benefits'!E47+'EBL Life'!E47+'Family Guaranty'!E47+'Fidelity Bankers'!E47+'First Natl'!E47+'Franklin American'!E47+'Franklin Protective'!E47+'George Washington'!E47+'Golden State'!E47+'Guarantee Security'!E47+Imerica!E47+'Inter-American'!E47+'International Fin'!E47+'Investment Life of America'!E47+'Investors Equity'!E47+'Kentucky Central'!E47+Legion!E47+'London Pac'!E47+'Medical Savings'!E47+'Midwest Life'!E47+'Mutual Benefit'!E47+'Mutual Security'!E47+'National Affiliated'!E47+'Natl American'!E47+'New Jersey Life'!E47+'Old Colony Life'!E47+'Old Faithful'!E47+'Pacific Standard'!E47+SeeChange!E47+'States General'!E47+Statesman!E47+'Summit National'!E47+Supreme!E47+Underwriters!E47+Unison!E47+'United Republic'!E47+'Universal Life'!E47+Universe!E47+Villanova!E47</f>
        <v>0</v>
      </c>
      <c r="F47" s="30">
        <f>+'Alabama Life'!F47+'American Chambers'!F47+'American Educators'!F47+'American Integrity'!F47+'Amer Life Asr'!F47+'Amer Std Life Acc'!F47+AmerWstrn!F47+'AMS Life'!F47+'Bankers Commercial'!F47+Benicorp!F47+'Booker T Washington'!F47+Centennial!F47+'Coastal States'!F47+'Confed Life (CLIC)'!F47+'Consolidated National'!F47+'Consumers United'!F47+'Corporate Life'!F47+'Diamond Benefits'!F47+'EBL Life'!F47+'Family Guaranty'!F47+'Fidelity Bankers'!F47+'First Natl'!F47+'Franklin American'!F47+'Franklin Protective'!F47+'George Washington'!F47+'Golden State'!F47+'Guarantee Security'!F47+Imerica!F47+'Inter-American'!F47+'International Fin'!F47+'Investment Life of America'!F47+'Investors Equity'!F47+'Kentucky Central'!F47+Legion!F47+'London Pac'!F47+'Medical Savings'!F47+'Midwest Life'!F47+'Mutual Benefit'!F47+'Mutual Security'!F47+'National Affiliated'!F47+'Natl American'!F47+'New Jersey Life'!F47+'Old Colony Life'!F47+'Old Faithful'!F47+'Pacific Standard'!F47+SeeChange!F47+'States General'!F47+Statesman!F47+'Summit National'!F47+Supreme!F47+Underwriters!F47+Unison!F47+'United Republic'!F47+'Universal Life'!F47+Universe!F47+Villanova!F47</f>
        <v>0</v>
      </c>
      <c r="G47" s="30">
        <f t="shared" si="1"/>
        <v>14785444.125909621</v>
      </c>
      <c r="H47" s="30"/>
      <c r="I47" s="30" t="s">
        <v>516</v>
      </c>
      <c r="J47" s="30">
        <f>Summary!TOTAL_66907</f>
        <v>81903024.650000021</v>
      </c>
    </row>
    <row r="48" spans="1:10">
      <c r="A48" s="1" t="s">
        <v>69</v>
      </c>
      <c r="B48" s="30">
        <f>+'Alabama Life'!B48+'American Chambers'!B48+'American Educators'!B48+'American Integrity'!B48+'Amer Life Asr'!B48+'Amer Std Life Acc'!B48+AmerWstrn!B48+'AMS Life'!B48+'Bankers Commercial'!B48+Benicorp!B48+'Booker T Washington'!B48+Centennial!B48+'Coastal States'!B48+'Confed Life (CLIC)'!B48+'Consolidated National'!B48+'Consumers United'!B48+'Corporate Life'!B48+'Diamond Benefits'!B48+'EBL Life'!B48+'Family Guaranty'!B48+'Fidelity Bankers'!B48+'First Natl'!B48+'Franklin American'!B48+'Franklin Protective'!B48+'George Washington'!B48+'Golden State'!B48+'Guarantee Security'!B48+Imerica!B48+'Inter-American'!B48+'International Fin'!B48+'Investment Life of America'!B48+'Investors Equity'!B48+'Kentucky Central'!B48+Legion!B48+'London Pac'!B48+'Medical Savings'!B48+'Midwest Life'!B48+'Mutual Benefit'!B48+'Mutual Security'!B48+'National Affiliated'!B48+'Natl American'!B48+'New Jersey Life'!B48+'Old Colony Life'!B48+'Old Faithful'!B48+'Pacific Standard'!B48+SeeChange!B48+'States General'!B48+Statesman!B48+'Summit National'!B48+Supreme!B48+Underwriters!B48+Unison!B48+'United Republic'!B48+'Universal Life'!B48+Universe!B48+Villanova!B48</f>
        <v>747039.55130003532</v>
      </c>
      <c r="C48" s="30">
        <f>+'Alabama Life'!C48+'American Chambers'!C48+'American Educators'!C48+'American Integrity'!C48+'Amer Life Asr'!C48+'Amer Std Life Acc'!C48+AmerWstrn!C48+'AMS Life'!C48+'Bankers Commercial'!C48+Benicorp!C48+'Booker T Washington'!C48+Centennial!C48+'Coastal States'!C48+'Confed Life (CLIC)'!C48+'Consolidated National'!C48+'Consumers United'!C48+'Corporate Life'!C48+'Diamond Benefits'!C48+'EBL Life'!C48+'Family Guaranty'!C48+'Fidelity Bankers'!C48+'First Natl'!C48+'Franklin American'!C48+'Franklin Protective'!C48+'George Washington'!C48+'Golden State'!C48+'Guarantee Security'!C48+Imerica!C48+'Inter-American'!C48+'International Fin'!C48+'Investment Life of America'!C48+'Investors Equity'!C48+'Kentucky Central'!C48+Legion!C48+'London Pac'!C48+'Medical Savings'!C48+'Midwest Life'!C48+'Mutual Benefit'!C48+'Mutual Security'!C48+'National Affiliated'!C48+'Natl American'!C48+'New Jersey Life'!C48+'Old Colony Life'!C48+'Old Faithful'!C48+'Pacific Standard'!C48+SeeChange!C48+'States General'!C48+Statesman!C48+'Summit National'!C48+Supreme!C48+Underwriters!C48+Unison!C48+'United Republic'!C48+'Universal Life'!C48+Universe!C48+Villanova!C48</f>
        <v>1965341.0329496667</v>
      </c>
      <c r="D48" s="30">
        <f>+'Alabama Life'!D48+'American Chambers'!D48+'American Educators'!D48+'American Integrity'!D48+'Amer Life Asr'!D48+'Amer Std Life Acc'!D48+AmerWstrn!D48+'AMS Life'!D48+'Bankers Commercial'!D48+Benicorp!D48+'Booker T Washington'!D48+Centennial!D48+'Coastal States'!D48+'Confed Life (CLIC)'!D48+'Consolidated National'!D48+'Consumers United'!D48+'Corporate Life'!D48+'Diamond Benefits'!D48+'EBL Life'!D48+'Family Guaranty'!D48+'Fidelity Bankers'!D48+'First Natl'!D48+'Franklin American'!D48+'Franklin Protective'!D48+'George Washington'!D48+'Golden State'!D48+'Guarantee Security'!D48+Imerica!D48+'Inter-American'!D48+'International Fin'!D48+'Investment Life of America'!D48+'Investors Equity'!D48+'Kentucky Central'!D48+Legion!D48+'London Pac'!D48+'Medical Savings'!D48+'Midwest Life'!D48+'Mutual Benefit'!D48+'Mutual Security'!D48+'National Affiliated'!D48+'Natl American'!D48+'New Jersey Life'!D48+'Old Colony Life'!D48+'Old Faithful'!D48+'Pacific Standard'!D48+SeeChange!D48+'States General'!D48+Statesman!D48+'Summit National'!D48+Supreme!D48+Underwriters!D48+Unison!D48+'United Republic'!D48+'Universal Life'!D48+Universe!D48+Villanova!D48</f>
        <v>1474568.2921979006</v>
      </c>
      <c r="E48" s="30">
        <f>+'Alabama Life'!E48+'American Chambers'!E48+'American Educators'!E48+'American Integrity'!E48+'Amer Life Asr'!E48+'Amer Std Life Acc'!E48+AmerWstrn!E48+'AMS Life'!E48+'Bankers Commercial'!E48+Benicorp!E48+'Booker T Washington'!E48+Centennial!E48+'Coastal States'!E48+'Confed Life (CLIC)'!E48+'Consolidated National'!E48+'Consumers United'!E48+'Corporate Life'!E48+'Diamond Benefits'!E48+'EBL Life'!E48+'Family Guaranty'!E48+'Fidelity Bankers'!E48+'First Natl'!E48+'Franklin American'!E48+'Franklin Protective'!E48+'George Washington'!E48+'Golden State'!E48+'Guarantee Security'!E48+Imerica!E48+'Inter-American'!E48+'International Fin'!E48+'Investment Life of America'!E48+'Investors Equity'!E48+'Kentucky Central'!E48+Legion!E48+'London Pac'!E48+'Medical Savings'!E48+'Midwest Life'!E48+'Mutual Benefit'!E48+'Mutual Security'!E48+'National Affiliated'!E48+'Natl American'!E48+'New Jersey Life'!E48+'Old Colony Life'!E48+'Old Faithful'!E48+'Pacific Standard'!E48+SeeChange!E48+'States General'!E48+Statesman!E48+'Summit National'!E48+Supreme!E48+Underwriters!E48+Unison!E48+'United Republic'!E48+'Universal Life'!E48+Universe!E48+Villanova!E48</f>
        <v>0</v>
      </c>
      <c r="F48" s="30">
        <f>+'Alabama Life'!F48+'American Chambers'!F48+'American Educators'!F48+'American Integrity'!F48+'Amer Life Asr'!F48+'Amer Std Life Acc'!F48+AmerWstrn!F48+'AMS Life'!F48+'Bankers Commercial'!F48+Benicorp!F48+'Booker T Washington'!F48+Centennial!F48+'Coastal States'!F48+'Confed Life (CLIC)'!F48+'Consolidated National'!F48+'Consumers United'!F48+'Corporate Life'!F48+'Diamond Benefits'!F48+'EBL Life'!F48+'Family Guaranty'!F48+'Fidelity Bankers'!F48+'First Natl'!F48+'Franklin American'!F48+'Franklin Protective'!F48+'George Washington'!F48+'Golden State'!F48+'Guarantee Security'!F48+Imerica!F48+'Inter-American'!F48+'International Fin'!F48+'Investment Life of America'!F48+'Investors Equity'!F48+'Kentucky Central'!F48+Legion!F48+'London Pac'!F48+'Medical Savings'!F48+'Midwest Life'!F48+'Mutual Benefit'!F48+'Mutual Security'!F48+'National Affiliated'!F48+'Natl American'!F48+'New Jersey Life'!F48+'Old Colony Life'!F48+'Old Faithful'!F48+'Pacific Standard'!F48+SeeChange!F48+'States General'!F48+Statesman!F48+'Summit National'!F48+Supreme!F48+Underwriters!F48+Unison!F48+'United Republic'!F48+'Universal Life'!F48+Universe!F48+Villanova!F48</f>
        <v>0</v>
      </c>
      <c r="G48" s="30">
        <f t="shared" si="1"/>
        <v>4186948.8764476031</v>
      </c>
      <c r="H48" s="30"/>
      <c r="I48" s="30" t="s">
        <v>521</v>
      </c>
      <c r="J48" s="30">
        <f>Summary!TOTAL_65161</f>
        <v>11176635.619999927</v>
      </c>
    </row>
    <row r="49" spans="1:10">
      <c r="A49" s="1" t="s">
        <v>70</v>
      </c>
      <c r="B49" s="30">
        <f>+'Alabama Life'!B49+'American Chambers'!B49+'American Educators'!B49+'American Integrity'!B49+'Amer Life Asr'!B49+'Amer Std Life Acc'!B49+AmerWstrn!B49+'AMS Life'!B49+'Bankers Commercial'!B49+Benicorp!B49+'Booker T Washington'!B49+Centennial!B49+'Coastal States'!B49+'Confed Life (CLIC)'!B49+'Consolidated National'!B49+'Consumers United'!B49+'Corporate Life'!B49+'Diamond Benefits'!B49+'EBL Life'!B49+'Family Guaranty'!B49+'Fidelity Bankers'!B49+'First Natl'!B49+'Franklin American'!B49+'Franklin Protective'!B49+'George Washington'!B49+'Golden State'!B49+'Guarantee Security'!B49+Imerica!B49+'Inter-American'!B49+'International Fin'!B49+'Investment Life of America'!B49+'Investors Equity'!B49+'Kentucky Central'!B49+Legion!B49+'London Pac'!B49+'Medical Savings'!B49+'Midwest Life'!B49+'Mutual Benefit'!B49+'Mutual Security'!B49+'National Affiliated'!B49+'Natl American'!B49+'New Jersey Life'!B49+'Old Colony Life'!B49+'Old Faithful'!B49+'Pacific Standard'!B49+SeeChange!B49+'States General'!B49+Statesman!B49+'Summit National'!B49+Supreme!B49+Underwriters!B49+Unison!B49+'United Republic'!B49+'Universal Life'!B49+Universe!B49+Villanova!B49</f>
        <v>3482851.7165435245</v>
      </c>
      <c r="C49" s="30">
        <f>+'Alabama Life'!C49+'American Chambers'!C49+'American Educators'!C49+'American Integrity'!C49+'Amer Life Asr'!C49+'Amer Std Life Acc'!C49+AmerWstrn!C49+'AMS Life'!C49+'Bankers Commercial'!C49+Benicorp!C49+'Booker T Washington'!C49+Centennial!C49+'Coastal States'!C49+'Confed Life (CLIC)'!C49+'Consolidated National'!C49+'Consumers United'!C49+'Corporate Life'!C49+'Diamond Benefits'!C49+'EBL Life'!C49+'Family Guaranty'!C49+'Fidelity Bankers'!C49+'First Natl'!C49+'Franklin American'!C49+'Franklin Protective'!C49+'George Washington'!C49+'Golden State'!C49+'Guarantee Security'!C49+Imerica!C49+'Inter-American'!C49+'International Fin'!C49+'Investment Life of America'!C49+'Investors Equity'!C49+'Kentucky Central'!C49+Legion!C49+'London Pac'!C49+'Medical Savings'!C49+'Midwest Life'!C49+'Mutual Benefit'!C49+'Mutual Security'!C49+'National Affiliated'!C49+'Natl American'!C49+'New Jersey Life'!C49+'Old Colony Life'!C49+'Old Faithful'!C49+'Pacific Standard'!C49+SeeChange!C49+'States General'!C49+Statesman!C49+'Summit National'!C49+Supreme!C49+Underwriters!C49+Unison!C49+'United Republic'!C49+'Universal Life'!C49+Universe!C49+Villanova!C49</f>
        <v>3570613.949495689</v>
      </c>
      <c r="D49" s="30">
        <f>+'Alabama Life'!D49+'American Chambers'!D49+'American Educators'!D49+'American Integrity'!D49+'Amer Life Asr'!D49+'Amer Std Life Acc'!D49+AmerWstrn!D49+'AMS Life'!D49+'Bankers Commercial'!D49+Benicorp!D49+'Booker T Washington'!D49+Centennial!D49+'Coastal States'!D49+'Confed Life (CLIC)'!D49+'Consolidated National'!D49+'Consumers United'!D49+'Corporate Life'!D49+'Diamond Benefits'!D49+'EBL Life'!D49+'Family Guaranty'!D49+'Fidelity Bankers'!D49+'First Natl'!D49+'Franklin American'!D49+'Franklin Protective'!D49+'George Washington'!D49+'Golden State'!D49+'Guarantee Security'!D49+Imerica!D49+'Inter-American'!D49+'International Fin'!D49+'Investment Life of America'!D49+'Investors Equity'!D49+'Kentucky Central'!D49+Legion!D49+'London Pac'!D49+'Medical Savings'!D49+'Midwest Life'!D49+'Mutual Benefit'!D49+'Mutual Security'!D49+'National Affiliated'!D49+'Natl American'!D49+'New Jersey Life'!D49+'Old Colony Life'!D49+'Old Faithful'!D49+'Pacific Standard'!D49+SeeChange!D49+'States General'!D49+Statesman!D49+'Summit National'!D49+Supreme!D49+Underwriters!D49+Unison!D49+'United Republic'!D49+'Universal Life'!D49+Universe!D49+Villanova!D49</f>
        <v>3849229.2223810698</v>
      </c>
      <c r="E49" s="30">
        <f>+'Alabama Life'!E49+'American Chambers'!E49+'American Educators'!E49+'American Integrity'!E49+'Amer Life Asr'!E49+'Amer Std Life Acc'!E49+AmerWstrn!E49+'AMS Life'!E49+'Bankers Commercial'!E49+Benicorp!E49+'Booker T Washington'!E49+Centennial!E49+'Coastal States'!E49+'Confed Life (CLIC)'!E49+'Consolidated National'!E49+'Consumers United'!E49+'Corporate Life'!E49+'Diamond Benefits'!E49+'EBL Life'!E49+'Family Guaranty'!E49+'Fidelity Bankers'!E49+'First Natl'!E49+'Franklin American'!E49+'Franklin Protective'!E49+'George Washington'!E49+'Golden State'!E49+'Guarantee Security'!E49+Imerica!E49+'Inter-American'!E49+'International Fin'!E49+'Investment Life of America'!E49+'Investors Equity'!E49+'Kentucky Central'!E49+Legion!E49+'London Pac'!E49+'Medical Savings'!E49+'Midwest Life'!E49+'Mutual Benefit'!E49+'Mutual Security'!E49+'National Affiliated'!E49+'Natl American'!E49+'New Jersey Life'!E49+'Old Colony Life'!E49+'Old Faithful'!E49+'Pacific Standard'!E49+SeeChange!E49+'States General'!E49+Statesman!E49+'Summit National'!E49+Supreme!E49+Underwriters!E49+Unison!E49+'United Republic'!E49+'Universal Life'!E49+Universe!E49+Villanova!E49</f>
        <v>0</v>
      </c>
      <c r="F49" s="30">
        <f>+'Alabama Life'!F49+'American Chambers'!F49+'American Educators'!F49+'American Integrity'!F49+'Amer Life Asr'!F49+'Amer Std Life Acc'!F49+AmerWstrn!F49+'AMS Life'!F49+'Bankers Commercial'!F49+Benicorp!F49+'Booker T Washington'!F49+Centennial!F49+'Coastal States'!F49+'Confed Life (CLIC)'!F49+'Consolidated National'!F49+'Consumers United'!F49+'Corporate Life'!F49+'Diamond Benefits'!F49+'EBL Life'!F49+'Family Guaranty'!F49+'Fidelity Bankers'!F49+'First Natl'!F49+'Franklin American'!F49+'Franklin Protective'!F49+'George Washington'!F49+'Golden State'!F49+'Guarantee Security'!F49+Imerica!F49+'Inter-American'!F49+'International Fin'!F49+'Investment Life of America'!F49+'Investors Equity'!F49+'Kentucky Central'!F49+Legion!F49+'London Pac'!F49+'Medical Savings'!F49+'Midwest Life'!F49+'Mutual Benefit'!F49+'Mutual Security'!F49+'National Affiliated'!F49+'Natl American'!F49+'New Jersey Life'!F49+'Old Colony Life'!F49+'Old Faithful'!F49+'Pacific Standard'!F49+SeeChange!F49+'States General'!F49+Statesman!F49+'Summit National'!F49+Supreme!F49+Underwriters!F49+Unison!F49+'United Republic'!F49+'Universal Life'!F49+Universe!F49+Villanova!F49</f>
        <v>0</v>
      </c>
      <c r="G49" s="30">
        <f t="shared" si="1"/>
        <v>10902694.888420284</v>
      </c>
      <c r="H49" s="30"/>
      <c r="I49" s="30" t="s">
        <v>526</v>
      </c>
      <c r="J49" s="30">
        <f>Summary!TOTAL_67229</f>
        <v>1474083.5690999997</v>
      </c>
    </row>
    <row r="50" spans="1:10">
      <c r="A50" s="1" t="s">
        <v>71</v>
      </c>
      <c r="B50" s="30">
        <f>+'Alabama Life'!B50+'American Chambers'!B50+'American Educators'!B50+'American Integrity'!B50+'Amer Life Asr'!B50+'Amer Std Life Acc'!B50+AmerWstrn!B50+'AMS Life'!B50+'Bankers Commercial'!B50+Benicorp!B50+'Booker T Washington'!B50+Centennial!B50+'Coastal States'!B50+'Confed Life (CLIC)'!B50+'Consolidated National'!B50+'Consumers United'!B50+'Corporate Life'!B50+'Diamond Benefits'!B50+'EBL Life'!B50+'Family Guaranty'!B50+'Fidelity Bankers'!B50+'First Natl'!B50+'Franklin American'!B50+'Franklin Protective'!B50+'George Washington'!B50+'Golden State'!B50+'Guarantee Security'!B50+Imerica!B50+'Inter-American'!B50+'International Fin'!B50+'Investment Life of America'!B50+'Investors Equity'!B50+'Kentucky Central'!B50+Legion!B50+'London Pac'!B50+'Medical Savings'!B50+'Midwest Life'!B50+'Mutual Benefit'!B50+'Mutual Security'!B50+'National Affiliated'!B50+'Natl American'!B50+'New Jersey Life'!B50+'Old Colony Life'!B50+'Old Faithful'!B50+'Pacific Standard'!B50+SeeChange!B50+'States General'!B50+Statesman!B50+'Summit National'!B50+Supreme!B50+Underwriters!B50+Unison!B50+'United Republic'!B50+'Universal Life'!B50+Universe!B50+Villanova!B50</f>
        <v>9041928.8198920283</v>
      </c>
      <c r="C50" s="30">
        <f>+'Alabama Life'!C50+'American Chambers'!C50+'American Educators'!C50+'American Integrity'!C50+'Amer Life Asr'!C50+'Amer Std Life Acc'!C50+AmerWstrn!C50+'AMS Life'!C50+'Bankers Commercial'!C50+Benicorp!C50+'Booker T Washington'!C50+Centennial!C50+'Coastal States'!C50+'Confed Life (CLIC)'!C50+'Consolidated National'!C50+'Consumers United'!C50+'Corporate Life'!C50+'Diamond Benefits'!C50+'EBL Life'!C50+'Family Guaranty'!C50+'Fidelity Bankers'!C50+'First Natl'!C50+'Franklin American'!C50+'Franklin Protective'!C50+'George Washington'!C50+'Golden State'!C50+'Guarantee Security'!C50+Imerica!C50+'Inter-American'!C50+'International Fin'!C50+'Investment Life of America'!C50+'Investors Equity'!C50+'Kentucky Central'!C50+Legion!C50+'London Pac'!C50+'Medical Savings'!C50+'Midwest Life'!C50+'Mutual Benefit'!C50+'Mutual Security'!C50+'National Affiliated'!C50+'Natl American'!C50+'New Jersey Life'!C50+'Old Colony Life'!C50+'Old Faithful'!C50+'Pacific Standard'!C50+SeeChange!C50+'States General'!C50+Statesman!C50+'Summit National'!C50+Supreme!C50+Underwriters!C50+Unison!C50+'United Republic'!C50+'Universal Life'!C50+Universe!C50+Villanova!C50</f>
        <v>29289789.918950073</v>
      </c>
      <c r="D50" s="30">
        <f>+'Alabama Life'!D50+'American Chambers'!D50+'American Educators'!D50+'American Integrity'!D50+'Amer Life Asr'!D50+'Amer Std Life Acc'!D50+AmerWstrn!D50+'AMS Life'!D50+'Bankers Commercial'!D50+Benicorp!D50+'Booker T Washington'!D50+Centennial!D50+'Coastal States'!D50+'Confed Life (CLIC)'!D50+'Consolidated National'!D50+'Consumers United'!D50+'Corporate Life'!D50+'Diamond Benefits'!D50+'EBL Life'!D50+'Family Guaranty'!D50+'Fidelity Bankers'!D50+'First Natl'!D50+'Franklin American'!D50+'Franklin Protective'!D50+'George Washington'!D50+'Golden State'!D50+'Guarantee Security'!D50+Imerica!D50+'Inter-American'!D50+'International Fin'!D50+'Investment Life of America'!D50+'Investors Equity'!D50+'Kentucky Central'!D50+Legion!D50+'London Pac'!D50+'Medical Savings'!D50+'Midwest Life'!D50+'Mutual Benefit'!D50+'Mutual Security'!D50+'National Affiliated'!D50+'Natl American'!D50+'New Jersey Life'!D50+'Old Colony Life'!D50+'Old Faithful'!D50+'Pacific Standard'!D50+SeeChange!D50+'States General'!D50+Statesman!D50+'Summit National'!D50+Supreme!D50+Underwriters!D50+Unison!D50+'United Republic'!D50+'Universal Life'!D50+Universe!D50+Villanova!D50</f>
        <v>23282326.577446368</v>
      </c>
      <c r="E50" s="30">
        <f>+'Alabama Life'!E50+'American Chambers'!E50+'American Educators'!E50+'American Integrity'!E50+'Amer Life Asr'!E50+'Amer Std Life Acc'!E50+AmerWstrn!E50+'AMS Life'!E50+'Bankers Commercial'!E50+Benicorp!E50+'Booker T Washington'!E50+Centennial!E50+'Coastal States'!E50+'Confed Life (CLIC)'!E50+'Consolidated National'!E50+'Consumers United'!E50+'Corporate Life'!E50+'Diamond Benefits'!E50+'EBL Life'!E50+'Family Guaranty'!E50+'Fidelity Bankers'!E50+'First Natl'!E50+'Franklin American'!E50+'Franklin Protective'!E50+'George Washington'!E50+'Golden State'!E50+'Guarantee Security'!E50+Imerica!E50+'Inter-American'!E50+'International Fin'!E50+'Investment Life of America'!E50+'Investors Equity'!E50+'Kentucky Central'!E50+Legion!E50+'London Pac'!E50+'Medical Savings'!E50+'Midwest Life'!E50+'Mutual Benefit'!E50+'Mutual Security'!E50+'National Affiliated'!E50+'Natl American'!E50+'New Jersey Life'!E50+'Old Colony Life'!E50+'Old Faithful'!E50+'Pacific Standard'!E50+SeeChange!E50+'States General'!E50+Statesman!E50+'Summit National'!E50+Supreme!E50+Underwriters!E50+Unison!E50+'United Republic'!E50+'Universal Life'!E50+Universe!E50+Villanova!E50</f>
        <v>2837602.8037223225</v>
      </c>
      <c r="F50" s="30">
        <f>+'Alabama Life'!F50+'American Chambers'!F50+'American Educators'!F50+'American Integrity'!F50+'Amer Life Asr'!F50+'Amer Std Life Acc'!F50+AmerWstrn!F50+'AMS Life'!F50+'Bankers Commercial'!F50+Benicorp!F50+'Booker T Washington'!F50+Centennial!F50+'Coastal States'!F50+'Confed Life (CLIC)'!F50+'Consolidated National'!F50+'Consumers United'!F50+'Corporate Life'!F50+'Diamond Benefits'!F50+'EBL Life'!F50+'Family Guaranty'!F50+'Fidelity Bankers'!F50+'First Natl'!F50+'Franklin American'!F50+'Franklin Protective'!F50+'George Washington'!F50+'Golden State'!F50+'Guarantee Security'!F50+Imerica!F50+'Inter-American'!F50+'International Fin'!F50+'Investment Life of America'!F50+'Investors Equity'!F50+'Kentucky Central'!F50+Legion!F50+'London Pac'!F50+'Medical Savings'!F50+'Midwest Life'!F50+'Mutual Benefit'!F50+'Mutual Security'!F50+'National Affiliated'!F50+'Natl American'!F50+'New Jersey Life'!F50+'Old Colony Life'!F50+'Old Faithful'!F50+'Pacific Standard'!F50+SeeChange!F50+'States General'!F50+Statesman!F50+'Summit National'!F50+Supreme!F50+Underwriters!F50+Unison!F50+'United Republic'!F50+'Universal Life'!F50+Universe!F50+Villanova!F50</f>
        <v>0</v>
      </c>
      <c r="G50" s="30">
        <f t="shared" si="1"/>
        <v>64451648.120010793</v>
      </c>
      <c r="H50" s="30"/>
      <c r="I50" s="30" t="s">
        <v>532</v>
      </c>
      <c r="J50" s="30">
        <f>Summary!TOTAL_72842</f>
        <v>28423507.759999998</v>
      </c>
    </row>
    <row r="51" spans="1:10">
      <c r="A51" s="1" t="s">
        <v>72</v>
      </c>
      <c r="B51" s="30">
        <f>+'Alabama Life'!B51+'American Chambers'!B51+'American Educators'!B51+'American Integrity'!B51+'Amer Life Asr'!B51+'Amer Std Life Acc'!B51+AmerWstrn!B51+'AMS Life'!B51+'Bankers Commercial'!B51+Benicorp!B51+'Booker T Washington'!B51+Centennial!B51+'Coastal States'!B51+'Confed Life (CLIC)'!B51+'Consolidated National'!B51+'Consumers United'!B51+'Corporate Life'!B51+'Diamond Benefits'!B51+'EBL Life'!B51+'Family Guaranty'!B51+'Fidelity Bankers'!B51+'First Natl'!B51+'Franklin American'!B51+'Franklin Protective'!B51+'George Washington'!B51+'Golden State'!B51+'Guarantee Security'!B51+Imerica!B51+'Inter-American'!B51+'International Fin'!B51+'Investment Life of America'!B51+'Investors Equity'!B51+'Kentucky Central'!B51+Legion!B51+'London Pac'!B51+'Medical Savings'!B51+'Midwest Life'!B51+'Mutual Benefit'!B51+'Mutual Security'!B51+'National Affiliated'!B51+'Natl American'!B51+'New Jersey Life'!B51+'Old Colony Life'!B51+'Old Faithful'!B51+'Pacific Standard'!B51+SeeChange!B51+'States General'!B51+Statesman!B51+'Summit National'!B51+Supreme!B51+Underwriters!B51+Unison!B51+'United Republic'!B51+'Universal Life'!B51+Universe!B51+Villanova!B51</f>
        <v>699348.63040982501</v>
      </c>
      <c r="C51" s="30">
        <f>+'Alabama Life'!C51+'American Chambers'!C51+'American Educators'!C51+'American Integrity'!C51+'Amer Life Asr'!C51+'Amer Std Life Acc'!C51+AmerWstrn!C51+'AMS Life'!C51+'Bankers Commercial'!C51+Benicorp!C51+'Booker T Washington'!C51+Centennial!C51+'Coastal States'!C51+'Confed Life (CLIC)'!C51+'Consolidated National'!C51+'Consumers United'!C51+'Corporate Life'!C51+'Diamond Benefits'!C51+'EBL Life'!C51+'Family Guaranty'!C51+'Fidelity Bankers'!C51+'First Natl'!C51+'Franklin American'!C51+'Franklin Protective'!C51+'George Washington'!C51+'Golden State'!C51+'Guarantee Security'!C51+Imerica!C51+'Inter-American'!C51+'International Fin'!C51+'Investment Life of America'!C51+'Investors Equity'!C51+'Kentucky Central'!C51+Legion!C51+'London Pac'!C51+'Medical Savings'!C51+'Midwest Life'!C51+'Mutual Benefit'!C51+'Mutual Security'!C51+'National Affiliated'!C51+'Natl American'!C51+'New Jersey Life'!C51+'Old Colony Life'!C51+'Old Faithful'!C51+'Pacific Standard'!C51+SeeChange!C51+'States General'!C51+Statesman!C51+'Summit National'!C51+Supreme!C51+Underwriters!C51+Unison!C51+'United Republic'!C51+'Universal Life'!C51+Universe!C51+Villanova!C51</f>
        <v>1374366.6343556829</v>
      </c>
      <c r="D51" s="30">
        <f>+'Alabama Life'!D51+'American Chambers'!D51+'American Educators'!D51+'American Integrity'!D51+'Amer Life Asr'!D51+'Amer Std Life Acc'!D51+AmerWstrn!D51+'AMS Life'!D51+'Bankers Commercial'!D51+Benicorp!D51+'Booker T Washington'!D51+Centennial!D51+'Coastal States'!D51+'Confed Life (CLIC)'!D51+'Consolidated National'!D51+'Consumers United'!D51+'Corporate Life'!D51+'Diamond Benefits'!D51+'EBL Life'!D51+'Family Guaranty'!D51+'Fidelity Bankers'!D51+'First Natl'!D51+'Franklin American'!D51+'Franklin Protective'!D51+'George Washington'!D51+'Golden State'!D51+'Guarantee Security'!D51+Imerica!D51+'Inter-American'!D51+'International Fin'!D51+'Investment Life of America'!D51+'Investors Equity'!D51+'Kentucky Central'!D51+Legion!D51+'London Pac'!D51+'Medical Savings'!D51+'Midwest Life'!D51+'Mutual Benefit'!D51+'Mutual Security'!D51+'National Affiliated'!D51+'Natl American'!D51+'New Jersey Life'!D51+'Old Colony Life'!D51+'Old Faithful'!D51+'Pacific Standard'!D51+SeeChange!D51+'States General'!D51+Statesman!D51+'Summit National'!D51+Supreme!D51+Underwriters!D51+Unison!D51+'United Republic'!D51+'Universal Life'!D51+Universe!D51+Villanova!D51</f>
        <v>186216.82375534507</v>
      </c>
      <c r="E51" s="30">
        <f>+'Alabama Life'!E51+'American Chambers'!E51+'American Educators'!E51+'American Integrity'!E51+'Amer Life Asr'!E51+'Amer Std Life Acc'!E51+AmerWstrn!E51+'AMS Life'!E51+'Bankers Commercial'!E51+Benicorp!E51+'Booker T Washington'!E51+Centennial!E51+'Coastal States'!E51+'Confed Life (CLIC)'!E51+'Consolidated National'!E51+'Consumers United'!E51+'Corporate Life'!E51+'Diamond Benefits'!E51+'EBL Life'!E51+'Family Guaranty'!E51+'Fidelity Bankers'!E51+'First Natl'!E51+'Franklin American'!E51+'Franklin Protective'!E51+'George Washington'!E51+'Golden State'!E51+'Guarantee Security'!E51+Imerica!E51+'Inter-American'!E51+'International Fin'!E51+'Investment Life of America'!E51+'Investors Equity'!E51+'Kentucky Central'!E51+Legion!E51+'London Pac'!E51+'Medical Savings'!E51+'Midwest Life'!E51+'Mutual Benefit'!E51+'Mutual Security'!E51+'National Affiliated'!E51+'Natl American'!E51+'New Jersey Life'!E51+'Old Colony Life'!E51+'Old Faithful'!E51+'Pacific Standard'!E51+SeeChange!E51+'States General'!E51+Statesman!E51+'Summit National'!E51+Supreme!E51+Underwriters!E51+Unison!E51+'United Republic'!E51+'Universal Life'!E51+Universe!E51+Villanova!E51</f>
        <v>2840.6186254541731</v>
      </c>
      <c r="F51" s="30">
        <f>+'Alabama Life'!F51+'American Chambers'!F51+'American Educators'!F51+'American Integrity'!F51+'Amer Life Asr'!F51+'Amer Std Life Acc'!F51+AmerWstrn!F51+'AMS Life'!F51+'Bankers Commercial'!F51+Benicorp!F51+'Booker T Washington'!F51+Centennial!F51+'Coastal States'!F51+'Confed Life (CLIC)'!F51+'Consolidated National'!F51+'Consumers United'!F51+'Corporate Life'!F51+'Diamond Benefits'!F51+'EBL Life'!F51+'Family Guaranty'!F51+'Fidelity Bankers'!F51+'First Natl'!F51+'Franklin American'!F51+'Franklin Protective'!F51+'George Washington'!F51+'Golden State'!F51+'Guarantee Security'!F51+Imerica!F51+'Inter-American'!F51+'International Fin'!F51+'Investment Life of America'!F51+'Investors Equity'!F51+'Kentucky Central'!F51+Legion!F51+'London Pac'!F51+'Medical Savings'!F51+'Midwest Life'!F51+'Mutual Benefit'!F51+'Mutual Security'!F51+'National Affiliated'!F51+'Natl American'!F51+'New Jersey Life'!F51+'Old Colony Life'!F51+'Old Faithful'!F51+'Pacific Standard'!F51+SeeChange!F51+'States General'!F51+Statesman!F51+'Summit National'!F51+Supreme!F51+Underwriters!F51+Unison!F51+'United Republic'!F51+'Universal Life'!F51+Universe!F51+Villanova!F51</f>
        <v>0</v>
      </c>
      <c r="G51" s="30">
        <f t="shared" si="1"/>
        <v>2262772.707146307</v>
      </c>
      <c r="H51" s="30"/>
      <c r="I51" s="30" t="s">
        <v>537</v>
      </c>
      <c r="J51" s="30">
        <f>Summary!TOTAL_63541</f>
        <v>12380466.671347052</v>
      </c>
    </row>
    <row r="52" spans="1:10">
      <c r="A52" s="1" t="s">
        <v>73</v>
      </c>
      <c r="B52" s="30">
        <f>+'Alabama Life'!B52+'American Chambers'!B52+'American Educators'!B52+'American Integrity'!B52+'Amer Life Asr'!B52+'Amer Std Life Acc'!B52+AmerWstrn!B52+'AMS Life'!B52+'Bankers Commercial'!B52+Benicorp!B52+'Booker T Washington'!B52+Centennial!B52+'Coastal States'!B52+'Confed Life (CLIC)'!B52+'Consolidated National'!B52+'Consumers United'!B52+'Corporate Life'!B52+'Diamond Benefits'!B52+'EBL Life'!B52+'Family Guaranty'!B52+'Fidelity Bankers'!B52+'First Natl'!B52+'Franklin American'!B52+'Franklin Protective'!B52+'George Washington'!B52+'Golden State'!B52+'Guarantee Security'!B52+Imerica!B52+'Inter-American'!B52+'International Fin'!B52+'Investment Life of America'!B52+'Investors Equity'!B52+'Kentucky Central'!B52+Legion!B52+'London Pac'!B52+'Medical Savings'!B52+'Midwest Life'!B52+'Mutual Benefit'!B52+'Mutual Security'!B52+'National Affiliated'!B52+'Natl American'!B52+'New Jersey Life'!B52+'Old Colony Life'!B52+'Old Faithful'!B52+'Pacific Standard'!B52+SeeChange!B52+'States General'!B52+Statesman!B52+'Summit National'!B52+Supreme!B52+Underwriters!B52+Unison!B52+'United Republic'!B52+'Universal Life'!B52+Universe!B52+Villanova!B52</f>
        <v>177644.18630712651</v>
      </c>
      <c r="C52" s="30">
        <f>+'Alabama Life'!C52+'American Chambers'!C52+'American Educators'!C52+'American Integrity'!C52+'Amer Life Asr'!C52+'Amer Std Life Acc'!C52+AmerWstrn!C52+'AMS Life'!C52+'Bankers Commercial'!C52+Benicorp!C52+'Booker T Washington'!C52+Centennial!C52+'Coastal States'!C52+'Confed Life (CLIC)'!C52+'Consolidated National'!C52+'Consumers United'!C52+'Corporate Life'!C52+'Diamond Benefits'!C52+'EBL Life'!C52+'Family Guaranty'!C52+'Fidelity Bankers'!C52+'First Natl'!C52+'Franklin American'!C52+'Franklin Protective'!C52+'George Washington'!C52+'Golden State'!C52+'Guarantee Security'!C52+Imerica!C52+'Inter-American'!C52+'International Fin'!C52+'Investment Life of America'!C52+'Investors Equity'!C52+'Kentucky Central'!C52+Legion!C52+'London Pac'!C52+'Medical Savings'!C52+'Midwest Life'!C52+'Mutual Benefit'!C52+'Mutual Security'!C52+'National Affiliated'!C52+'Natl American'!C52+'New Jersey Life'!C52+'Old Colony Life'!C52+'Old Faithful'!C52+'Pacific Standard'!C52+SeeChange!C52+'States General'!C52+Statesman!C52+'Summit National'!C52+Supreme!C52+Underwriters!C52+Unison!C52+'United Republic'!C52+'Universal Life'!C52+Universe!C52+Villanova!C52</f>
        <v>180158.10236115963</v>
      </c>
      <c r="D52" s="30">
        <f>+'Alabama Life'!D52+'American Chambers'!D52+'American Educators'!D52+'American Integrity'!D52+'Amer Life Asr'!D52+'Amer Std Life Acc'!D52+AmerWstrn!D52+'AMS Life'!D52+'Bankers Commercial'!D52+Benicorp!D52+'Booker T Washington'!D52+Centennial!D52+'Coastal States'!D52+'Confed Life (CLIC)'!D52+'Consolidated National'!D52+'Consumers United'!D52+'Corporate Life'!D52+'Diamond Benefits'!D52+'EBL Life'!D52+'Family Guaranty'!D52+'Fidelity Bankers'!D52+'First Natl'!D52+'Franklin American'!D52+'Franklin Protective'!D52+'George Washington'!D52+'Golden State'!D52+'Guarantee Security'!D52+Imerica!D52+'Inter-American'!D52+'International Fin'!D52+'Investment Life of America'!D52+'Investors Equity'!D52+'Kentucky Central'!D52+Legion!D52+'London Pac'!D52+'Medical Savings'!D52+'Midwest Life'!D52+'Mutual Benefit'!D52+'Mutual Security'!D52+'National Affiliated'!D52+'Natl American'!D52+'New Jersey Life'!D52+'Old Colony Life'!D52+'Old Faithful'!D52+'Pacific Standard'!D52+SeeChange!D52+'States General'!D52+Statesman!D52+'Summit National'!D52+Supreme!D52+Underwriters!D52+Unison!D52+'United Republic'!D52+'Universal Life'!D52+Universe!D52+Villanova!D52</f>
        <v>11414.505659821458</v>
      </c>
      <c r="E52" s="30">
        <f>+'Alabama Life'!E52+'American Chambers'!E52+'American Educators'!E52+'American Integrity'!E52+'Amer Life Asr'!E52+'Amer Std Life Acc'!E52+AmerWstrn!E52+'AMS Life'!E52+'Bankers Commercial'!E52+Benicorp!E52+'Booker T Washington'!E52+Centennial!E52+'Coastal States'!E52+'Confed Life (CLIC)'!E52+'Consolidated National'!E52+'Consumers United'!E52+'Corporate Life'!E52+'Diamond Benefits'!E52+'EBL Life'!E52+'Family Guaranty'!E52+'Fidelity Bankers'!E52+'First Natl'!E52+'Franklin American'!E52+'Franklin Protective'!E52+'George Washington'!E52+'Golden State'!E52+'Guarantee Security'!E52+Imerica!E52+'Inter-American'!E52+'International Fin'!E52+'Investment Life of America'!E52+'Investors Equity'!E52+'Kentucky Central'!E52+Legion!E52+'London Pac'!E52+'Medical Savings'!E52+'Midwest Life'!E52+'Mutual Benefit'!E52+'Mutual Security'!E52+'National Affiliated'!E52+'Natl American'!E52+'New Jersey Life'!E52+'Old Colony Life'!E52+'Old Faithful'!E52+'Pacific Standard'!E52+SeeChange!E52+'States General'!E52+Statesman!E52+'Summit National'!E52+Supreme!E52+Underwriters!E52+Unison!E52+'United Republic'!E52+'Universal Life'!E52+Universe!E52+Villanova!E52</f>
        <v>-3903.7641015315021</v>
      </c>
      <c r="F52" s="30">
        <f>+'Alabama Life'!F52+'American Chambers'!F52+'American Educators'!F52+'American Integrity'!F52+'Amer Life Asr'!F52+'Amer Std Life Acc'!F52+AmerWstrn!F52+'AMS Life'!F52+'Bankers Commercial'!F52+Benicorp!F52+'Booker T Washington'!F52+Centennial!F52+'Coastal States'!F52+'Confed Life (CLIC)'!F52+'Consolidated National'!F52+'Consumers United'!F52+'Corporate Life'!F52+'Diamond Benefits'!F52+'EBL Life'!F52+'Family Guaranty'!F52+'Fidelity Bankers'!F52+'First Natl'!F52+'Franklin American'!F52+'Franklin Protective'!F52+'George Washington'!F52+'Golden State'!F52+'Guarantee Security'!F52+Imerica!F52+'Inter-American'!F52+'International Fin'!F52+'Investment Life of America'!F52+'Investors Equity'!F52+'Kentucky Central'!F52+Legion!F52+'London Pac'!F52+'Medical Savings'!F52+'Midwest Life'!F52+'Mutual Benefit'!F52+'Mutual Security'!F52+'National Affiliated'!F52+'Natl American'!F52+'New Jersey Life'!F52+'Old Colony Life'!F52+'Old Faithful'!F52+'Pacific Standard'!F52+SeeChange!F52+'States General'!F52+Statesman!F52+'Summit National'!F52+Supreme!F52+Underwriters!F52+Unison!F52+'United Republic'!F52+'Universal Life'!F52+Universe!F52+Villanova!F52</f>
        <v>0</v>
      </c>
      <c r="G52" s="30">
        <f t="shared" si="1"/>
        <v>365313.03022657614</v>
      </c>
      <c r="H52" s="30"/>
      <c r="I52" s="30" t="s">
        <v>541</v>
      </c>
      <c r="J52" s="30">
        <f>Summary!TOTAL_69175</f>
        <v>4938099.3900000006</v>
      </c>
    </row>
    <row r="53" spans="1:10">
      <c r="A53" s="1" t="s">
        <v>74</v>
      </c>
      <c r="B53" s="30">
        <f>+'Alabama Life'!B53+'American Chambers'!B53+'American Educators'!B53+'American Integrity'!B53+'Amer Life Asr'!B53+'Amer Std Life Acc'!B53+AmerWstrn!B53+'AMS Life'!B53+'Bankers Commercial'!B53+Benicorp!B53+'Booker T Washington'!B53+Centennial!B53+'Coastal States'!B53+'Confed Life (CLIC)'!B53+'Consolidated National'!B53+'Consumers United'!B53+'Corporate Life'!B53+'Diamond Benefits'!B53+'EBL Life'!B53+'Family Guaranty'!B53+'Fidelity Bankers'!B53+'First Natl'!B53+'Franklin American'!B53+'Franklin Protective'!B53+'George Washington'!B53+'Golden State'!B53+'Guarantee Security'!B53+Imerica!B53+'Inter-American'!B53+'International Fin'!B53+'Investment Life of America'!B53+'Investors Equity'!B53+'Kentucky Central'!B53+Legion!B53+'London Pac'!B53+'Medical Savings'!B53+'Midwest Life'!B53+'Mutual Benefit'!B53+'Mutual Security'!B53+'National Affiliated'!B53+'Natl American'!B53+'New Jersey Life'!B53+'Old Colony Life'!B53+'Old Faithful'!B53+'Pacific Standard'!B53+SeeChange!B53+'States General'!B53+Statesman!B53+'Summit National'!B53+Supreme!B53+Underwriters!B53+Unison!B53+'United Republic'!B53+'Universal Life'!B53+Universe!B53+Villanova!B53</f>
        <v>3129009.065585962</v>
      </c>
      <c r="C53" s="30">
        <f>+'Alabama Life'!C53+'American Chambers'!C53+'American Educators'!C53+'American Integrity'!C53+'Amer Life Asr'!C53+'Amer Std Life Acc'!C53+AmerWstrn!C53+'AMS Life'!C53+'Bankers Commercial'!C53+Benicorp!C53+'Booker T Washington'!C53+Centennial!C53+'Coastal States'!C53+'Confed Life (CLIC)'!C53+'Consolidated National'!C53+'Consumers United'!C53+'Corporate Life'!C53+'Diamond Benefits'!C53+'EBL Life'!C53+'Family Guaranty'!C53+'Fidelity Bankers'!C53+'First Natl'!C53+'Franklin American'!C53+'Franklin Protective'!C53+'George Washington'!C53+'Golden State'!C53+'Guarantee Security'!C53+Imerica!C53+'Inter-American'!C53+'International Fin'!C53+'Investment Life of America'!C53+'Investors Equity'!C53+'Kentucky Central'!C53+Legion!C53+'London Pac'!C53+'Medical Savings'!C53+'Midwest Life'!C53+'Mutual Benefit'!C53+'Mutual Security'!C53+'National Affiliated'!C53+'Natl American'!C53+'New Jersey Life'!C53+'Old Colony Life'!C53+'Old Faithful'!C53+'Pacific Standard'!C53+SeeChange!C53+'States General'!C53+Statesman!C53+'Summit National'!C53+Supreme!C53+Underwriters!C53+Unison!C53+'United Republic'!C53+'Universal Life'!C53+Universe!C53+Villanova!C53</f>
        <v>10322691.787375977</v>
      </c>
      <c r="D53" s="30">
        <f>+'Alabama Life'!D53+'American Chambers'!D53+'American Educators'!D53+'American Integrity'!D53+'Amer Life Asr'!D53+'Amer Std Life Acc'!D53+AmerWstrn!D53+'AMS Life'!D53+'Bankers Commercial'!D53+Benicorp!D53+'Booker T Washington'!D53+Centennial!D53+'Coastal States'!D53+'Confed Life (CLIC)'!D53+'Consolidated National'!D53+'Consumers United'!D53+'Corporate Life'!D53+'Diamond Benefits'!D53+'EBL Life'!D53+'Family Guaranty'!D53+'Fidelity Bankers'!D53+'First Natl'!D53+'Franklin American'!D53+'Franklin Protective'!D53+'George Washington'!D53+'Golden State'!D53+'Guarantee Security'!D53+Imerica!D53+'Inter-American'!D53+'International Fin'!D53+'Investment Life of America'!D53+'Investors Equity'!D53+'Kentucky Central'!D53+Legion!D53+'London Pac'!D53+'Medical Savings'!D53+'Midwest Life'!D53+'Mutual Benefit'!D53+'Mutual Security'!D53+'National Affiliated'!D53+'Natl American'!D53+'New Jersey Life'!D53+'Old Colony Life'!D53+'Old Faithful'!D53+'Pacific Standard'!D53+SeeChange!D53+'States General'!D53+Statesman!D53+'Summit National'!D53+Supreme!D53+Underwriters!D53+Unison!D53+'United Republic'!D53+'Universal Life'!D53+Universe!D53+Villanova!D53</f>
        <v>1623630.1310344907</v>
      </c>
      <c r="E53" s="30">
        <f>+'Alabama Life'!E53+'American Chambers'!E53+'American Educators'!E53+'American Integrity'!E53+'Amer Life Asr'!E53+'Amer Std Life Acc'!E53+AmerWstrn!E53+'AMS Life'!E53+'Bankers Commercial'!E53+Benicorp!E53+'Booker T Washington'!E53+Centennial!E53+'Coastal States'!E53+'Confed Life (CLIC)'!E53+'Consolidated National'!E53+'Consumers United'!E53+'Corporate Life'!E53+'Diamond Benefits'!E53+'EBL Life'!E53+'Family Guaranty'!E53+'Fidelity Bankers'!E53+'First Natl'!E53+'Franklin American'!E53+'Franklin Protective'!E53+'George Washington'!E53+'Golden State'!E53+'Guarantee Security'!E53+Imerica!E53+'Inter-American'!E53+'International Fin'!E53+'Investment Life of America'!E53+'Investors Equity'!E53+'Kentucky Central'!E53+Legion!E53+'London Pac'!E53+'Medical Savings'!E53+'Midwest Life'!E53+'Mutual Benefit'!E53+'Mutual Security'!E53+'National Affiliated'!E53+'Natl American'!E53+'New Jersey Life'!E53+'Old Colony Life'!E53+'Old Faithful'!E53+'Pacific Standard'!E53+SeeChange!E53+'States General'!E53+Statesman!E53+'Summit National'!E53+Supreme!E53+Underwriters!E53+Unison!E53+'United Republic'!E53+'Universal Life'!E53+Universe!E53+Villanova!E53</f>
        <v>0</v>
      </c>
      <c r="F53" s="30">
        <f>+'Alabama Life'!F53+'American Chambers'!F53+'American Educators'!F53+'American Integrity'!F53+'Amer Life Asr'!F53+'Amer Std Life Acc'!F53+AmerWstrn!F53+'AMS Life'!F53+'Bankers Commercial'!F53+Benicorp!F53+'Booker T Washington'!F53+Centennial!F53+'Coastal States'!F53+'Confed Life (CLIC)'!F53+'Consolidated National'!F53+'Consumers United'!F53+'Corporate Life'!F53+'Diamond Benefits'!F53+'EBL Life'!F53+'Family Guaranty'!F53+'Fidelity Bankers'!F53+'First Natl'!F53+'Franklin American'!F53+'Franklin Protective'!F53+'George Washington'!F53+'Golden State'!F53+'Guarantee Security'!F53+Imerica!F53+'Inter-American'!F53+'International Fin'!F53+'Investment Life of America'!F53+'Investors Equity'!F53+'Kentucky Central'!F53+Legion!F53+'London Pac'!F53+'Medical Savings'!F53+'Midwest Life'!F53+'Mutual Benefit'!F53+'Mutual Security'!F53+'National Affiliated'!F53+'Natl American'!F53+'New Jersey Life'!F53+'Old Colony Life'!F53+'Old Faithful'!F53+'Pacific Standard'!F53+SeeChange!F53+'States General'!F53+Statesman!F53+'Summit National'!F53+Supreme!F53+Underwriters!F53+Unison!F53+'United Republic'!F53+'Universal Life'!F53+Universe!F53+Villanova!F53</f>
        <v>0</v>
      </c>
      <c r="G53" s="30">
        <f t="shared" si="1"/>
        <v>15075330.983996429</v>
      </c>
      <c r="H53" s="30"/>
      <c r="I53" s="30" t="s">
        <v>546</v>
      </c>
      <c r="J53" s="30">
        <f>Summary!TOTAL_69183</f>
        <v>4051414.9099999983</v>
      </c>
    </row>
    <row r="54" spans="1:10">
      <c r="A54" s="1" t="s">
        <v>75</v>
      </c>
      <c r="B54" s="30">
        <f>+'Alabama Life'!B54+'American Chambers'!B54+'American Educators'!B54+'American Integrity'!B54+'Amer Life Asr'!B54+'Amer Std Life Acc'!B54+AmerWstrn!B54+'AMS Life'!B54+'Bankers Commercial'!B54+Benicorp!B54+'Booker T Washington'!B54+Centennial!B54+'Coastal States'!B54+'Confed Life (CLIC)'!B54+'Consolidated National'!B54+'Consumers United'!B54+'Corporate Life'!B54+'Diamond Benefits'!B54+'EBL Life'!B54+'Family Guaranty'!B54+'Fidelity Bankers'!B54+'First Natl'!B54+'Franklin American'!B54+'Franklin Protective'!B54+'George Washington'!B54+'Golden State'!B54+'Guarantee Security'!B54+Imerica!B54+'Inter-American'!B54+'International Fin'!B54+'Investment Life of America'!B54+'Investors Equity'!B54+'Kentucky Central'!B54+Legion!B54+'London Pac'!B54+'Medical Savings'!B54+'Midwest Life'!B54+'Mutual Benefit'!B54+'Mutual Security'!B54+'National Affiliated'!B54+'Natl American'!B54+'New Jersey Life'!B54+'Old Colony Life'!B54+'Old Faithful'!B54+'Pacific Standard'!B54+SeeChange!B54+'States General'!B54+Statesman!B54+'Summit National'!B54+Supreme!B54+Underwriters!B54+Unison!B54+'United Republic'!B54+'Universal Life'!B54+Universe!B54+Villanova!B54</f>
        <v>4682998.7855110168</v>
      </c>
      <c r="C54" s="30">
        <f>+'Alabama Life'!C54+'American Chambers'!C54+'American Educators'!C54+'American Integrity'!C54+'Amer Life Asr'!C54+'Amer Std Life Acc'!C54+AmerWstrn!C54+'AMS Life'!C54+'Bankers Commercial'!C54+Benicorp!C54+'Booker T Washington'!C54+Centennial!C54+'Coastal States'!C54+'Confed Life (CLIC)'!C54+'Consolidated National'!C54+'Consumers United'!C54+'Corporate Life'!C54+'Diamond Benefits'!C54+'EBL Life'!C54+'Family Guaranty'!C54+'Fidelity Bankers'!C54+'First Natl'!C54+'Franklin American'!C54+'Franklin Protective'!C54+'George Washington'!C54+'Golden State'!C54+'Guarantee Security'!C54+Imerica!C54+'Inter-American'!C54+'International Fin'!C54+'Investment Life of America'!C54+'Investors Equity'!C54+'Kentucky Central'!C54+Legion!C54+'London Pac'!C54+'Medical Savings'!C54+'Midwest Life'!C54+'Mutual Benefit'!C54+'Mutual Security'!C54+'National Affiliated'!C54+'Natl American'!C54+'New Jersey Life'!C54+'Old Colony Life'!C54+'Old Faithful'!C54+'Pacific Standard'!C54+SeeChange!C54+'States General'!C54+Statesman!C54+'Summit National'!C54+Supreme!C54+Underwriters!C54+Unison!C54+'United Republic'!C54+'Universal Life'!C54+Universe!C54+Villanova!C54</f>
        <v>14289610.021347297</v>
      </c>
      <c r="D54" s="30">
        <f>+'Alabama Life'!D54+'American Chambers'!D54+'American Educators'!D54+'American Integrity'!D54+'Amer Life Asr'!D54+'Amer Std Life Acc'!D54+AmerWstrn!D54+'AMS Life'!D54+'Bankers Commercial'!D54+Benicorp!D54+'Booker T Washington'!D54+Centennial!D54+'Coastal States'!D54+'Confed Life (CLIC)'!D54+'Consolidated National'!D54+'Consumers United'!D54+'Corporate Life'!D54+'Diamond Benefits'!D54+'EBL Life'!D54+'Family Guaranty'!D54+'Fidelity Bankers'!D54+'First Natl'!D54+'Franklin American'!D54+'Franklin Protective'!D54+'George Washington'!D54+'Golden State'!D54+'Guarantee Security'!D54+Imerica!D54+'Inter-American'!D54+'International Fin'!D54+'Investment Life of America'!D54+'Investors Equity'!D54+'Kentucky Central'!D54+Legion!D54+'London Pac'!D54+'Medical Savings'!D54+'Midwest Life'!D54+'Mutual Benefit'!D54+'Mutual Security'!D54+'National Affiliated'!D54+'Natl American'!D54+'New Jersey Life'!D54+'Old Colony Life'!D54+'Old Faithful'!D54+'Pacific Standard'!D54+SeeChange!D54+'States General'!D54+Statesman!D54+'Summit National'!D54+Supreme!D54+Underwriters!D54+Unison!D54+'United Republic'!D54+'Universal Life'!D54+Universe!D54+Villanova!D54</f>
        <v>11276374.495975001</v>
      </c>
      <c r="E54" s="30">
        <f>+'Alabama Life'!E54+'American Chambers'!E54+'American Educators'!E54+'American Integrity'!E54+'Amer Life Asr'!E54+'Amer Std Life Acc'!E54+AmerWstrn!E54+'AMS Life'!E54+'Bankers Commercial'!E54+Benicorp!E54+'Booker T Washington'!E54+Centennial!E54+'Coastal States'!E54+'Confed Life (CLIC)'!E54+'Consolidated National'!E54+'Consumers United'!E54+'Corporate Life'!E54+'Diamond Benefits'!E54+'EBL Life'!E54+'Family Guaranty'!E54+'Fidelity Bankers'!E54+'First Natl'!E54+'Franklin American'!E54+'Franklin Protective'!E54+'George Washington'!E54+'Golden State'!E54+'Guarantee Security'!E54+Imerica!E54+'Inter-American'!E54+'International Fin'!E54+'Investment Life of America'!E54+'Investors Equity'!E54+'Kentucky Central'!E54+Legion!E54+'London Pac'!E54+'Medical Savings'!E54+'Midwest Life'!E54+'Mutual Benefit'!E54+'Mutual Security'!E54+'National Affiliated'!E54+'Natl American'!E54+'New Jersey Life'!E54+'Old Colony Life'!E54+'Old Faithful'!E54+'Pacific Standard'!E54+SeeChange!E54+'States General'!E54+Statesman!E54+'Summit National'!E54+Supreme!E54+Underwriters!E54+Unison!E54+'United Republic'!E54+'Universal Life'!E54+Universe!E54+Villanova!E54</f>
        <v>-6.2594756052367302</v>
      </c>
      <c r="F54" s="30">
        <f>+'Alabama Life'!F54+'American Chambers'!F54+'American Educators'!F54+'American Integrity'!F54+'Amer Life Asr'!F54+'Amer Std Life Acc'!F54+AmerWstrn!F54+'AMS Life'!F54+'Bankers Commercial'!F54+Benicorp!F54+'Booker T Washington'!F54+Centennial!F54+'Coastal States'!F54+'Confed Life (CLIC)'!F54+'Consolidated National'!F54+'Consumers United'!F54+'Corporate Life'!F54+'Diamond Benefits'!F54+'EBL Life'!F54+'Family Guaranty'!F54+'Fidelity Bankers'!F54+'First Natl'!F54+'Franklin American'!F54+'Franklin Protective'!F54+'George Washington'!F54+'Golden State'!F54+'Guarantee Security'!F54+Imerica!F54+'Inter-American'!F54+'International Fin'!F54+'Investment Life of America'!F54+'Investors Equity'!F54+'Kentucky Central'!F54+Legion!F54+'London Pac'!F54+'Medical Savings'!F54+'Midwest Life'!F54+'Mutual Benefit'!F54+'Mutual Security'!F54+'National Affiliated'!F54+'Natl American'!F54+'New Jersey Life'!F54+'Old Colony Life'!F54+'Old Faithful'!F54+'Pacific Standard'!F54+SeeChange!F54+'States General'!F54+Statesman!F54+'Summit National'!F54+Supreme!F54+Underwriters!F54+Unison!F54+'United Republic'!F54+'Universal Life'!F54+Universe!F54+Villanova!F54</f>
        <v>0</v>
      </c>
      <c r="G54" s="30">
        <f t="shared" si="1"/>
        <v>30248977.043357715</v>
      </c>
      <c r="H54" s="30"/>
      <c r="I54" s="30" t="s">
        <v>551</v>
      </c>
      <c r="J54" s="30">
        <f>Summary!TOTAL_71080</f>
        <v>4657250.0299999816</v>
      </c>
    </row>
    <row r="55" spans="1:10">
      <c r="A55" s="1" t="s">
        <v>76</v>
      </c>
      <c r="B55" s="30">
        <f>+'Alabama Life'!B55+'American Chambers'!B55+'American Educators'!B55+'American Integrity'!B55+'Amer Life Asr'!B55+'Amer Std Life Acc'!B55+AmerWstrn!B55+'AMS Life'!B55+'Bankers Commercial'!B55+Benicorp!B55+'Booker T Washington'!B55+Centennial!B55+'Coastal States'!B55+'Confed Life (CLIC)'!B55+'Consolidated National'!B55+'Consumers United'!B55+'Corporate Life'!B55+'Diamond Benefits'!B55+'EBL Life'!B55+'Family Guaranty'!B55+'Fidelity Bankers'!B55+'First Natl'!B55+'Franklin American'!B55+'Franklin Protective'!B55+'George Washington'!B55+'Golden State'!B55+'Guarantee Security'!B55+Imerica!B55+'Inter-American'!B55+'International Fin'!B55+'Investment Life of America'!B55+'Investors Equity'!B55+'Kentucky Central'!B55+Legion!B55+'London Pac'!B55+'Medical Savings'!B55+'Midwest Life'!B55+'Mutual Benefit'!B55+'Mutual Security'!B55+'National Affiliated'!B55+'Natl American'!B55+'New Jersey Life'!B55+'Old Colony Life'!B55+'Old Faithful'!B55+'Pacific Standard'!B55+SeeChange!B55+'States General'!B55+Statesman!B55+'Summit National'!B55+Supreme!B55+Underwriters!B55+Unison!B55+'United Republic'!B55+'Universal Life'!B55+Universe!B55+Villanova!B55</f>
        <v>1031067.676296794</v>
      </c>
      <c r="C55" s="30">
        <f>+'Alabama Life'!C55+'American Chambers'!C55+'American Educators'!C55+'American Integrity'!C55+'Amer Life Asr'!C55+'Amer Std Life Acc'!C55+AmerWstrn!C55+'AMS Life'!C55+'Bankers Commercial'!C55+Benicorp!C55+'Booker T Washington'!C55+Centennial!C55+'Coastal States'!C55+'Confed Life (CLIC)'!C55+'Consolidated National'!C55+'Consumers United'!C55+'Corporate Life'!C55+'Diamond Benefits'!C55+'EBL Life'!C55+'Family Guaranty'!C55+'Fidelity Bankers'!C55+'First Natl'!C55+'Franklin American'!C55+'Franklin Protective'!C55+'George Washington'!C55+'Golden State'!C55+'Guarantee Security'!C55+Imerica!C55+'Inter-American'!C55+'International Fin'!C55+'Investment Life of America'!C55+'Investors Equity'!C55+'Kentucky Central'!C55+Legion!C55+'London Pac'!C55+'Medical Savings'!C55+'Midwest Life'!C55+'Mutual Benefit'!C55+'Mutual Security'!C55+'National Affiliated'!C55+'Natl American'!C55+'New Jersey Life'!C55+'Old Colony Life'!C55+'Old Faithful'!C55+'Pacific Standard'!C55+SeeChange!C55+'States General'!C55+Statesman!C55+'Summit National'!C55+Supreme!C55+Underwriters!C55+Unison!C55+'United Republic'!C55+'Universal Life'!C55+Universe!C55+Villanova!C55</f>
        <v>1880643.3508899149</v>
      </c>
      <c r="D55" s="30">
        <f>+'Alabama Life'!D55+'American Chambers'!D55+'American Educators'!D55+'American Integrity'!D55+'Amer Life Asr'!D55+'Amer Std Life Acc'!D55+AmerWstrn!D55+'AMS Life'!D55+'Bankers Commercial'!D55+Benicorp!D55+'Booker T Washington'!D55+Centennial!D55+'Coastal States'!D55+'Confed Life (CLIC)'!D55+'Consolidated National'!D55+'Consumers United'!D55+'Corporate Life'!D55+'Diamond Benefits'!D55+'EBL Life'!D55+'Family Guaranty'!D55+'Fidelity Bankers'!D55+'First Natl'!D55+'Franklin American'!D55+'Franklin Protective'!D55+'George Washington'!D55+'Golden State'!D55+'Guarantee Security'!D55+Imerica!D55+'Inter-American'!D55+'International Fin'!D55+'Investment Life of America'!D55+'Investors Equity'!D55+'Kentucky Central'!D55+Legion!D55+'London Pac'!D55+'Medical Savings'!D55+'Midwest Life'!D55+'Mutual Benefit'!D55+'Mutual Security'!D55+'National Affiliated'!D55+'Natl American'!D55+'New Jersey Life'!D55+'Old Colony Life'!D55+'Old Faithful'!D55+'Pacific Standard'!D55+SeeChange!D55+'States General'!D55+Statesman!D55+'Summit National'!D55+Supreme!D55+Underwriters!D55+Unison!D55+'United Republic'!D55+'Universal Life'!D55+Universe!D55+Villanova!D55</f>
        <v>503315.23915222829</v>
      </c>
      <c r="E55" s="30">
        <f>+'Alabama Life'!E55+'American Chambers'!E55+'American Educators'!E55+'American Integrity'!E55+'Amer Life Asr'!E55+'Amer Std Life Acc'!E55+AmerWstrn!E55+'AMS Life'!E55+'Bankers Commercial'!E55+Benicorp!E55+'Booker T Washington'!E55+Centennial!E55+'Coastal States'!E55+'Confed Life (CLIC)'!E55+'Consolidated National'!E55+'Consumers United'!E55+'Corporate Life'!E55+'Diamond Benefits'!E55+'EBL Life'!E55+'Family Guaranty'!E55+'Fidelity Bankers'!E55+'First Natl'!E55+'Franklin American'!E55+'Franklin Protective'!E55+'George Washington'!E55+'Golden State'!E55+'Guarantee Security'!E55+Imerica!E55+'Inter-American'!E55+'International Fin'!E55+'Investment Life of America'!E55+'Investors Equity'!E55+'Kentucky Central'!E55+Legion!E55+'London Pac'!E55+'Medical Savings'!E55+'Midwest Life'!E55+'Mutual Benefit'!E55+'Mutual Security'!E55+'National Affiliated'!E55+'Natl American'!E55+'New Jersey Life'!E55+'Old Colony Life'!E55+'Old Faithful'!E55+'Pacific Standard'!E55+SeeChange!E55+'States General'!E55+Statesman!E55+'Summit National'!E55+Supreme!E55+Underwriters!E55+Unison!E55+'United Republic'!E55+'Universal Life'!E55+Universe!E55+Villanova!E55</f>
        <v>0</v>
      </c>
      <c r="F55" s="30">
        <f>+'Alabama Life'!F55+'American Chambers'!F55+'American Educators'!F55+'American Integrity'!F55+'Amer Life Asr'!F55+'Amer Std Life Acc'!F55+AmerWstrn!F55+'AMS Life'!F55+'Bankers Commercial'!F55+Benicorp!F55+'Booker T Washington'!F55+Centennial!F55+'Coastal States'!F55+'Confed Life (CLIC)'!F55+'Consolidated National'!F55+'Consumers United'!F55+'Corporate Life'!F55+'Diamond Benefits'!F55+'EBL Life'!F55+'Family Guaranty'!F55+'Fidelity Bankers'!F55+'First Natl'!F55+'Franklin American'!F55+'Franklin Protective'!F55+'George Washington'!F55+'Golden State'!F55+'Guarantee Security'!F55+Imerica!F55+'Inter-American'!F55+'International Fin'!F55+'Investment Life of America'!F55+'Investors Equity'!F55+'Kentucky Central'!F55+Legion!F55+'London Pac'!F55+'Medical Savings'!F55+'Midwest Life'!F55+'Mutual Benefit'!F55+'Mutual Security'!F55+'National Affiliated'!F55+'Natl American'!F55+'New Jersey Life'!F55+'Old Colony Life'!F55+'Old Faithful'!F55+'Pacific Standard'!F55+SeeChange!F55+'States General'!F55+Statesman!F55+'Summit National'!F55+Supreme!F55+Underwriters!F55+Unison!F55+'United Republic'!F55+'Universal Life'!F55+Universe!F55+Villanova!F55</f>
        <v>0</v>
      </c>
      <c r="G55" s="30">
        <f t="shared" si="1"/>
        <v>3415026.2663389375</v>
      </c>
      <c r="H55" s="30"/>
      <c r="I55" s="30" t="s">
        <v>556</v>
      </c>
      <c r="J55" s="30">
        <f>Summary!TOTAL_69302</f>
        <v>37530.230000000003</v>
      </c>
    </row>
    <row r="56" spans="1:10">
      <c r="A56" s="1" t="s">
        <v>77</v>
      </c>
      <c r="B56" s="30">
        <f>+'Alabama Life'!B56+'American Chambers'!B56+'American Educators'!B56+'American Integrity'!B56+'Amer Life Asr'!B56+'Amer Std Life Acc'!B56+AmerWstrn!B56+'AMS Life'!B56+'Bankers Commercial'!B56+Benicorp!B56+'Booker T Washington'!B56+Centennial!B56+'Coastal States'!B56+'Confed Life (CLIC)'!B56+'Consolidated National'!B56+'Consumers United'!B56+'Corporate Life'!B56+'Diamond Benefits'!B56+'EBL Life'!B56+'Family Guaranty'!B56+'Fidelity Bankers'!B56+'First Natl'!B56+'Franklin American'!B56+'Franklin Protective'!B56+'George Washington'!B56+'Golden State'!B56+'Guarantee Security'!B56+Imerica!B56+'Inter-American'!B56+'International Fin'!B56+'Investment Life of America'!B56+'Investors Equity'!B56+'Kentucky Central'!B56+Legion!B56+'London Pac'!B56+'Medical Savings'!B56+'Midwest Life'!B56+'Mutual Benefit'!B56+'Mutual Security'!B56+'National Affiliated'!B56+'Natl American'!B56+'New Jersey Life'!B56+'Old Colony Life'!B56+'Old Faithful'!B56+'Pacific Standard'!B56+SeeChange!B56+'States General'!B56+Statesman!B56+'Summit National'!B56+Supreme!B56+Underwriters!B56+Unison!B56+'United Republic'!B56+'Universal Life'!B56+Universe!B56+Villanova!B56</f>
        <v>14986211.949298579</v>
      </c>
      <c r="C56" s="30">
        <f>+'Alabama Life'!C56+'American Chambers'!C56+'American Educators'!C56+'American Integrity'!C56+'Amer Life Asr'!C56+'Amer Std Life Acc'!C56+AmerWstrn!C56+'AMS Life'!C56+'Bankers Commercial'!C56+Benicorp!C56+'Booker T Washington'!C56+Centennial!C56+'Coastal States'!C56+'Confed Life (CLIC)'!C56+'Consolidated National'!C56+'Consumers United'!C56+'Corporate Life'!C56+'Diamond Benefits'!C56+'EBL Life'!C56+'Family Guaranty'!C56+'Fidelity Bankers'!C56+'First Natl'!C56+'Franklin American'!C56+'Franklin Protective'!C56+'George Washington'!C56+'Golden State'!C56+'Guarantee Security'!C56+Imerica!C56+'Inter-American'!C56+'International Fin'!C56+'Investment Life of America'!C56+'Investors Equity'!C56+'Kentucky Central'!C56+Legion!C56+'London Pac'!C56+'Medical Savings'!C56+'Midwest Life'!C56+'Mutual Benefit'!C56+'Mutual Security'!C56+'National Affiliated'!C56+'Natl American'!C56+'New Jersey Life'!C56+'Old Colony Life'!C56+'Old Faithful'!C56+'Pacific Standard'!C56+SeeChange!C56+'States General'!C56+Statesman!C56+'Summit National'!C56+Supreme!C56+Underwriters!C56+Unison!C56+'United Republic'!C56+'Universal Life'!C56+Universe!C56+Villanova!C56</f>
        <v>6259752.2563557932</v>
      </c>
      <c r="D56" s="30">
        <f>+'Alabama Life'!D56+'American Chambers'!D56+'American Educators'!D56+'American Integrity'!D56+'Amer Life Asr'!D56+'Amer Std Life Acc'!D56+AmerWstrn!D56+'AMS Life'!D56+'Bankers Commercial'!D56+Benicorp!D56+'Booker T Washington'!D56+Centennial!D56+'Coastal States'!D56+'Confed Life (CLIC)'!D56+'Consolidated National'!D56+'Consumers United'!D56+'Corporate Life'!D56+'Diamond Benefits'!D56+'EBL Life'!D56+'Family Guaranty'!D56+'Fidelity Bankers'!D56+'First Natl'!D56+'Franklin American'!D56+'Franklin Protective'!D56+'George Washington'!D56+'Golden State'!D56+'Guarantee Security'!D56+Imerica!D56+'Inter-American'!D56+'International Fin'!D56+'Investment Life of America'!D56+'Investors Equity'!D56+'Kentucky Central'!D56+Legion!D56+'London Pac'!D56+'Medical Savings'!D56+'Midwest Life'!D56+'Mutual Benefit'!D56+'Mutual Security'!D56+'National Affiliated'!D56+'Natl American'!D56+'New Jersey Life'!D56+'Old Colony Life'!D56+'Old Faithful'!D56+'Pacific Standard'!D56+SeeChange!D56+'States General'!D56+Statesman!D56+'Summit National'!D56+Supreme!D56+Underwriters!D56+Unison!D56+'United Republic'!D56+'Universal Life'!D56+Universe!D56+Villanova!D56</f>
        <v>124191.32293266675</v>
      </c>
      <c r="E56" s="30">
        <f>+'Alabama Life'!E56+'American Chambers'!E56+'American Educators'!E56+'American Integrity'!E56+'Amer Life Asr'!E56+'Amer Std Life Acc'!E56+AmerWstrn!E56+'AMS Life'!E56+'Bankers Commercial'!E56+Benicorp!E56+'Booker T Washington'!E56+Centennial!E56+'Coastal States'!E56+'Confed Life (CLIC)'!E56+'Consolidated National'!E56+'Consumers United'!E56+'Corporate Life'!E56+'Diamond Benefits'!E56+'EBL Life'!E56+'Family Guaranty'!E56+'Fidelity Bankers'!E56+'First Natl'!E56+'Franklin American'!E56+'Franklin Protective'!E56+'George Washington'!E56+'Golden State'!E56+'Guarantee Security'!E56+Imerica!E56+'Inter-American'!E56+'International Fin'!E56+'Investment Life of America'!E56+'Investors Equity'!E56+'Kentucky Central'!E56+Legion!E56+'London Pac'!E56+'Medical Savings'!E56+'Midwest Life'!E56+'Mutual Benefit'!E56+'Mutual Security'!E56+'National Affiliated'!E56+'Natl American'!E56+'New Jersey Life'!E56+'Old Colony Life'!E56+'Old Faithful'!E56+'Pacific Standard'!E56+SeeChange!E56+'States General'!E56+Statesman!E56+'Summit National'!E56+Supreme!E56+Underwriters!E56+Unison!E56+'United Republic'!E56+'Universal Life'!E56+Universe!E56+Villanova!E56</f>
        <v>0</v>
      </c>
      <c r="F56" s="30">
        <f>+'Alabama Life'!F56+'American Chambers'!F56+'American Educators'!F56+'American Integrity'!F56+'Amer Life Asr'!F56+'Amer Std Life Acc'!F56+AmerWstrn!F56+'AMS Life'!F56+'Bankers Commercial'!F56+Benicorp!F56+'Booker T Washington'!F56+Centennial!F56+'Coastal States'!F56+'Confed Life (CLIC)'!F56+'Consolidated National'!F56+'Consumers United'!F56+'Corporate Life'!F56+'Diamond Benefits'!F56+'EBL Life'!F56+'Family Guaranty'!F56+'Fidelity Bankers'!F56+'First Natl'!F56+'Franklin American'!F56+'Franklin Protective'!F56+'George Washington'!F56+'Golden State'!F56+'Guarantee Security'!F56+Imerica!F56+'Inter-American'!F56+'International Fin'!F56+'Investment Life of America'!F56+'Investors Equity'!F56+'Kentucky Central'!F56+Legion!F56+'London Pac'!F56+'Medical Savings'!F56+'Midwest Life'!F56+'Mutual Benefit'!F56+'Mutual Security'!F56+'National Affiliated'!F56+'Natl American'!F56+'New Jersey Life'!F56+'Old Colony Life'!F56+'Old Faithful'!F56+'Pacific Standard'!F56+SeeChange!F56+'States General'!F56+Statesman!F56+'Summit National'!F56+Supreme!F56+Underwriters!F56+Unison!F56+'United Republic'!F56+'Universal Life'!F56+Universe!F56+Villanova!F56</f>
        <v>0</v>
      </c>
      <c r="G56" s="30">
        <f t="shared" si="1"/>
        <v>21370155.52858704</v>
      </c>
      <c r="H56" s="30"/>
      <c r="I56" s="30" t="s">
        <v>560</v>
      </c>
      <c r="J56" s="30">
        <f>Summary!TOTAL_88188</f>
        <v>8106994</v>
      </c>
    </row>
    <row r="57" spans="1:10">
      <c r="A57" s="1" t="s">
        <v>78</v>
      </c>
      <c r="B57" s="30">
        <f>+'Alabama Life'!B57+'American Chambers'!B57+'American Educators'!B57+'American Integrity'!B57+'Amer Life Asr'!B57+'Amer Std Life Acc'!B57+AmerWstrn!B57+'AMS Life'!B57+'Bankers Commercial'!B57+Benicorp!B57+'Booker T Washington'!B57+Centennial!B57+'Coastal States'!B57+'Confed Life (CLIC)'!B57+'Consolidated National'!B57+'Consumers United'!B57+'Corporate Life'!B57+'Diamond Benefits'!B57+'EBL Life'!B57+'Family Guaranty'!B57+'Fidelity Bankers'!B57+'First Natl'!B57+'Franklin American'!B57+'Franklin Protective'!B57+'George Washington'!B57+'Golden State'!B57+'Guarantee Security'!B57+Imerica!B57+'Inter-American'!B57+'International Fin'!B57+'Investment Life of America'!B57+'Investors Equity'!B57+'Kentucky Central'!B57+Legion!B57+'London Pac'!B57+'Medical Savings'!B57+'Midwest Life'!B57+'Mutual Benefit'!B57+'Mutual Security'!B57+'National Affiliated'!B57+'Natl American'!B57+'New Jersey Life'!B57+'Old Colony Life'!B57+'Old Faithful'!B57+'Pacific Standard'!B57+SeeChange!B57+'States General'!B57+Statesman!B57+'Summit National'!B57+Supreme!B57+Underwriters!B57+Unison!B57+'United Republic'!B57+'Universal Life'!B57+Universe!B57+Villanova!B57</f>
        <v>963210.79744762019</v>
      </c>
      <c r="C57" s="30">
        <f>+'Alabama Life'!C57+'American Chambers'!C57+'American Educators'!C57+'American Integrity'!C57+'Amer Life Asr'!C57+'Amer Std Life Acc'!C57+AmerWstrn!C57+'AMS Life'!C57+'Bankers Commercial'!C57+Benicorp!C57+'Booker T Washington'!C57+Centennial!C57+'Coastal States'!C57+'Confed Life (CLIC)'!C57+'Consolidated National'!C57+'Consumers United'!C57+'Corporate Life'!C57+'Diamond Benefits'!C57+'EBL Life'!C57+'Family Guaranty'!C57+'Fidelity Bankers'!C57+'First Natl'!C57+'Franklin American'!C57+'Franklin Protective'!C57+'George Washington'!C57+'Golden State'!C57+'Guarantee Security'!C57+Imerica!C57+'Inter-American'!C57+'International Fin'!C57+'Investment Life of America'!C57+'Investors Equity'!C57+'Kentucky Central'!C57+Legion!C57+'London Pac'!C57+'Medical Savings'!C57+'Midwest Life'!C57+'Mutual Benefit'!C57+'Mutual Security'!C57+'National Affiliated'!C57+'Natl American'!C57+'New Jersey Life'!C57+'Old Colony Life'!C57+'Old Faithful'!C57+'Pacific Standard'!C57+SeeChange!C57+'States General'!C57+Statesman!C57+'Summit National'!C57+Supreme!C57+Underwriters!C57+Unison!C57+'United Republic'!C57+'Universal Life'!C57+Universe!C57+Villanova!C57</f>
        <v>2430640.1480186791</v>
      </c>
      <c r="D57" s="30">
        <f>+'Alabama Life'!D57+'American Chambers'!D57+'American Educators'!D57+'American Integrity'!D57+'Amer Life Asr'!D57+'Amer Std Life Acc'!D57+AmerWstrn!D57+'AMS Life'!D57+'Bankers Commercial'!D57+Benicorp!D57+'Booker T Washington'!D57+Centennial!D57+'Coastal States'!D57+'Confed Life (CLIC)'!D57+'Consolidated National'!D57+'Consumers United'!D57+'Corporate Life'!D57+'Diamond Benefits'!D57+'EBL Life'!D57+'Family Guaranty'!D57+'Fidelity Bankers'!D57+'First Natl'!D57+'Franklin American'!D57+'Franklin Protective'!D57+'George Washington'!D57+'Golden State'!D57+'Guarantee Security'!D57+Imerica!D57+'Inter-American'!D57+'International Fin'!D57+'Investment Life of America'!D57+'Investors Equity'!D57+'Kentucky Central'!D57+Legion!D57+'London Pac'!D57+'Medical Savings'!D57+'Midwest Life'!D57+'Mutual Benefit'!D57+'Mutual Security'!D57+'National Affiliated'!D57+'Natl American'!D57+'New Jersey Life'!D57+'Old Colony Life'!D57+'Old Faithful'!D57+'Pacific Standard'!D57+SeeChange!D57+'States General'!D57+Statesman!D57+'Summit National'!D57+Supreme!D57+Underwriters!D57+Unison!D57+'United Republic'!D57+'Universal Life'!D57+Universe!D57+Villanova!D57</f>
        <v>439084.10154284746</v>
      </c>
      <c r="E57" s="30">
        <f>+'Alabama Life'!E57+'American Chambers'!E57+'American Educators'!E57+'American Integrity'!E57+'Amer Life Asr'!E57+'Amer Std Life Acc'!E57+AmerWstrn!E57+'AMS Life'!E57+'Bankers Commercial'!E57+Benicorp!E57+'Booker T Washington'!E57+Centennial!E57+'Coastal States'!E57+'Confed Life (CLIC)'!E57+'Consolidated National'!E57+'Consumers United'!E57+'Corporate Life'!E57+'Diamond Benefits'!E57+'EBL Life'!E57+'Family Guaranty'!E57+'Fidelity Bankers'!E57+'First Natl'!E57+'Franklin American'!E57+'Franklin Protective'!E57+'George Washington'!E57+'Golden State'!E57+'Guarantee Security'!E57+Imerica!E57+'Inter-American'!E57+'International Fin'!E57+'Investment Life of America'!E57+'Investors Equity'!E57+'Kentucky Central'!E57+Legion!E57+'London Pac'!E57+'Medical Savings'!E57+'Midwest Life'!E57+'Mutual Benefit'!E57+'Mutual Security'!E57+'National Affiliated'!E57+'Natl American'!E57+'New Jersey Life'!E57+'Old Colony Life'!E57+'Old Faithful'!E57+'Pacific Standard'!E57+SeeChange!E57+'States General'!E57+Statesman!E57+'Summit National'!E57+Supreme!E57+Underwriters!E57+Unison!E57+'United Republic'!E57+'Universal Life'!E57+Universe!E57+Villanova!E57</f>
        <v>0</v>
      </c>
      <c r="F57" s="30">
        <f>+'Alabama Life'!F57+'American Chambers'!F57+'American Educators'!F57+'American Integrity'!F57+'Amer Life Asr'!F57+'Amer Std Life Acc'!F57+AmerWstrn!F57+'AMS Life'!F57+'Bankers Commercial'!F57+Benicorp!F57+'Booker T Washington'!F57+Centennial!F57+'Coastal States'!F57+'Confed Life (CLIC)'!F57+'Consolidated National'!F57+'Consumers United'!F57+'Corporate Life'!F57+'Diamond Benefits'!F57+'EBL Life'!F57+'Family Guaranty'!F57+'Fidelity Bankers'!F57+'First Natl'!F57+'Franklin American'!F57+'Franklin Protective'!F57+'George Washington'!F57+'Golden State'!F57+'Guarantee Security'!F57+Imerica!F57+'Inter-American'!F57+'International Fin'!F57+'Investment Life of America'!F57+'Investors Equity'!F57+'Kentucky Central'!F57+Legion!F57+'London Pac'!F57+'Medical Savings'!F57+'Midwest Life'!F57+'Mutual Benefit'!F57+'Mutual Security'!F57+'National Affiliated'!F57+'Natl American'!F57+'New Jersey Life'!F57+'Old Colony Life'!F57+'Old Faithful'!F57+'Pacific Standard'!F57+SeeChange!F57+'States General'!F57+Statesman!F57+'Summit National'!F57+Supreme!F57+Underwriters!F57+Unison!F57+'United Republic'!F57+'Universal Life'!F57+Universe!F57+Villanova!F57</f>
        <v>0</v>
      </c>
      <c r="G57" s="30">
        <f t="shared" si="1"/>
        <v>3832935.0470091468</v>
      </c>
      <c r="H57" s="30"/>
      <c r="I57" s="30" t="s">
        <v>566</v>
      </c>
      <c r="J57" s="30">
        <f>Summary!TOTAL_68055</f>
        <v>13414920.088913551</v>
      </c>
    </row>
    <row r="58" spans="1:10">
      <c r="A58" s="1" t="s">
        <v>79</v>
      </c>
      <c r="B58" s="30">
        <f>+'Alabama Life'!B58+'American Chambers'!B58+'American Educators'!B58+'American Integrity'!B58+'Amer Life Asr'!B58+'Amer Std Life Acc'!B58+AmerWstrn!B58+'AMS Life'!B58+'Bankers Commercial'!B58+Benicorp!B58+'Booker T Washington'!B58+Centennial!B58+'Coastal States'!B58+'Confed Life (CLIC)'!B58+'Consolidated National'!B58+'Consumers United'!B58+'Corporate Life'!B58+'Diamond Benefits'!B58+'EBL Life'!B58+'Family Guaranty'!B58+'Fidelity Bankers'!B58+'First Natl'!B58+'Franklin American'!B58+'Franklin Protective'!B58+'George Washington'!B58+'Golden State'!B58+'Guarantee Security'!B58+Imerica!B58+'Inter-American'!B58+'International Fin'!B58+'Investment Life of America'!B58+'Investors Equity'!B58+'Kentucky Central'!B58+Legion!B58+'London Pac'!B58+'Medical Savings'!B58+'Midwest Life'!B58+'Mutual Benefit'!B58+'Mutual Security'!B58+'National Affiliated'!B58+'Natl American'!B58+'New Jersey Life'!B58+'Old Colony Life'!B58+'Old Faithful'!B58+'Pacific Standard'!B58+SeeChange!B58+'States General'!B58+Statesman!B58+'Summit National'!B58+Supreme!B58+Underwriters!B58+Unison!B58+'United Republic'!B58+'Universal Life'!B58+Universe!B58+Villanova!B58</f>
        <v>1</v>
      </c>
      <c r="C58" s="30">
        <f>+'Alabama Life'!C58+'American Chambers'!C58+'American Educators'!C58+'American Integrity'!C58+'Amer Life Asr'!C58+'Amer Std Life Acc'!C58+AmerWstrn!C58+'AMS Life'!C58+'Bankers Commercial'!C58+Benicorp!C58+'Booker T Washington'!C58+Centennial!C58+'Coastal States'!C58+'Confed Life (CLIC)'!C58+'Consolidated National'!C58+'Consumers United'!C58+'Corporate Life'!C58+'Diamond Benefits'!C58+'EBL Life'!C58+'Family Guaranty'!C58+'Fidelity Bankers'!C58+'First Natl'!C58+'Franklin American'!C58+'Franklin Protective'!C58+'George Washington'!C58+'Golden State'!C58+'Guarantee Security'!C58+Imerica!C58+'Inter-American'!C58+'International Fin'!C58+'Investment Life of America'!C58+'Investors Equity'!C58+'Kentucky Central'!C58+Legion!C58+'London Pac'!C58+'Medical Savings'!C58+'Midwest Life'!C58+'Mutual Benefit'!C58+'Mutual Security'!C58+'National Affiliated'!C58+'Natl American'!C58+'New Jersey Life'!C58+'Old Colony Life'!C58+'Old Faithful'!C58+'Pacific Standard'!C58+SeeChange!C58+'States General'!C58+Statesman!C58+'Summit National'!C58+Supreme!C58+Underwriters!C58+Unison!C58+'United Republic'!C58+'Universal Life'!C58+Universe!C58+Villanova!C58</f>
        <v>0</v>
      </c>
      <c r="D58" s="30">
        <f>+'Alabama Life'!D58+'American Chambers'!D58+'American Educators'!D58+'American Integrity'!D58+'Amer Life Asr'!D58+'Amer Std Life Acc'!D58+AmerWstrn!D58+'AMS Life'!D58+'Bankers Commercial'!D58+Benicorp!D58+'Booker T Washington'!D58+Centennial!D58+'Coastal States'!D58+'Confed Life (CLIC)'!D58+'Consolidated National'!D58+'Consumers United'!D58+'Corporate Life'!D58+'Diamond Benefits'!D58+'EBL Life'!D58+'Family Guaranty'!D58+'Fidelity Bankers'!D58+'First Natl'!D58+'Franklin American'!D58+'Franklin Protective'!D58+'George Washington'!D58+'Golden State'!D58+'Guarantee Security'!D58+Imerica!D58+'Inter-American'!D58+'International Fin'!D58+'Investment Life of America'!D58+'Investors Equity'!D58+'Kentucky Central'!D58+Legion!D58+'London Pac'!D58+'Medical Savings'!D58+'Midwest Life'!D58+'Mutual Benefit'!D58+'Mutual Security'!D58+'National Affiliated'!D58+'Natl American'!D58+'New Jersey Life'!D58+'Old Colony Life'!D58+'Old Faithful'!D58+'Pacific Standard'!D58+SeeChange!D58+'States General'!D58+Statesman!D58+'Summit National'!D58+Supreme!D58+Underwriters!D58+Unison!D58+'United Republic'!D58+'Universal Life'!D58+Universe!D58+Villanova!D58</f>
        <v>13543.189376251059</v>
      </c>
      <c r="E58" s="30">
        <f>+'Alabama Life'!E58+'American Chambers'!E58+'American Educators'!E58+'American Integrity'!E58+'Amer Life Asr'!E58+'Amer Std Life Acc'!E58+AmerWstrn!E58+'AMS Life'!E58+'Bankers Commercial'!E58+Benicorp!E58+'Booker T Washington'!E58+Centennial!E58+'Coastal States'!E58+'Confed Life (CLIC)'!E58+'Consolidated National'!E58+'Consumers United'!E58+'Corporate Life'!E58+'Diamond Benefits'!E58+'EBL Life'!E58+'Family Guaranty'!E58+'Fidelity Bankers'!E58+'First Natl'!E58+'Franklin American'!E58+'Franklin Protective'!E58+'George Washington'!E58+'Golden State'!E58+'Guarantee Security'!E58+Imerica!E58+'Inter-American'!E58+'International Fin'!E58+'Investment Life of America'!E58+'Investors Equity'!E58+'Kentucky Central'!E58+Legion!E58+'London Pac'!E58+'Medical Savings'!E58+'Midwest Life'!E58+'Mutual Benefit'!E58+'Mutual Security'!E58+'National Affiliated'!E58+'Natl American'!E58+'New Jersey Life'!E58+'Old Colony Life'!E58+'Old Faithful'!E58+'Pacific Standard'!E58+SeeChange!E58+'States General'!E58+Statesman!E58+'Summit National'!E58+Supreme!E58+Underwriters!E58+Unison!E58+'United Republic'!E58+'Universal Life'!E58+Universe!E58+Villanova!E58</f>
        <v>0</v>
      </c>
      <c r="F58" s="30">
        <f>+'Alabama Life'!F58+'American Chambers'!F58+'American Educators'!F58+'American Integrity'!F58+'Amer Life Asr'!F58+'Amer Std Life Acc'!F58+AmerWstrn!F58+'AMS Life'!F58+'Bankers Commercial'!F58+Benicorp!F58+'Booker T Washington'!F58+Centennial!F58+'Coastal States'!F58+'Confed Life (CLIC)'!F58+'Consolidated National'!F58+'Consumers United'!F58+'Corporate Life'!F58+'Diamond Benefits'!F58+'EBL Life'!F58+'Family Guaranty'!F58+'Fidelity Bankers'!F58+'First Natl'!F58+'Franklin American'!F58+'Franklin Protective'!F58+'George Washington'!F58+'Golden State'!F58+'Guarantee Security'!F58+Imerica!F58+'Inter-American'!F58+'International Fin'!F58+'Investment Life of America'!F58+'Investors Equity'!F58+'Kentucky Central'!F58+Legion!F58+'London Pac'!F58+'Medical Savings'!F58+'Midwest Life'!F58+'Mutual Benefit'!F58+'Mutual Security'!F58+'National Affiliated'!F58+'Natl American'!F58+'New Jersey Life'!F58+'Old Colony Life'!F58+'Old Faithful'!F58+'Pacific Standard'!F58+SeeChange!F58+'States General'!F58+Statesman!F58+'Summit National'!F58+Supreme!F58+Underwriters!F58+Unison!F58+'United Republic'!F58+'Universal Life'!F58+Universe!F58+Villanova!F58</f>
        <v>0</v>
      </c>
      <c r="G58" s="30">
        <f t="shared" si="1"/>
        <v>13544.189376251059</v>
      </c>
      <c r="H58" s="30"/>
      <c r="I58" s="30" t="s">
        <v>569</v>
      </c>
      <c r="J58" s="30">
        <f>Summary!TOTAL_93238</f>
        <v>40667.22</v>
      </c>
    </row>
    <row r="59" spans="1:10">
      <c r="B59" s="30"/>
      <c r="C59" s="30"/>
      <c r="D59" s="30"/>
      <c r="E59" s="30"/>
      <c r="F59" s="30"/>
      <c r="G59" s="30"/>
      <c r="H59" s="30"/>
      <c r="I59" s="30" t="s">
        <v>574</v>
      </c>
      <c r="J59" s="30">
        <f>Summary!TOTAL_70157</f>
        <v>3278556.7039781124</v>
      </c>
    </row>
    <row r="60" spans="1:10">
      <c r="B60" s="30"/>
      <c r="C60" s="30"/>
      <c r="D60" s="30"/>
      <c r="E60" s="30"/>
      <c r="F60" s="30"/>
      <c r="G60" s="30"/>
      <c r="H60" s="30"/>
      <c r="I60" s="30" t="s">
        <v>577</v>
      </c>
      <c r="J60" s="30">
        <f>Summary!TOTAL_70181</f>
        <v>10397891.84</v>
      </c>
    </row>
    <row r="61" spans="1:10">
      <c r="A61" s="1" t="s">
        <v>8</v>
      </c>
      <c r="B61" s="30">
        <f>SUM(LIFE)</f>
        <v>290527157.48123699</v>
      </c>
      <c r="C61" s="30">
        <f>SUM(ALLOCATED)</f>
        <v>608898588.94392586</v>
      </c>
      <c r="D61" s="30">
        <f>SUM(HEALTH)</f>
        <v>183413866.54002938</v>
      </c>
      <c r="E61" s="30">
        <f>SUM(UNALLOCATED)</f>
        <v>22452017.039440565</v>
      </c>
      <c r="F61" s="30">
        <f>SUM(LTC)</f>
        <v>0</v>
      </c>
      <c r="G61" s="30">
        <f>SUM(TOTAL)</f>
        <v>1105291630.0046329</v>
      </c>
      <c r="H61" s="30"/>
      <c r="I61" s="30" t="s">
        <v>583</v>
      </c>
      <c r="J61" s="30">
        <f>Summary!TOTAL_19577</f>
        <v>0</v>
      </c>
    </row>
    <row r="63" spans="1:10">
      <c r="I63" s="1" t="s">
        <v>8</v>
      </c>
      <c r="J63" s="1">
        <f>SUM(REC_TOTAL)</f>
        <v>1105291630.0046325</v>
      </c>
    </row>
    <row r="64" spans="1:10">
      <c r="I64" s="1" t="s">
        <v>617</v>
      </c>
      <c r="J64" s="1">
        <f>SUM(TOTAL)</f>
        <v>1105291630.0046329</v>
      </c>
    </row>
    <row r="65" spans="10:10">
      <c r="J65" s="1">
        <f>SUM(TOTAL)-SUM(REC_TOTAL)</f>
        <v>0</v>
      </c>
    </row>
  </sheetData>
  <mergeCells count="1">
    <mergeCell ref="A1:G1"/>
  </mergeCells>
  <pageMargins left="0.25" right="0.25" top="0.5" bottom="0.5" header="0.3" footer="0.3"/>
  <pageSetup paperSize="5" scale="56"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pageSetUpPr fitToPage="1"/>
  </sheetPr>
  <dimension ref="A1:J61"/>
  <sheetViews>
    <sheetView zoomScale="75" workbookViewId="0">
      <selection activeCell="G27" sqref="G27"/>
    </sheetView>
  </sheetViews>
  <sheetFormatPr defaultRowHeight="15"/>
  <cols>
    <col min="1" max="1" width="20" style="1" customWidth="1"/>
    <col min="2" max="7" width="15" style="1" customWidth="1"/>
    <col min="8" max="8" width="9.140625" style="1" customWidth="1"/>
    <col min="9" max="9" width="40" style="1" customWidth="1"/>
    <col min="10" max="10" width="15" style="1" customWidth="1"/>
    <col min="11" max="11" width="9.140625" style="1" customWidth="1"/>
    <col min="12" max="16384" width="9.140625" style="1"/>
  </cols>
  <sheetData>
    <row r="1" spans="1:10">
      <c r="A1" s="144" t="s">
        <v>621</v>
      </c>
      <c r="B1" s="144"/>
      <c r="C1" s="144"/>
      <c r="D1" s="144"/>
      <c r="E1" s="144"/>
      <c r="F1" s="144"/>
      <c r="G1" s="144"/>
    </row>
    <row r="3" spans="1:10">
      <c r="B3" s="3"/>
      <c r="C3" s="3" t="s">
        <v>614</v>
      </c>
      <c r="D3" s="3"/>
      <c r="E3" s="3" t="s">
        <v>615</v>
      </c>
      <c r="F3" s="3"/>
      <c r="G3" s="3"/>
    </row>
    <row r="4" spans="1:10">
      <c r="B4" s="3" t="s">
        <v>3</v>
      </c>
      <c r="C4" s="3" t="s">
        <v>616</v>
      </c>
      <c r="D4" s="3" t="s">
        <v>5</v>
      </c>
      <c r="E4" s="3" t="s">
        <v>616</v>
      </c>
      <c r="F4" s="3" t="s">
        <v>7</v>
      </c>
      <c r="G4" s="3" t="s">
        <v>8</v>
      </c>
    </row>
    <row r="6" spans="1:10">
      <c r="A6" s="1" t="s">
        <v>11</v>
      </c>
      <c r="B6" s="30">
        <f>+'American Community'!B6+'Confed Life &amp; Annty (CLIAC)'!B6+'Fidelity Mutual'!B6+'First Capital'!B6+Midcontinent!B6+Settlers!B6+Shenandoah!B6</f>
        <v>28204.349710555311</v>
      </c>
      <c r="C6" s="30">
        <f>+'American Community'!C6+'Confed Life &amp; Annty (CLIAC)'!C6+'Fidelity Mutual'!C6+'First Capital'!C6+Midcontinent!C6+Settlers!C6+Shenandoah!C6</f>
        <v>1649.9212756765421</v>
      </c>
      <c r="D6" s="30">
        <f>+'American Community'!D6+'Confed Life &amp; Annty (CLIAC)'!D6+'Fidelity Mutual'!D6+'First Capital'!D6+Midcontinent!D6+Settlers!D6+Shenandoah!D6</f>
        <v>1314.1489612423181</v>
      </c>
      <c r="E6" s="30">
        <f>+'American Community'!E6+'Confed Life &amp; Annty (CLIAC)'!E6+'Fidelity Mutual'!E6+'First Capital'!E6+Midcontinent!E6+Settlers!E6+Shenandoah!E6</f>
        <v>0</v>
      </c>
      <c r="F6" s="30">
        <f>+'American Community'!F6+'Confed Life &amp; Annty (CLIAC)'!F6+'Fidelity Mutual'!F6+'First Capital'!F6+Midcontinent!F6+Settlers!F6+Shenandoah!F6</f>
        <v>0</v>
      </c>
      <c r="G6" s="30">
        <f t="shared" ref="G6:G37" si="0">SUM(B6:F6)</f>
        <v>31168.419947474169</v>
      </c>
      <c r="H6" s="30"/>
      <c r="I6" s="30" t="s">
        <v>587</v>
      </c>
      <c r="J6" s="30">
        <f>Summary!TOTAL_60305</f>
        <v>273213.37</v>
      </c>
    </row>
    <row r="7" spans="1:10" ht="30">
      <c r="A7" s="1" t="s">
        <v>12</v>
      </c>
      <c r="B7" s="30">
        <f>+'American Community'!B7+'Confed Life &amp; Annty (CLIAC)'!B7+'Fidelity Mutual'!B7+'First Capital'!B7+Midcontinent!B7+Settlers!B7+Shenandoah!B7</f>
        <v>56.965968690487045</v>
      </c>
      <c r="C7" s="30">
        <f>+'American Community'!C7+'Confed Life &amp; Annty (CLIAC)'!C7+'Fidelity Mutual'!C7+'First Capital'!C7+Midcontinent!C7+Settlers!C7+Shenandoah!C7</f>
        <v>8.2835661522373556</v>
      </c>
      <c r="D7" s="30">
        <f>+'American Community'!D7+'Confed Life &amp; Annty (CLIAC)'!D7+'Fidelity Mutual'!D7+'First Capital'!D7+Midcontinent!D7+Settlers!D7+Shenandoah!D7</f>
        <v>0</v>
      </c>
      <c r="E7" s="30">
        <f>+'American Community'!E7+'Confed Life &amp; Annty (CLIAC)'!E7+'Fidelity Mutual'!E7+'First Capital'!E7+Midcontinent!E7+Settlers!E7+Shenandoah!E7</f>
        <v>0</v>
      </c>
      <c r="F7" s="30">
        <f>+'American Community'!F7+'Confed Life &amp; Annty (CLIAC)'!F7+'Fidelity Mutual'!F7+'First Capital'!F7+Midcontinent!F7+Settlers!F7+Shenandoah!F7</f>
        <v>0</v>
      </c>
      <c r="G7" s="30">
        <f t="shared" si="0"/>
        <v>65.249534842724401</v>
      </c>
      <c r="H7" s="30"/>
      <c r="I7" s="30" t="s">
        <v>590</v>
      </c>
      <c r="J7" s="30">
        <f>Summary!TOTAL_99384</f>
        <v>0</v>
      </c>
    </row>
    <row r="8" spans="1:10">
      <c r="A8" s="1" t="s">
        <v>13</v>
      </c>
      <c r="B8" s="30">
        <f>+'American Community'!B8+'Confed Life &amp; Annty (CLIAC)'!B8+'Fidelity Mutual'!B8+'First Capital'!B8+Midcontinent!B8+Settlers!B8+Shenandoah!B8</f>
        <v>22862.913950288934</v>
      </c>
      <c r="C8" s="30">
        <f>+'American Community'!C8+'Confed Life &amp; Annty (CLIAC)'!C8+'Fidelity Mutual'!C8+'First Capital'!C8+Midcontinent!C8+Settlers!C8+Shenandoah!C8</f>
        <v>1220.1621037028876</v>
      </c>
      <c r="D8" s="30">
        <f>+'American Community'!D8+'Confed Life &amp; Annty (CLIAC)'!D8+'Fidelity Mutual'!D8+'First Capital'!D8+Midcontinent!D8+Settlers!D8+Shenandoah!D8</f>
        <v>27716.371017493329</v>
      </c>
      <c r="E8" s="30">
        <f>+'American Community'!E8+'Confed Life &amp; Annty (CLIAC)'!E8+'Fidelity Mutual'!E8+'First Capital'!E8+Midcontinent!E8+Settlers!E8+Shenandoah!E8</f>
        <v>0</v>
      </c>
      <c r="F8" s="30">
        <f>+'American Community'!F8+'Confed Life &amp; Annty (CLIAC)'!F8+'Fidelity Mutual'!F8+'First Capital'!F8+Midcontinent!F8+Settlers!F8+Shenandoah!F8</f>
        <v>0</v>
      </c>
      <c r="G8" s="30">
        <f t="shared" si="0"/>
        <v>51799.447071485149</v>
      </c>
      <c r="H8" s="30"/>
      <c r="I8" s="30" t="s">
        <v>594</v>
      </c>
      <c r="J8" s="30">
        <f>Summary!TOTAL_63304</f>
        <v>1276371.1400000001</v>
      </c>
    </row>
    <row r="9" spans="1:10">
      <c r="A9" s="1" t="s">
        <v>15</v>
      </c>
      <c r="B9" s="30">
        <f>+'American Community'!B9+'Confed Life &amp; Annty (CLIAC)'!B9+'Fidelity Mutual'!B9+'First Capital'!B9+Midcontinent!B9+Settlers!B9+Shenandoah!B9</f>
        <v>11971.722466609799</v>
      </c>
      <c r="C9" s="30">
        <f>+'American Community'!C9+'Confed Life &amp; Annty (CLIAC)'!C9+'Fidelity Mutual'!C9+'First Capital'!C9+Midcontinent!C9+Settlers!C9+Shenandoah!C9</f>
        <v>1088.2489535994525</v>
      </c>
      <c r="D9" s="30">
        <f>+'American Community'!D9+'Confed Life &amp; Annty (CLIAC)'!D9+'Fidelity Mutual'!D9+'First Capital'!D9+Midcontinent!D9+Settlers!D9+Shenandoah!D9</f>
        <v>2625.7975041475447</v>
      </c>
      <c r="E9" s="30">
        <f>+'American Community'!E9+'Confed Life &amp; Annty (CLIAC)'!E9+'Fidelity Mutual'!E9+'First Capital'!E9+Midcontinent!E9+Settlers!E9+Shenandoah!E9</f>
        <v>0</v>
      </c>
      <c r="F9" s="30">
        <f>+'American Community'!F9+'Confed Life &amp; Annty (CLIAC)'!F9+'Fidelity Mutual'!F9+'First Capital'!F9+Midcontinent!F9+Settlers!F9+Shenandoah!F9</f>
        <v>0</v>
      </c>
      <c r="G9" s="30">
        <f t="shared" si="0"/>
        <v>15685.768924356795</v>
      </c>
      <c r="H9" s="30"/>
      <c r="I9" s="30" t="s">
        <v>598</v>
      </c>
      <c r="J9" s="30">
        <f>Summary!TOTAL_65447</f>
        <v>47329.740000000049</v>
      </c>
    </row>
    <row r="10" spans="1:10">
      <c r="A10" s="1" t="s">
        <v>16</v>
      </c>
      <c r="B10" s="30">
        <f>+'American Community'!B10+'Confed Life &amp; Annty (CLIAC)'!B10+'Fidelity Mutual'!B10+'First Capital'!B10+Midcontinent!B10+Settlers!B10+Shenandoah!B10</f>
        <v>142559.1047286228</v>
      </c>
      <c r="C10" s="30">
        <f>+'American Community'!C10+'Confed Life &amp; Annty (CLIAC)'!C10+'Fidelity Mutual'!C10+'First Capital'!C10+Midcontinent!C10+Settlers!C10+Shenandoah!C10</f>
        <v>3917.3048132099357</v>
      </c>
      <c r="D10" s="30">
        <f>+'American Community'!D10+'Confed Life &amp; Annty (CLIAC)'!D10+'Fidelity Mutual'!D10+'First Capital'!D10+Midcontinent!D10+Settlers!D10+Shenandoah!D10</f>
        <v>2.6909021351687188</v>
      </c>
      <c r="E10" s="30">
        <f>+'American Community'!E10+'Confed Life &amp; Annty (CLIAC)'!E10+'Fidelity Mutual'!E10+'First Capital'!E10+Midcontinent!E10+Settlers!E10+Shenandoah!E10</f>
        <v>0</v>
      </c>
      <c r="F10" s="30">
        <f>+'American Community'!F10+'Confed Life &amp; Annty (CLIAC)'!F10+'Fidelity Mutual'!F10+'First Capital'!F10+Midcontinent!F10+Settlers!F10+Shenandoah!F10</f>
        <v>0</v>
      </c>
      <c r="G10" s="30">
        <f t="shared" si="0"/>
        <v>146479.10044396791</v>
      </c>
      <c r="H10" s="30"/>
      <c r="I10" s="30" t="s">
        <v>602</v>
      </c>
      <c r="J10" s="30">
        <f>Summary!TOTAL_66001</f>
        <v>368170.78999999992</v>
      </c>
    </row>
    <row r="11" spans="1:10">
      <c r="A11" s="1" t="s">
        <v>18</v>
      </c>
      <c r="B11" s="30">
        <f>+'American Community'!B11+'Confed Life &amp; Annty (CLIAC)'!B11+'Fidelity Mutual'!B11+'First Capital'!B11+Midcontinent!B11+Settlers!B11+Shenandoah!B11</f>
        <v>33736.153118546972</v>
      </c>
      <c r="C11" s="30">
        <f>+'American Community'!C11+'Confed Life &amp; Annty (CLIAC)'!C11+'Fidelity Mutual'!C11+'First Capital'!C11+Midcontinent!C11+Settlers!C11+Shenandoah!C11</f>
        <v>3195.017750083352</v>
      </c>
      <c r="D11" s="30">
        <f>+'American Community'!D11+'Confed Life &amp; Annty (CLIAC)'!D11+'Fidelity Mutual'!D11+'First Capital'!D11+Midcontinent!D11+Settlers!D11+Shenandoah!D11</f>
        <v>338.16802879800002</v>
      </c>
      <c r="E11" s="30">
        <f>+'American Community'!E11+'Confed Life &amp; Annty (CLIAC)'!E11+'Fidelity Mutual'!E11+'First Capital'!E11+Midcontinent!E11+Settlers!E11+Shenandoah!E11</f>
        <v>0</v>
      </c>
      <c r="F11" s="30">
        <f>+'American Community'!F11+'Confed Life &amp; Annty (CLIAC)'!F11+'Fidelity Mutual'!F11+'First Capital'!F11+Midcontinent!F11+Settlers!F11+Shenandoah!F11</f>
        <v>0</v>
      </c>
      <c r="G11" s="30">
        <f t="shared" si="0"/>
        <v>37269.338897428323</v>
      </c>
      <c r="H11" s="30"/>
      <c r="I11" s="30" t="s">
        <v>605</v>
      </c>
      <c r="J11" s="30">
        <f>Summary!TOTAL_64220</f>
        <v>127565</v>
      </c>
    </row>
    <row r="12" spans="1:10">
      <c r="A12" s="1" t="s">
        <v>19</v>
      </c>
      <c r="B12" s="30">
        <f>+'American Community'!B12+'Confed Life &amp; Annty (CLIAC)'!B12+'Fidelity Mutual'!B12+'First Capital'!B12+Midcontinent!B12+Settlers!B12+Shenandoah!B12</f>
        <v>12949.75385917723</v>
      </c>
      <c r="C12" s="30">
        <f>+'American Community'!C12+'Confed Life &amp; Annty (CLIAC)'!C12+'Fidelity Mutual'!C12+'First Capital'!C12+Midcontinent!C12+Settlers!C12+Shenandoah!C12</f>
        <v>209.09944380854949</v>
      </c>
      <c r="D12" s="30">
        <f>+'American Community'!D12+'Confed Life &amp; Annty (CLIAC)'!D12+'Fidelity Mutual'!D12+'First Capital'!D12+Midcontinent!D12+Settlers!D12+Shenandoah!D12</f>
        <v>0</v>
      </c>
      <c r="E12" s="30">
        <f>+'American Community'!E12+'Confed Life &amp; Annty (CLIAC)'!E12+'Fidelity Mutual'!E12+'First Capital'!E12+Midcontinent!E12+Settlers!E12+Shenandoah!E12</f>
        <v>0</v>
      </c>
      <c r="F12" s="30">
        <f>+'American Community'!F12+'Confed Life &amp; Annty (CLIAC)'!F12+'Fidelity Mutual'!F12+'First Capital'!F12+Midcontinent!F12+Settlers!F12+Shenandoah!F12</f>
        <v>0</v>
      </c>
      <c r="G12" s="30">
        <f t="shared" si="0"/>
        <v>13158.853302985779</v>
      </c>
      <c r="H12" s="30"/>
      <c r="I12" s="30" t="s">
        <v>608</v>
      </c>
      <c r="J12" s="30">
        <f>Summary!TOTAL_68845</f>
        <v>566459.55999999994</v>
      </c>
    </row>
    <row r="13" spans="1:10">
      <c r="A13" s="1" t="s">
        <v>21</v>
      </c>
      <c r="B13" s="30">
        <f>+'American Community'!B13+'Confed Life &amp; Annty (CLIAC)'!B13+'Fidelity Mutual'!B13+'First Capital'!B13+Midcontinent!B13+Settlers!B13+Shenandoah!B13</f>
        <v>10851.490369598327</v>
      </c>
      <c r="C13" s="30">
        <f>+'American Community'!C13+'Confed Life &amp; Annty (CLIAC)'!C13+'Fidelity Mutual'!C13+'First Capital'!C13+Midcontinent!C13+Settlers!C13+Shenandoah!C13</f>
        <v>1052.8816959752096</v>
      </c>
      <c r="D13" s="30">
        <f>+'American Community'!D13+'Confed Life &amp; Annty (CLIAC)'!D13+'Fidelity Mutual'!D13+'First Capital'!D13+Midcontinent!D13+Settlers!D13+Shenandoah!D13</f>
        <v>216.0612869247058</v>
      </c>
      <c r="E13" s="30">
        <f>+'American Community'!E13+'Confed Life &amp; Annty (CLIAC)'!E13+'Fidelity Mutual'!E13+'First Capital'!E13+Midcontinent!E13+Settlers!E13+Shenandoah!E13</f>
        <v>0</v>
      </c>
      <c r="F13" s="30">
        <f>+'American Community'!F13+'Confed Life &amp; Annty (CLIAC)'!F13+'Fidelity Mutual'!F13+'First Capital'!F13+Midcontinent!F13+Settlers!F13+Shenandoah!F13</f>
        <v>0</v>
      </c>
      <c r="G13" s="30">
        <f t="shared" si="0"/>
        <v>12120.433352498241</v>
      </c>
      <c r="H13" s="30"/>
      <c r="I13" s="30"/>
      <c r="J13" s="30"/>
    </row>
    <row r="14" spans="1:10">
      <c r="A14" s="1" t="s">
        <v>23</v>
      </c>
      <c r="B14" s="30">
        <f>+'American Community'!B14+'Confed Life &amp; Annty (CLIAC)'!B14+'Fidelity Mutual'!B14+'First Capital'!B14+Midcontinent!B14+Settlers!B14+Shenandoah!B14</f>
        <v>5783.2147617095998</v>
      </c>
      <c r="C14" s="30">
        <f>+'American Community'!C14+'Confed Life &amp; Annty (CLIAC)'!C14+'Fidelity Mutual'!C14+'First Capital'!C14+Midcontinent!C14+Settlers!C14+Shenandoah!C14</f>
        <v>913.1893425096132</v>
      </c>
      <c r="D14" s="30">
        <f>+'American Community'!D14+'Confed Life &amp; Annty (CLIAC)'!D14+'Fidelity Mutual'!D14+'First Capital'!D14+Midcontinent!D14+Settlers!D14+Shenandoah!D14</f>
        <v>343.90377367332263</v>
      </c>
      <c r="E14" s="30">
        <f>+'American Community'!E14+'Confed Life &amp; Annty (CLIAC)'!E14+'Fidelity Mutual'!E14+'First Capital'!E14+Midcontinent!E14+Settlers!E14+Shenandoah!E14</f>
        <v>0</v>
      </c>
      <c r="F14" s="30">
        <f>+'American Community'!F14+'Confed Life &amp; Annty (CLIAC)'!F14+'Fidelity Mutual'!F14+'First Capital'!F14+Midcontinent!F14+Settlers!F14+Shenandoah!F14</f>
        <v>0</v>
      </c>
      <c r="G14" s="30">
        <f t="shared" si="0"/>
        <v>7040.3078778925355</v>
      </c>
      <c r="H14" s="30"/>
      <c r="I14" s="30" t="s">
        <v>8</v>
      </c>
      <c r="J14" s="30">
        <f>SUM(REC_TOTAL)</f>
        <v>2659109.6</v>
      </c>
    </row>
    <row r="15" spans="1:10">
      <c r="A15" s="1" t="s">
        <v>25</v>
      </c>
      <c r="B15" s="30">
        <f>+'American Community'!B15+'Confed Life &amp; Annty (CLIAC)'!B15+'Fidelity Mutual'!B15+'First Capital'!B15+Midcontinent!B15+Settlers!B15+Shenandoah!B15</f>
        <v>144324.41541694975</v>
      </c>
      <c r="C15" s="30">
        <f>+'American Community'!C15+'Confed Life &amp; Annty (CLIAC)'!C15+'Fidelity Mutual'!C15+'First Capital'!C15+Midcontinent!C15+Settlers!C15+Shenandoah!C15</f>
        <v>31783.347743356127</v>
      </c>
      <c r="D15" s="30">
        <f>+'American Community'!D15+'Confed Life &amp; Annty (CLIAC)'!D15+'Fidelity Mutual'!D15+'First Capital'!D15+Midcontinent!D15+Settlers!D15+Shenandoah!D15</f>
        <v>19141.353357062359</v>
      </c>
      <c r="E15" s="30">
        <f>+'American Community'!E15+'Confed Life &amp; Annty (CLIAC)'!E15+'Fidelity Mutual'!E15+'First Capital'!E15+Midcontinent!E15+Settlers!E15+Shenandoah!E15</f>
        <v>0</v>
      </c>
      <c r="F15" s="30">
        <f>+'American Community'!F15+'Confed Life &amp; Annty (CLIAC)'!F15+'Fidelity Mutual'!F15+'First Capital'!F15+Midcontinent!F15+Settlers!F15+Shenandoah!F15</f>
        <v>0</v>
      </c>
      <c r="G15" s="30">
        <f t="shared" si="0"/>
        <v>195249.11651736824</v>
      </c>
      <c r="H15" s="30"/>
      <c r="I15" s="30" t="s">
        <v>617</v>
      </c>
      <c r="J15" s="30">
        <f>SUM(TOTAL)</f>
        <v>2659109.6</v>
      </c>
    </row>
    <row r="16" spans="1:10">
      <c r="A16" s="1" t="s">
        <v>27</v>
      </c>
      <c r="B16" s="30">
        <f>+'American Community'!B16+'Confed Life &amp; Annty (CLIAC)'!B16+'Fidelity Mutual'!B16+'First Capital'!B16+Midcontinent!B16+Settlers!B16+Shenandoah!B16</f>
        <v>47703.430077210687</v>
      </c>
      <c r="C16" s="30">
        <f>+'American Community'!C16+'Confed Life &amp; Annty (CLIAC)'!C16+'Fidelity Mutual'!C16+'First Capital'!C16+Midcontinent!C16+Settlers!C16+Shenandoah!C16</f>
        <v>12528.150138787332</v>
      </c>
      <c r="D16" s="30">
        <f>+'American Community'!D16+'Confed Life &amp; Annty (CLIAC)'!D16+'Fidelity Mutual'!D16+'First Capital'!D16+Midcontinent!D16+Settlers!D16+Shenandoah!D16</f>
        <v>9810.7202053823639</v>
      </c>
      <c r="E16" s="30">
        <f>+'American Community'!E16+'Confed Life &amp; Annty (CLIAC)'!E16+'Fidelity Mutual'!E16+'First Capital'!E16+Midcontinent!E16+Settlers!E16+Shenandoah!E16</f>
        <v>1194.1196759865231</v>
      </c>
      <c r="F16" s="30">
        <f>+'American Community'!F16+'Confed Life &amp; Annty (CLIAC)'!F16+'Fidelity Mutual'!F16+'First Capital'!F16+Midcontinent!F16+Settlers!F16+Shenandoah!F16</f>
        <v>0</v>
      </c>
      <c r="G16" s="30">
        <f t="shared" si="0"/>
        <v>71236.420097366907</v>
      </c>
      <c r="H16" s="30"/>
      <c r="I16" s="30"/>
      <c r="J16" s="30">
        <f>SUM(TOTAL)-SUM(REC_TOTAL)</f>
        <v>0</v>
      </c>
    </row>
    <row r="17" spans="1:10">
      <c r="A17" s="1" t="s">
        <v>29</v>
      </c>
      <c r="B17" s="30">
        <f>+'American Community'!B17+'Confed Life &amp; Annty (CLIAC)'!B17+'Fidelity Mutual'!B17+'First Capital'!B17+Midcontinent!B17+Settlers!B17+Shenandoah!B17</f>
        <v>288.77183211837632</v>
      </c>
      <c r="C17" s="30">
        <f>+'American Community'!C17+'Confed Life &amp; Annty (CLIAC)'!C17+'Fidelity Mutual'!C17+'First Capital'!C17+Midcontinent!C17+Settlers!C17+Shenandoah!C17</f>
        <v>55.775824940285361</v>
      </c>
      <c r="D17" s="30">
        <f>+'American Community'!D17+'Confed Life &amp; Annty (CLIAC)'!D17+'Fidelity Mutual'!D17+'First Capital'!D17+Midcontinent!D17+Settlers!D17+Shenandoah!D17</f>
        <v>0</v>
      </c>
      <c r="E17" s="30">
        <f>+'American Community'!E17+'Confed Life &amp; Annty (CLIAC)'!E17+'Fidelity Mutual'!E17+'First Capital'!E17+Midcontinent!E17+Settlers!E17+Shenandoah!E17</f>
        <v>0</v>
      </c>
      <c r="F17" s="30">
        <f>+'American Community'!F17+'Confed Life &amp; Annty (CLIAC)'!F17+'Fidelity Mutual'!F17+'First Capital'!F17+Midcontinent!F17+Settlers!F17+Shenandoah!F17</f>
        <v>0</v>
      </c>
      <c r="G17" s="30">
        <f t="shared" si="0"/>
        <v>344.54765705866168</v>
      </c>
      <c r="H17" s="30"/>
      <c r="I17" s="30"/>
      <c r="J17" s="30"/>
    </row>
    <row r="18" spans="1:10">
      <c r="A18" s="1" t="s">
        <v>30</v>
      </c>
      <c r="B18" s="30">
        <f>+'American Community'!B18+'Confed Life &amp; Annty (CLIAC)'!B18+'Fidelity Mutual'!B18+'First Capital'!B18+Midcontinent!B18+Settlers!B18+Shenandoah!B18</f>
        <v>787.72253700297745</v>
      </c>
      <c r="C18" s="30">
        <f>+'American Community'!C18+'Confed Life &amp; Annty (CLIAC)'!C18+'Fidelity Mutual'!C18+'First Capital'!C18+Midcontinent!C18+Settlers!C18+Shenandoah!C18</f>
        <v>8.6112703671656803</v>
      </c>
      <c r="D18" s="30">
        <f>+'American Community'!D18+'Confed Life &amp; Annty (CLIAC)'!D18+'Fidelity Mutual'!D18+'First Capital'!D18+Midcontinent!D18+Settlers!D18+Shenandoah!D18</f>
        <v>0</v>
      </c>
      <c r="E18" s="30">
        <f>+'American Community'!E18+'Confed Life &amp; Annty (CLIAC)'!E18+'Fidelity Mutual'!E18+'First Capital'!E18+Midcontinent!E18+Settlers!E18+Shenandoah!E18</f>
        <v>0</v>
      </c>
      <c r="F18" s="30">
        <f>+'American Community'!F18+'Confed Life &amp; Annty (CLIAC)'!F18+'Fidelity Mutual'!F18+'First Capital'!F18+Midcontinent!F18+Settlers!F18+Shenandoah!F18</f>
        <v>0</v>
      </c>
      <c r="G18" s="30">
        <f t="shared" si="0"/>
        <v>796.33380737014318</v>
      </c>
      <c r="H18" s="30"/>
      <c r="I18" s="30"/>
      <c r="J18" s="30"/>
    </row>
    <row r="19" spans="1:10">
      <c r="A19" s="1" t="s">
        <v>32</v>
      </c>
      <c r="B19" s="30">
        <f>+'American Community'!B19+'Confed Life &amp; Annty (CLIAC)'!B19+'Fidelity Mutual'!B19+'First Capital'!B19+Midcontinent!B19+Settlers!B19+Shenandoah!B19</f>
        <v>82220.125060207007</v>
      </c>
      <c r="C19" s="30">
        <f>+'American Community'!C19+'Confed Life &amp; Annty (CLIAC)'!C19+'Fidelity Mutual'!C19+'First Capital'!C19+Midcontinent!C19+Settlers!C19+Shenandoah!C19</f>
        <v>8264.8330442857732</v>
      </c>
      <c r="D19" s="30">
        <f>+'American Community'!D19+'Confed Life &amp; Annty (CLIAC)'!D19+'Fidelity Mutual'!D19+'First Capital'!D19+Midcontinent!D19+Settlers!D19+Shenandoah!D19</f>
        <v>24450.480916685716</v>
      </c>
      <c r="E19" s="30">
        <f>+'American Community'!E19+'Confed Life &amp; Annty (CLIAC)'!E19+'Fidelity Mutual'!E19+'First Capital'!E19+Midcontinent!E19+Settlers!E19+Shenandoah!E19</f>
        <v>360.87016875076063</v>
      </c>
      <c r="F19" s="30">
        <f>+'American Community'!F19+'Confed Life &amp; Annty (CLIAC)'!F19+'Fidelity Mutual'!F19+'First Capital'!F19+Midcontinent!F19+Settlers!F19+Shenandoah!F19</f>
        <v>0</v>
      </c>
      <c r="G19" s="30">
        <f t="shared" si="0"/>
        <v>115296.30918992925</v>
      </c>
      <c r="H19" s="30"/>
      <c r="I19" s="30"/>
      <c r="J19" s="30"/>
    </row>
    <row r="20" spans="1:10">
      <c r="A20" s="1" t="s">
        <v>34</v>
      </c>
      <c r="B20" s="30">
        <f>+'American Community'!B20+'Confed Life &amp; Annty (CLIAC)'!B20+'Fidelity Mutual'!B20+'First Capital'!B20+Midcontinent!B20+Settlers!B20+Shenandoah!B20</f>
        <v>18425.321042612755</v>
      </c>
      <c r="C20" s="30">
        <f>+'American Community'!C20+'Confed Life &amp; Annty (CLIAC)'!C20+'Fidelity Mutual'!C20+'First Capital'!C20+Midcontinent!C20+Settlers!C20+Shenandoah!C20</f>
        <v>5845.0627301873519</v>
      </c>
      <c r="D20" s="30">
        <f>+'American Community'!D20+'Confed Life &amp; Annty (CLIAC)'!D20+'Fidelity Mutual'!D20+'First Capital'!D20+Midcontinent!D20+Settlers!D20+Shenandoah!D20</f>
        <v>40748.016984818125</v>
      </c>
      <c r="E20" s="30">
        <f>+'American Community'!E20+'Confed Life &amp; Annty (CLIAC)'!E20+'Fidelity Mutual'!E20+'First Capital'!E20+Midcontinent!E20+Settlers!E20+Shenandoah!E20</f>
        <v>0</v>
      </c>
      <c r="F20" s="30">
        <f>+'American Community'!F20+'Confed Life &amp; Annty (CLIAC)'!F20+'Fidelity Mutual'!F20+'First Capital'!F20+Midcontinent!F20+Settlers!F20+Shenandoah!F20</f>
        <v>0</v>
      </c>
      <c r="G20" s="30">
        <f t="shared" si="0"/>
        <v>65018.400757618234</v>
      </c>
      <c r="H20" s="30"/>
      <c r="I20" s="30"/>
      <c r="J20" s="30"/>
    </row>
    <row r="21" spans="1:10">
      <c r="A21" s="1" t="s">
        <v>36</v>
      </c>
      <c r="B21" s="30">
        <f>+'American Community'!B21+'Confed Life &amp; Annty (CLIAC)'!B21+'Fidelity Mutual'!B21+'First Capital'!B21+Midcontinent!B21+Settlers!B21+Shenandoah!B21</f>
        <v>3811.8549719973662</v>
      </c>
      <c r="C21" s="30">
        <f>+'American Community'!C21+'Confed Life &amp; Annty (CLIAC)'!C21+'Fidelity Mutual'!C21+'First Capital'!C21+Midcontinent!C21+Settlers!C21+Shenandoah!C21</f>
        <v>727.11727417707016</v>
      </c>
      <c r="D21" s="30">
        <f>+'American Community'!D21+'Confed Life &amp; Annty (CLIAC)'!D21+'Fidelity Mutual'!D21+'First Capital'!D21+Midcontinent!D21+Settlers!D21+Shenandoah!D21</f>
        <v>6402.2148423808876</v>
      </c>
      <c r="E21" s="30">
        <f>+'American Community'!E21+'Confed Life &amp; Annty (CLIAC)'!E21+'Fidelity Mutual'!E21+'First Capital'!E21+Midcontinent!E21+Settlers!E21+Shenandoah!E21</f>
        <v>0</v>
      </c>
      <c r="F21" s="30">
        <f>+'American Community'!F21+'Confed Life &amp; Annty (CLIAC)'!F21+'Fidelity Mutual'!F21+'First Capital'!F21+Midcontinent!F21+Settlers!F21+Shenandoah!F21</f>
        <v>0</v>
      </c>
      <c r="G21" s="30">
        <f t="shared" si="0"/>
        <v>10941.187088555325</v>
      </c>
      <c r="H21" s="30"/>
      <c r="I21" s="30"/>
      <c r="J21" s="30"/>
    </row>
    <row r="22" spans="1:10">
      <c r="A22" s="1" t="s">
        <v>38</v>
      </c>
      <c r="B22" s="30">
        <f>+'American Community'!B22+'Confed Life &amp; Annty (CLIAC)'!B22+'Fidelity Mutual'!B22+'First Capital'!B22+Midcontinent!B22+Settlers!B22+Shenandoah!B22</f>
        <v>14239.576340332262</v>
      </c>
      <c r="C22" s="30">
        <f>+'American Community'!C22+'Confed Life &amp; Annty (CLIAC)'!C22+'Fidelity Mutual'!C22+'First Capital'!C22+Midcontinent!C22+Settlers!C22+Shenandoah!C22</f>
        <v>330.91548386456759</v>
      </c>
      <c r="D22" s="30">
        <f>+'American Community'!D22+'Confed Life &amp; Annty (CLIAC)'!D22+'Fidelity Mutual'!D22+'First Capital'!D22+Midcontinent!D22+Settlers!D22+Shenandoah!D22</f>
        <v>238.966491387552</v>
      </c>
      <c r="E22" s="30">
        <f>+'American Community'!E22+'Confed Life &amp; Annty (CLIAC)'!E22+'Fidelity Mutual'!E22+'First Capital'!E22+Midcontinent!E22+Settlers!E22+Shenandoah!E22</f>
        <v>0</v>
      </c>
      <c r="F22" s="30">
        <f>+'American Community'!F22+'Confed Life &amp; Annty (CLIAC)'!F22+'Fidelity Mutual'!F22+'First Capital'!F22+Midcontinent!F22+Settlers!F22+Shenandoah!F22</f>
        <v>0</v>
      </c>
      <c r="G22" s="30">
        <f t="shared" si="0"/>
        <v>14809.458315584381</v>
      </c>
      <c r="H22" s="30"/>
      <c r="I22" s="30"/>
      <c r="J22" s="30"/>
    </row>
    <row r="23" spans="1:10">
      <c r="A23" s="1" t="s">
        <v>40</v>
      </c>
      <c r="B23" s="30">
        <f>+'American Community'!B23+'Confed Life &amp; Annty (CLIAC)'!B23+'Fidelity Mutual'!B23+'First Capital'!B23+Midcontinent!B23+Settlers!B23+Shenandoah!B23</f>
        <v>32103.609127315336</v>
      </c>
      <c r="C23" s="30">
        <f>+'American Community'!C23+'Confed Life &amp; Annty (CLIAC)'!C23+'Fidelity Mutual'!C23+'First Capital'!C23+Midcontinent!C23+Settlers!C23+Shenandoah!C23</f>
        <v>6067.8577459874396</v>
      </c>
      <c r="D23" s="30">
        <f>+'American Community'!D23+'Confed Life &amp; Annty (CLIAC)'!D23+'Fidelity Mutual'!D23+'First Capital'!D23+Midcontinent!D23+Settlers!D23+Shenandoah!D23</f>
        <v>3207.5015750109606</v>
      </c>
      <c r="E23" s="30">
        <f>+'American Community'!E23+'Confed Life &amp; Annty (CLIAC)'!E23+'Fidelity Mutual'!E23+'First Capital'!E23+Midcontinent!E23+Settlers!E23+Shenandoah!E23</f>
        <v>0</v>
      </c>
      <c r="F23" s="30">
        <f>+'American Community'!F23+'Confed Life &amp; Annty (CLIAC)'!F23+'Fidelity Mutual'!F23+'First Capital'!F23+Midcontinent!F23+Settlers!F23+Shenandoah!F23</f>
        <v>0</v>
      </c>
      <c r="G23" s="30">
        <f t="shared" si="0"/>
        <v>41378.968448313739</v>
      </c>
      <c r="H23" s="30"/>
      <c r="I23" s="30"/>
      <c r="J23" s="30"/>
    </row>
    <row r="24" spans="1:10">
      <c r="A24" s="1" t="s">
        <v>42</v>
      </c>
      <c r="B24" s="30">
        <f>+'American Community'!B24+'Confed Life &amp; Annty (CLIAC)'!B24+'Fidelity Mutual'!B24+'First Capital'!B24+Midcontinent!B24+Settlers!B24+Shenandoah!B24</f>
        <v>20702.579830297756</v>
      </c>
      <c r="C24" s="30">
        <f>+'American Community'!C24+'Confed Life &amp; Annty (CLIAC)'!C24+'Fidelity Mutual'!C24+'First Capital'!C24+Midcontinent!C24+Settlers!C24+Shenandoah!C24</f>
        <v>7157.8774239005625</v>
      </c>
      <c r="D24" s="30">
        <f>+'American Community'!D24+'Confed Life &amp; Annty (CLIAC)'!D24+'Fidelity Mutual'!D24+'First Capital'!D24+Midcontinent!D24+Settlers!D24+Shenandoah!D24</f>
        <v>6335.3928283479436</v>
      </c>
      <c r="E24" s="30">
        <f>+'American Community'!E24+'Confed Life &amp; Annty (CLIAC)'!E24+'Fidelity Mutual'!E24+'First Capital'!E24+Midcontinent!E24+Settlers!E24+Shenandoah!E24</f>
        <v>0</v>
      </c>
      <c r="F24" s="30">
        <f>+'American Community'!F24+'Confed Life &amp; Annty (CLIAC)'!F24+'Fidelity Mutual'!F24+'First Capital'!F24+Midcontinent!F24+Settlers!F24+Shenandoah!F24</f>
        <v>0</v>
      </c>
      <c r="G24" s="30">
        <f t="shared" si="0"/>
        <v>34195.850082546262</v>
      </c>
      <c r="H24" s="30"/>
      <c r="I24" s="30"/>
      <c r="J24" s="30"/>
    </row>
    <row r="25" spans="1:10">
      <c r="A25" s="1" t="s">
        <v>44</v>
      </c>
      <c r="B25" s="30">
        <f>+'American Community'!B25+'Confed Life &amp; Annty (CLIAC)'!B25+'Fidelity Mutual'!B25+'First Capital'!B25+Midcontinent!B25+Settlers!B25+Shenandoah!B25</f>
        <v>6864.4013940192117</v>
      </c>
      <c r="C25" s="30">
        <f>+'American Community'!C25+'Confed Life &amp; Annty (CLIAC)'!C25+'Fidelity Mutual'!C25+'First Capital'!C25+Midcontinent!C25+Settlers!C25+Shenandoah!C25</f>
        <v>5197.1992457284432</v>
      </c>
      <c r="D25" s="30">
        <f>+'American Community'!D25+'Confed Life &amp; Annty (CLIAC)'!D25+'Fidelity Mutual'!D25+'First Capital'!D25+Midcontinent!D25+Settlers!D25+Shenandoah!D25</f>
        <v>0</v>
      </c>
      <c r="E25" s="30">
        <f>+'American Community'!E25+'Confed Life &amp; Annty (CLIAC)'!E25+'Fidelity Mutual'!E25+'First Capital'!E25+Midcontinent!E25+Settlers!E25+Shenandoah!E25</f>
        <v>0</v>
      </c>
      <c r="F25" s="30">
        <f>+'American Community'!F25+'Confed Life &amp; Annty (CLIAC)'!F25+'Fidelity Mutual'!F25+'First Capital'!F25+Midcontinent!F25+Settlers!F25+Shenandoah!F25</f>
        <v>0</v>
      </c>
      <c r="G25" s="30">
        <f t="shared" si="0"/>
        <v>12061.600639747656</v>
      </c>
      <c r="H25" s="30"/>
      <c r="I25" s="30"/>
      <c r="J25" s="30"/>
    </row>
    <row r="26" spans="1:10">
      <c r="A26" s="1" t="s">
        <v>45</v>
      </c>
      <c r="B26" s="30">
        <f>+'American Community'!B26+'Confed Life &amp; Annty (CLIAC)'!B26+'Fidelity Mutual'!B26+'First Capital'!B26+Midcontinent!B26+Settlers!B26+Shenandoah!B26</f>
        <v>35723.096798535938</v>
      </c>
      <c r="C26" s="30">
        <f>+'American Community'!C26+'Confed Life &amp; Annty (CLIAC)'!C26+'Fidelity Mutual'!C26+'First Capital'!C26+Midcontinent!C26+Settlers!C26+Shenandoah!C26</f>
        <v>4531.2985178440122</v>
      </c>
      <c r="D26" s="30">
        <f>+'American Community'!D26+'Confed Life &amp; Annty (CLIAC)'!D26+'Fidelity Mutual'!D26+'First Capital'!D26+Midcontinent!D26+Settlers!D26+Shenandoah!D26</f>
        <v>3087.1774176429999</v>
      </c>
      <c r="E26" s="30">
        <f>+'American Community'!E26+'Confed Life &amp; Annty (CLIAC)'!E26+'Fidelity Mutual'!E26+'First Capital'!E26+Midcontinent!E26+Settlers!E26+Shenandoah!E26</f>
        <v>0</v>
      </c>
      <c r="F26" s="30">
        <f>+'American Community'!F26+'Confed Life &amp; Annty (CLIAC)'!F26+'Fidelity Mutual'!F26+'First Capital'!F26+Midcontinent!F26+Settlers!F26+Shenandoah!F26</f>
        <v>0</v>
      </c>
      <c r="G26" s="30">
        <f t="shared" si="0"/>
        <v>43341.57273402295</v>
      </c>
      <c r="H26" s="30"/>
      <c r="I26" s="30"/>
      <c r="J26" s="30"/>
    </row>
    <row r="27" spans="1:10">
      <c r="A27" s="1" t="s">
        <v>47</v>
      </c>
      <c r="B27" s="30">
        <f>+'American Community'!B27+'Confed Life &amp; Annty (CLIAC)'!B27+'Fidelity Mutual'!B27+'First Capital'!B27+Midcontinent!B27+Settlers!B27+Shenandoah!B27</f>
        <v>71348.822015398429</v>
      </c>
      <c r="C27" s="30">
        <f>+'American Community'!C27+'Confed Life &amp; Annty (CLIAC)'!C27+'Fidelity Mutual'!C27+'First Capital'!C27+Midcontinent!C27+Settlers!C27+Shenandoah!C27</f>
        <v>2735.900303098786</v>
      </c>
      <c r="D27" s="30">
        <f>+'American Community'!D27+'Confed Life &amp; Annty (CLIAC)'!D27+'Fidelity Mutual'!D27+'First Capital'!D27+Midcontinent!D27+Settlers!D27+Shenandoah!D27</f>
        <v>0</v>
      </c>
      <c r="E27" s="30">
        <f>+'American Community'!E27+'Confed Life &amp; Annty (CLIAC)'!E27+'Fidelity Mutual'!E27+'First Capital'!E27+Midcontinent!E27+Settlers!E27+Shenandoah!E27</f>
        <v>0</v>
      </c>
      <c r="F27" s="30">
        <f>+'American Community'!F27+'Confed Life &amp; Annty (CLIAC)'!F27+'Fidelity Mutual'!F27+'First Capital'!F27+Midcontinent!F27+Settlers!F27+Shenandoah!F27</f>
        <v>0</v>
      </c>
      <c r="G27" s="30">
        <f t="shared" si="0"/>
        <v>74084.72231849721</v>
      </c>
      <c r="H27" s="30"/>
      <c r="I27" s="30"/>
      <c r="J27" s="30"/>
    </row>
    <row r="28" spans="1:10">
      <c r="A28" s="1" t="s">
        <v>49</v>
      </c>
      <c r="B28" s="30">
        <f>+'American Community'!B28+'Confed Life &amp; Annty (CLIAC)'!B28+'Fidelity Mutual'!B28+'First Capital'!B28+Midcontinent!B28+Settlers!B28+Shenandoah!B28</f>
        <v>28378.071104735616</v>
      </c>
      <c r="C28" s="30">
        <f>+'American Community'!C28+'Confed Life &amp; Annty (CLIAC)'!C28+'Fidelity Mutual'!C28+'First Capital'!C28+Midcontinent!C28+Settlers!C28+Shenandoah!C28</f>
        <v>6513.2116479248452</v>
      </c>
      <c r="D28" s="30">
        <f>+'American Community'!D28+'Confed Life &amp; Annty (CLIAC)'!D28+'Fidelity Mutual'!D28+'First Capital'!D28+Midcontinent!D28+Settlers!D28+Shenandoah!D28</f>
        <v>72823.85711330398</v>
      </c>
      <c r="E28" s="30">
        <f>+'American Community'!E28+'Confed Life &amp; Annty (CLIAC)'!E28+'Fidelity Mutual'!E28+'First Capital'!E28+Midcontinent!E28+Settlers!E28+Shenandoah!E28</f>
        <v>748.10052834782493</v>
      </c>
      <c r="F28" s="30">
        <f>+'American Community'!F28+'Confed Life &amp; Annty (CLIAC)'!F28+'Fidelity Mutual'!F28+'First Capital'!F28+Midcontinent!F28+Settlers!F28+Shenandoah!F28</f>
        <v>0</v>
      </c>
      <c r="G28" s="30">
        <f t="shared" si="0"/>
        <v>108463.24039431228</v>
      </c>
      <c r="H28" s="30"/>
      <c r="I28" s="30"/>
      <c r="J28" s="30"/>
    </row>
    <row r="29" spans="1:10">
      <c r="A29" s="1" t="s">
        <v>50</v>
      </c>
      <c r="B29" s="30">
        <f>+'American Community'!B29+'Confed Life &amp; Annty (CLIAC)'!B29+'Fidelity Mutual'!B29+'First Capital'!B29+Midcontinent!B29+Settlers!B29+Shenandoah!B29</f>
        <v>6002.3052624130814</v>
      </c>
      <c r="C29" s="30">
        <f>+'American Community'!C29+'Confed Life &amp; Annty (CLIAC)'!C29+'Fidelity Mutual'!C29+'First Capital'!C29+Midcontinent!C29+Settlers!C29+Shenandoah!C29</f>
        <v>192.9784195548971</v>
      </c>
      <c r="D29" s="30">
        <f>+'American Community'!D29+'Confed Life &amp; Annty (CLIAC)'!D29+'Fidelity Mutual'!D29+'First Capital'!D29+Midcontinent!D29+Settlers!D29+Shenandoah!D29</f>
        <v>50.581955816543164</v>
      </c>
      <c r="E29" s="30">
        <f>+'American Community'!E29+'Confed Life &amp; Annty (CLIAC)'!E29+'Fidelity Mutual'!E29+'First Capital'!E29+Midcontinent!E29+Settlers!E29+Shenandoah!E29</f>
        <v>0</v>
      </c>
      <c r="F29" s="30">
        <f>+'American Community'!F29+'Confed Life &amp; Annty (CLIAC)'!F29+'Fidelity Mutual'!F29+'First Capital'!F29+Midcontinent!F29+Settlers!F29+Shenandoah!F29</f>
        <v>0</v>
      </c>
      <c r="G29" s="30">
        <f t="shared" si="0"/>
        <v>6245.8656377845218</v>
      </c>
      <c r="H29" s="30"/>
      <c r="I29" s="30"/>
      <c r="J29" s="30"/>
    </row>
    <row r="30" spans="1:10">
      <c r="A30" s="1" t="s">
        <v>51</v>
      </c>
      <c r="B30" s="30">
        <f>+'American Community'!B30+'Confed Life &amp; Annty (CLIAC)'!B30+'Fidelity Mutual'!B30+'First Capital'!B30+Midcontinent!B30+Settlers!B30+Shenandoah!B30</f>
        <v>7132.0662566193132</v>
      </c>
      <c r="C30" s="30">
        <f>+'American Community'!C30+'Confed Life &amp; Annty (CLIAC)'!C30+'Fidelity Mutual'!C30+'First Capital'!C30+Midcontinent!C30+Settlers!C30+Shenandoah!C30</f>
        <v>2333.6686515046349</v>
      </c>
      <c r="D30" s="30">
        <f>+'American Community'!D30+'Confed Life &amp; Annty (CLIAC)'!D30+'Fidelity Mutual'!D30+'First Capital'!D30+Midcontinent!D30+Settlers!D30+Shenandoah!D30</f>
        <v>1914.9560970703908</v>
      </c>
      <c r="E30" s="30">
        <f>+'American Community'!E30+'Confed Life &amp; Annty (CLIAC)'!E30+'Fidelity Mutual'!E30+'First Capital'!E30+Midcontinent!E30+Settlers!E30+Shenandoah!E30</f>
        <v>0</v>
      </c>
      <c r="F30" s="30">
        <f>+'American Community'!F30+'Confed Life &amp; Annty (CLIAC)'!F30+'Fidelity Mutual'!F30+'First Capital'!F30+Midcontinent!F30+Settlers!F30+Shenandoah!F30</f>
        <v>0</v>
      </c>
      <c r="G30" s="30">
        <f t="shared" si="0"/>
        <v>11380.69100519434</v>
      </c>
      <c r="H30" s="30"/>
      <c r="I30" s="30"/>
      <c r="J30" s="30"/>
    </row>
    <row r="31" spans="1:10">
      <c r="A31" s="1" t="s">
        <v>52</v>
      </c>
      <c r="B31" s="30">
        <f>+'American Community'!B31+'Confed Life &amp; Annty (CLIAC)'!B31+'Fidelity Mutual'!B31+'First Capital'!B31+Midcontinent!B31+Settlers!B31+Shenandoah!B31</f>
        <v>21383.476037562439</v>
      </c>
      <c r="C31" s="30">
        <f>+'American Community'!C31+'Confed Life &amp; Annty (CLIAC)'!C31+'Fidelity Mutual'!C31+'First Capital'!C31+Midcontinent!C31+Settlers!C31+Shenandoah!C31</f>
        <v>1935.6623832243786</v>
      </c>
      <c r="D31" s="30">
        <f>+'American Community'!D31+'Confed Life &amp; Annty (CLIAC)'!D31+'Fidelity Mutual'!D31+'First Capital'!D31+Midcontinent!D31+Settlers!D31+Shenandoah!D31</f>
        <v>29358.057454945538</v>
      </c>
      <c r="E31" s="30">
        <f>+'American Community'!E31+'Confed Life &amp; Annty (CLIAC)'!E31+'Fidelity Mutual'!E31+'First Capital'!E31+Midcontinent!E31+Settlers!E31+Shenandoah!E31</f>
        <v>0</v>
      </c>
      <c r="F31" s="30">
        <f>+'American Community'!F31+'Confed Life &amp; Annty (CLIAC)'!F31+'Fidelity Mutual'!F31+'First Capital'!F31+Midcontinent!F31+Settlers!F31+Shenandoah!F31</f>
        <v>0</v>
      </c>
      <c r="G31" s="30">
        <f t="shared" si="0"/>
        <v>52677.195875732359</v>
      </c>
      <c r="H31" s="30"/>
      <c r="I31" s="30"/>
      <c r="J31" s="30"/>
    </row>
    <row r="32" spans="1:10">
      <c r="A32" s="1" t="s">
        <v>53</v>
      </c>
      <c r="B32" s="30">
        <f>+'American Community'!B32+'Confed Life &amp; Annty (CLIAC)'!B32+'Fidelity Mutual'!B32+'First Capital'!B32+Midcontinent!B32+Settlers!B32+Shenandoah!B32</f>
        <v>786.71213313184148</v>
      </c>
      <c r="C32" s="30">
        <f>+'American Community'!C32+'Confed Life &amp; Annty (CLIAC)'!C32+'Fidelity Mutual'!C32+'First Capital'!C32+Midcontinent!C32+Settlers!C32+Shenandoah!C32</f>
        <v>0</v>
      </c>
      <c r="D32" s="30">
        <f>+'American Community'!D32+'Confed Life &amp; Annty (CLIAC)'!D32+'Fidelity Mutual'!D32+'First Capital'!D32+Midcontinent!D32+Settlers!D32+Shenandoah!D32</f>
        <v>0</v>
      </c>
      <c r="E32" s="30">
        <f>+'American Community'!E32+'Confed Life &amp; Annty (CLIAC)'!E32+'Fidelity Mutual'!E32+'First Capital'!E32+Midcontinent!E32+Settlers!E32+Shenandoah!E32</f>
        <v>0</v>
      </c>
      <c r="F32" s="30">
        <f>+'American Community'!F32+'Confed Life &amp; Annty (CLIAC)'!F32+'Fidelity Mutual'!F32+'First Capital'!F32+Midcontinent!F32+Settlers!F32+Shenandoah!F32</f>
        <v>0</v>
      </c>
      <c r="G32" s="30">
        <f t="shared" si="0"/>
        <v>786.71213313184148</v>
      </c>
      <c r="H32" s="30"/>
      <c r="I32" s="30"/>
      <c r="J32" s="30"/>
    </row>
    <row r="33" spans="1:10">
      <c r="A33" s="1" t="s">
        <v>54</v>
      </c>
      <c r="B33" s="30">
        <f>+'American Community'!B33+'Confed Life &amp; Annty (CLIAC)'!B33+'Fidelity Mutual'!B33+'First Capital'!B33+Midcontinent!B33+Settlers!B33+Shenandoah!B33</f>
        <v>2859.2165294870524</v>
      </c>
      <c r="C33" s="30">
        <f>+'American Community'!C33+'Confed Life &amp; Annty (CLIAC)'!C33+'Fidelity Mutual'!C33+'First Capital'!C33+Midcontinent!C33+Settlers!C33+Shenandoah!C33</f>
        <v>294.88975218956273</v>
      </c>
      <c r="D33" s="30">
        <f>+'American Community'!D33+'Confed Life &amp; Annty (CLIAC)'!D33+'Fidelity Mutual'!D33+'First Capital'!D33+Midcontinent!D33+Settlers!D33+Shenandoah!D33</f>
        <v>19713.906727090893</v>
      </c>
      <c r="E33" s="30">
        <f>+'American Community'!E33+'Confed Life &amp; Annty (CLIAC)'!E33+'Fidelity Mutual'!E33+'First Capital'!E33+Midcontinent!E33+Settlers!E33+Shenandoah!E33</f>
        <v>0</v>
      </c>
      <c r="F33" s="30">
        <f>+'American Community'!F33+'Confed Life &amp; Annty (CLIAC)'!F33+'Fidelity Mutual'!F33+'First Capital'!F33+Midcontinent!F33+Settlers!F33+Shenandoah!F33</f>
        <v>0</v>
      </c>
      <c r="G33" s="30">
        <f t="shared" si="0"/>
        <v>22868.013008767506</v>
      </c>
      <c r="H33" s="30"/>
      <c r="I33" s="30"/>
      <c r="J33" s="30"/>
    </row>
    <row r="34" spans="1:10">
      <c r="A34" s="1" t="s">
        <v>55</v>
      </c>
      <c r="B34" s="30">
        <f>+'American Community'!B34+'Confed Life &amp; Annty (CLIAC)'!B34+'Fidelity Mutual'!B34+'First Capital'!B34+Midcontinent!B34+Settlers!B34+Shenandoah!B34</f>
        <v>4025.1552628096083</v>
      </c>
      <c r="C34" s="30">
        <f>+'American Community'!C34+'Confed Life &amp; Annty (CLIAC)'!C34+'Fidelity Mutual'!C34+'First Capital'!C34+Midcontinent!C34+Settlers!C34+Shenandoah!C34</f>
        <v>7.7035187164677623</v>
      </c>
      <c r="D34" s="30">
        <f>+'American Community'!D34+'Confed Life &amp; Annty (CLIAC)'!D34+'Fidelity Mutual'!D34+'First Capital'!D34+Midcontinent!D34+Settlers!D34+Shenandoah!D34</f>
        <v>0.52400436961980523</v>
      </c>
      <c r="E34" s="30">
        <f>+'American Community'!E34+'Confed Life &amp; Annty (CLIAC)'!E34+'Fidelity Mutual'!E34+'First Capital'!E34+Midcontinent!E34+Settlers!E34+Shenandoah!E34</f>
        <v>0</v>
      </c>
      <c r="F34" s="30">
        <f>+'American Community'!F34+'Confed Life &amp; Annty (CLIAC)'!F34+'Fidelity Mutual'!F34+'First Capital'!F34+Midcontinent!F34+Settlers!F34+Shenandoah!F34</f>
        <v>0</v>
      </c>
      <c r="G34" s="30">
        <f t="shared" si="0"/>
        <v>4033.3827858956961</v>
      </c>
      <c r="H34" s="30"/>
      <c r="I34" s="30"/>
      <c r="J34" s="30"/>
    </row>
    <row r="35" spans="1:10">
      <c r="A35" s="1" t="s">
        <v>56</v>
      </c>
      <c r="B35" s="30">
        <f>+'American Community'!B35+'Confed Life &amp; Annty (CLIAC)'!B35+'Fidelity Mutual'!B35+'First Capital'!B35+Midcontinent!B35+Settlers!B35+Shenandoah!B35</f>
        <v>9760.4420382171575</v>
      </c>
      <c r="C35" s="30">
        <f>+'American Community'!C35+'Confed Life &amp; Annty (CLIAC)'!C35+'Fidelity Mutual'!C35+'First Capital'!C35+Midcontinent!C35+Settlers!C35+Shenandoah!C35</f>
        <v>305.75621289070995</v>
      </c>
      <c r="D35" s="30">
        <f>+'American Community'!D35+'Confed Life &amp; Annty (CLIAC)'!D35+'Fidelity Mutual'!D35+'First Capital'!D35+Midcontinent!D35+Settlers!D35+Shenandoah!D35</f>
        <v>0</v>
      </c>
      <c r="E35" s="30">
        <f>+'American Community'!E35+'Confed Life &amp; Annty (CLIAC)'!E35+'Fidelity Mutual'!E35+'First Capital'!E35+Midcontinent!E35+Settlers!E35+Shenandoah!E35</f>
        <v>0</v>
      </c>
      <c r="F35" s="30">
        <f>+'American Community'!F35+'Confed Life &amp; Annty (CLIAC)'!F35+'Fidelity Mutual'!F35+'First Capital'!F35+Midcontinent!F35+Settlers!F35+Shenandoah!F35</f>
        <v>0</v>
      </c>
      <c r="G35" s="30">
        <f t="shared" si="0"/>
        <v>10066.198251107868</v>
      </c>
      <c r="H35" s="30"/>
      <c r="I35" s="30"/>
      <c r="J35" s="30"/>
    </row>
    <row r="36" spans="1:10">
      <c r="A36" s="1" t="s">
        <v>57</v>
      </c>
      <c r="B36" s="30">
        <f>+'American Community'!B36+'Confed Life &amp; Annty (CLIAC)'!B36+'Fidelity Mutual'!B36+'First Capital'!B36+Midcontinent!B36+Settlers!B36+Shenandoah!B36</f>
        <v>79295.138533228557</v>
      </c>
      <c r="C36" s="30">
        <f>+'American Community'!C36+'Confed Life &amp; Annty (CLIAC)'!C36+'Fidelity Mutual'!C36+'First Capital'!C36+Midcontinent!C36+Settlers!C36+Shenandoah!C36</f>
        <v>5513.1751090383914</v>
      </c>
      <c r="D36" s="30">
        <f>+'American Community'!D36+'Confed Life &amp; Annty (CLIAC)'!D36+'Fidelity Mutual'!D36+'First Capital'!D36+Midcontinent!D36+Settlers!D36+Shenandoah!D36</f>
        <v>309.64721100391762</v>
      </c>
      <c r="E36" s="30">
        <f>+'American Community'!E36+'Confed Life &amp; Annty (CLIAC)'!E36+'Fidelity Mutual'!E36+'First Capital'!E36+Midcontinent!E36+Settlers!E36+Shenandoah!E36</f>
        <v>2637.5875582230933</v>
      </c>
      <c r="F36" s="30">
        <f>+'American Community'!F36+'Confed Life &amp; Annty (CLIAC)'!F36+'Fidelity Mutual'!F36+'First Capital'!F36+Midcontinent!F36+Settlers!F36+Shenandoah!F36</f>
        <v>0</v>
      </c>
      <c r="G36" s="30">
        <f t="shared" si="0"/>
        <v>87755.548411493961</v>
      </c>
      <c r="H36" s="30"/>
      <c r="I36" s="30"/>
      <c r="J36" s="30"/>
    </row>
    <row r="37" spans="1:10">
      <c r="A37" s="1" t="s">
        <v>58</v>
      </c>
      <c r="B37" s="30">
        <f>+'American Community'!B37+'Confed Life &amp; Annty (CLIAC)'!B37+'Fidelity Mutual'!B37+'First Capital'!B37+Midcontinent!B37+Settlers!B37+Shenandoah!B37</f>
        <v>4840.8715863968564</v>
      </c>
      <c r="C37" s="30">
        <f>+'American Community'!C37+'Confed Life &amp; Annty (CLIAC)'!C37+'Fidelity Mutual'!C37+'First Capital'!C37+Midcontinent!C37+Settlers!C37+Shenandoah!C37</f>
        <v>336.85384499459815</v>
      </c>
      <c r="D37" s="30">
        <f>+'American Community'!D37+'Confed Life &amp; Annty (CLIAC)'!D37+'Fidelity Mutual'!D37+'First Capital'!D37+Midcontinent!D37+Settlers!D37+Shenandoah!D37</f>
        <v>244.88089720707399</v>
      </c>
      <c r="E37" s="30">
        <f>+'American Community'!E37+'Confed Life &amp; Annty (CLIAC)'!E37+'Fidelity Mutual'!E37+'First Capital'!E37+Midcontinent!E37+Settlers!E37+Shenandoah!E37</f>
        <v>0</v>
      </c>
      <c r="F37" s="30">
        <f>+'American Community'!F37+'Confed Life &amp; Annty (CLIAC)'!F37+'Fidelity Mutual'!F37+'First Capital'!F37+Midcontinent!F37+Settlers!F37+Shenandoah!F37</f>
        <v>0</v>
      </c>
      <c r="G37" s="30">
        <f t="shared" si="0"/>
        <v>5422.6063285985283</v>
      </c>
      <c r="H37" s="30"/>
      <c r="I37" s="30"/>
      <c r="J37" s="30"/>
    </row>
    <row r="38" spans="1:10">
      <c r="A38" s="1" t="s">
        <v>59</v>
      </c>
      <c r="B38" s="30">
        <f>+'American Community'!B38+'Confed Life &amp; Annty (CLIAC)'!B38+'Fidelity Mutual'!B38+'First Capital'!B38+Midcontinent!B38+Settlers!B38+Shenandoah!B38</f>
        <v>66077.781985260372</v>
      </c>
      <c r="C38" s="30">
        <f>+'American Community'!C38+'Confed Life &amp; Annty (CLIAC)'!C38+'Fidelity Mutual'!C38+'First Capital'!C38+Midcontinent!C38+Settlers!C38+Shenandoah!C38</f>
        <v>8241.2230776572706</v>
      </c>
      <c r="D38" s="30">
        <f>+'American Community'!D38+'Confed Life &amp; Annty (CLIAC)'!D38+'Fidelity Mutual'!D38+'First Capital'!D38+Midcontinent!D38+Settlers!D38+Shenandoah!D38</f>
        <v>0</v>
      </c>
      <c r="E38" s="30">
        <f>+'American Community'!E38+'Confed Life &amp; Annty (CLIAC)'!E38+'Fidelity Mutual'!E38+'First Capital'!E38+Midcontinent!E38+Settlers!E38+Shenandoah!E38</f>
        <v>2625.4326901761783</v>
      </c>
      <c r="F38" s="30">
        <f>+'American Community'!F38+'Confed Life &amp; Annty (CLIAC)'!F38+'Fidelity Mutual'!F38+'First Capital'!F38+Midcontinent!F38+Settlers!F38+Shenandoah!F38</f>
        <v>0</v>
      </c>
      <c r="G38" s="30">
        <f t="shared" ref="G38:G58" si="1">SUM(B38:F38)</f>
        <v>76944.437753093822</v>
      </c>
      <c r="H38" s="30"/>
      <c r="I38" s="30"/>
      <c r="J38" s="30"/>
    </row>
    <row r="39" spans="1:10">
      <c r="A39" s="1" t="s">
        <v>60</v>
      </c>
      <c r="B39" s="30">
        <f>+'American Community'!B39+'Confed Life &amp; Annty (CLIAC)'!B39+'Fidelity Mutual'!B39+'First Capital'!B39+Midcontinent!B39+Settlers!B39+Shenandoah!B39</f>
        <v>81345.53772280275</v>
      </c>
      <c r="C39" s="30">
        <f>+'American Community'!C39+'Confed Life &amp; Annty (CLIAC)'!C39+'Fidelity Mutual'!C39+'First Capital'!C39+Midcontinent!C39+Settlers!C39+Shenandoah!C39</f>
        <v>52332.193987086954</v>
      </c>
      <c r="D39" s="30">
        <f>+'American Community'!D39+'Confed Life &amp; Annty (CLIAC)'!D39+'Fidelity Mutual'!D39+'First Capital'!D39+Midcontinent!D39+Settlers!D39+Shenandoah!D39</f>
        <v>27683.373216114614</v>
      </c>
      <c r="E39" s="30">
        <f>+'American Community'!E39+'Confed Life &amp; Annty (CLIAC)'!E39+'Fidelity Mutual'!E39+'First Capital'!E39+Midcontinent!E39+Settlers!E39+Shenandoah!E39</f>
        <v>3367.4268659084501</v>
      </c>
      <c r="F39" s="30">
        <f>+'American Community'!F39+'Confed Life &amp; Annty (CLIAC)'!F39+'Fidelity Mutual'!F39+'First Capital'!F39+Midcontinent!F39+Settlers!F39+Shenandoah!F39</f>
        <v>0</v>
      </c>
      <c r="G39" s="30">
        <f t="shared" si="1"/>
        <v>164728.5317919128</v>
      </c>
      <c r="H39" s="30"/>
      <c r="I39" s="30"/>
      <c r="J39" s="30"/>
    </row>
    <row r="40" spans="1:10">
      <c r="A40" s="1" t="s">
        <v>61</v>
      </c>
      <c r="B40" s="30">
        <f>+'American Community'!B40+'Confed Life &amp; Annty (CLIAC)'!B40+'Fidelity Mutual'!B40+'First Capital'!B40+Midcontinent!B40+Settlers!B40+Shenandoah!B40</f>
        <v>408.7245452163985</v>
      </c>
      <c r="C40" s="30">
        <f>+'American Community'!C40+'Confed Life &amp; Annty (CLIAC)'!C40+'Fidelity Mutual'!C40+'First Capital'!C40+Midcontinent!C40+Settlers!C40+Shenandoah!C40</f>
        <v>0</v>
      </c>
      <c r="D40" s="30">
        <f>+'American Community'!D40+'Confed Life &amp; Annty (CLIAC)'!D40+'Fidelity Mutual'!D40+'First Capital'!D40+Midcontinent!D40+Settlers!D40+Shenandoah!D40</f>
        <v>1.9762207348083973</v>
      </c>
      <c r="E40" s="30">
        <f>+'American Community'!E40+'Confed Life &amp; Annty (CLIAC)'!E40+'Fidelity Mutual'!E40+'First Capital'!E40+Midcontinent!E40+Settlers!E40+Shenandoah!E40</f>
        <v>0</v>
      </c>
      <c r="F40" s="30">
        <f>+'American Community'!F40+'Confed Life &amp; Annty (CLIAC)'!F40+'Fidelity Mutual'!F40+'First Capital'!F40+Midcontinent!F40+Settlers!F40+Shenandoah!F40</f>
        <v>0</v>
      </c>
      <c r="G40" s="30">
        <f t="shared" si="1"/>
        <v>410.7007659512069</v>
      </c>
      <c r="H40" s="30"/>
      <c r="I40" s="30"/>
      <c r="J40" s="30"/>
    </row>
    <row r="41" spans="1:10">
      <c r="A41" s="1" t="s">
        <v>62</v>
      </c>
      <c r="B41" s="30">
        <f>+'American Community'!B41+'Confed Life &amp; Annty (CLIAC)'!B41+'Fidelity Mutual'!B41+'First Capital'!B41+Midcontinent!B41+Settlers!B41+Shenandoah!B41</f>
        <v>63283.178221258073</v>
      </c>
      <c r="C41" s="30">
        <f>+'American Community'!C41+'Confed Life &amp; Annty (CLIAC)'!C41+'Fidelity Mutual'!C41+'First Capital'!C41+Midcontinent!C41+Settlers!C41+Shenandoah!C41</f>
        <v>15159.786262364512</v>
      </c>
      <c r="D41" s="30">
        <f>+'American Community'!D41+'Confed Life &amp; Annty (CLIAC)'!D41+'Fidelity Mutual'!D41+'First Capital'!D41+Midcontinent!D41+Settlers!D41+Shenandoah!D41</f>
        <v>55873.027990555194</v>
      </c>
      <c r="E41" s="30">
        <f>+'American Community'!E41+'Confed Life &amp; Annty (CLIAC)'!E41+'Fidelity Mutual'!E41+'First Capital'!E41+Midcontinent!E41+Settlers!E41+Shenandoah!E41</f>
        <v>3699.9370291093323</v>
      </c>
      <c r="F41" s="30">
        <f>+'American Community'!F41+'Confed Life &amp; Annty (CLIAC)'!F41+'Fidelity Mutual'!F41+'First Capital'!F41+Midcontinent!F41+Settlers!F41+Shenandoah!F41</f>
        <v>0</v>
      </c>
      <c r="G41" s="30">
        <f t="shared" si="1"/>
        <v>138015.9295032871</v>
      </c>
      <c r="H41" s="30"/>
      <c r="I41" s="30"/>
      <c r="J41" s="30"/>
    </row>
    <row r="42" spans="1:10">
      <c r="A42" s="1" t="s">
        <v>63</v>
      </c>
      <c r="B42" s="30">
        <f>+'American Community'!B42+'Confed Life &amp; Annty (CLIAC)'!B42+'Fidelity Mutual'!B42+'First Capital'!B42+Midcontinent!B42+Settlers!B42+Shenandoah!B42</f>
        <v>48651.38824103689</v>
      </c>
      <c r="C42" s="30">
        <f>+'American Community'!C42+'Confed Life &amp; Annty (CLIAC)'!C42+'Fidelity Mutual'!C42+'First Capital'!C42+Midcontinent!C42+Settlers!C42+Shenandoah!C42</f>
        <v>3867.6190658636033</v>
      </c>
      <c r="D42" s="30">
        <f>+'American Community'!D42+'Confed Life &amp; Annty (CLIAC)'!D42+'Fidelity Mutual'!D42+'First Capital'!D42+Midcontinent!D42+Settlers!D42+Shenandoah!D42</f>
        <v>4292.1579528583243</v>
      </c>
      <c r="E42" s="30">
        <f>+'American Community'!E42+'Confed Life &amp; Annty (CLIAC)'!E42+'Fidelity Mutual'!E42+'First Capital'!E42+Midcontinent!E42+Settlers!E42+Shenandoah!E42</f>
        <v>0</v>
      </c>
      <c r="F42" s="30">
        <f>+'American Community'!F42+'Confed Life &amp; Annty (CLIAC)'!F42+'Fidelity Mutual'!F42+'First Capital'!F42+Midcontinent!F42+Settlers!F42+Shenandoah!F42</f>
        <v>0</v>
      </c>
      <c r="G42" s="30">
        <f t="shared" si="1"/>
        <v>56811.165259758818</v>
      </c>
      <c r="H42" s="30"/>
      <c r="I42" s="30"/>
      <c r="J42" s="30"/>
    </row>
    <row r="43" spans="1:10">
      <c r="A43" s="1" t="s">
        <v>64</v>
      </c>
      <c r="B43" s="30">
        <f>+'American Community'!B43+'Confed Life &amp; Annty (CLIAC)'!B43+'Fidelity Mutual'!B43+'First Capital'!B43+Midcontinent!B43+Settlers!B43+Shenandoah!B43</f>
        <v>4552.3550979403217</v>
      </c>
      <c r="C43" s="30">
        <f>+'American Community'!C43+'Confed Life &amp; Annty (CLIAC)'!C43+'Fidelity Mutual'!C43+'First Capital'!C43+Midcontinent!C43+Settlers!C43+Shenandoah!C43</f>
        <v>67.264595534309649</v>
      </c>
      <c r="D43" s="30">
        <f>+'American Community'!D43+'Confed Life &amp; Annty (CLIAC)'!D43+'Fidelity Mutual'!D43+'First Capital'!D43+Midcontinent!D43+Settlers!D43+Shenandoah!D43</f>
        <v>0.39540581910955969</v>
      </c>
      <c r="E43" s="30">
        <f>+'American Community'!E43+'Confed Life &amp; Annty (CLIAC)'!E43+'Fidelity Mutual'!E43+'First Capital'!E43+Midcontinent!E43+Settlers!E43+Shenandoah!E43</f>
        <v>0</v>
      </c>
      <c r="F43" s="30">
        <f>+'American Community'!F43+'Confed Life &amp; Annty (CLIAC)'!F43+'Fidelity Mutual'!F43+'First Capital'!F43+Midcontinent!F43+Settlers!F43+Shenandoah!F43</f>
        <v>0</v>
      </c>
      <c r="G43" s="30">
        <f t="shared" si="1"/>
        <v>4620.0150992937406</v>
      </c>
      <c r="H43" s="30"/>
      <c r="I43" s="30"/>
      <c r="J43" s="30"/>
    </row>
    <row r="44" spans="1:10">
      <c r="A44" s="1" t="s">
        <v>65</v>
      </c>
      <c r="B44" s="30">
        <f>+'American Community'!B44+'Confed Life &amp; Annty (CLIAC)'!B44+'Fidelity Mutual'!B44+'First Capital'!B44+Midcontinent!B44+Settlers!B44+Shenandoah!B44</f>
        <v>233737.60111024763</v>
      </c>
      <c r="C44" s="30">
        <f>+'American Community'!C44+'Confed Life &amp; Annty (CLIAC)'!C44+'Fidelity Mutual'!C44+'First Capital'!C44+Midcontinent!C44+Settlers!C44+Shenandoah!C44</f>
        <v>36108.474118489154</v>
      </c>
      <c r="D44" s="30">
        <f>+'American Community'!D44+'Confed Life &amp; Annty (CLIAC)'!D44+'Fidelity Mutual'!D44+'First Capital'!D44+Midcontinent!D44+Settlers!D44+Shenandoah!D44</f>
        <v>11294.886615968626</v>
      </c>
      <c r="E44" s="30">
        <f>+'American Community'!E44+'Confed Life &amp; Annty (CLIAC)'!E44+'Fidelity Mutual'!E44+'First Capital'!E44+Midcontinent!E44+Settlers!E44+Shenandoah!E44</f>
        <v>13441.201397507341</v>
      </c>
      <c r="F44" s="30">
        <f>+'American Community'!F44+'Confed Life &amp; Annty (CLIAC)'!F44+'Fidelity Mutual'!F44+'First Capital'!F44+Midcontinent!F44+Settlers!F44+Shenandoah!F44</f>
        <v>0</v>
      </c>
      <c r="G44" s="30">
        <f t="shared" si="1"/>
        <v>294582.16324221273</v>
      </c>
      <c r="H44" s="30"/>
      <c r="I44" s="30"/>
      <c r="J44" s="30"/>
    </row>
    <row r="45" spans="1:10">
      <c r="A45" s="1" t="s">
        <v>66</v>
      </c>
      <c r="B45" s="30">
        <f>+'American Community'!B45+'Confed Life &amp; Annty (CLIAC)'!B45+'Fidelity Mutual'!B45+'First Capital'!B45+Midcontinent!B45+Settlers!B45+Shenandoah!B45</f>
        <v>33.649569152645</v>
      </c>
      <c r="C45" s="30">
        <f>+'American Community'!C45+'Confed Life &amp; Annty (CLIAC)'!C45+'Fidelity Mutual'!C45+'First Capital'!C45+Midcontinent!C45+Settlers!C45+Shenandoah!C45</f>
        <v>0</v>
      </c>
      <c r="D45" s="30">
        <f>+'American Community'!D45+'Confed Life &amp; Annty (CLIAC)'!D45+'Fidelity Mutual'!D45+'First Capital'!D45+Midcontinent!D45+Settlers!D45+Shenandoah!D45</f>
        <v>0</v>
      </c>
      <c r="E45" s="30">
        <f>+'American Community'!E45+'Confed Life &amp; Annty (CLIAC)'!E45+'Fidelity Mutual'!E45+'First Capital'!E45+Midcontinent!E45+Settlers!E45+Shenandoah!E45</f>
        <v>0</v>
      </c>
      <c r="F45" s="30">
        <f>+'American Community'!F45+'Confed Life &amp; Annty (CLIAC)'!F45+'Fidelity Mutual'!F45+'First Capital'!F45+Midcontinent!F45+Settlers!F45+Shenandoah!F45</f>
        <v>0</v>
      </c>
      <c r="G45" s="30">
        <f t="shared" si="1"/>
        <v>33.649569152645</v>
      </c>
      <c r="H45" s="30"/>
      <c r="I45" s="30"/>
      <c r="J45" s="30"/>
    </row>
    <row r="46" spans="1:10">
      <c r="A46" s="1" t="s">
        <v>67</v>
      </c>
      <c r="B46" s="30">
        <f>+'American Community'!B46+'Confed Life &amp; Annty (CLIAC)'!B46+'Fidelity Mutual'!B46+'First Capital'!B46+Midcontinent!B46+Settlers!B46+Shenandoah!B46</f>
        <v>9591.1821244318871</v>
      </c>
      <c r="C46" s="30">
        <f>+'American Community'!C46+'Confed Life &amp; Annty (CLIAC)'!C46+'Fidelity Mutual'!C46+'First Capital'!C46+Midcontinent!C46+Settlers!C46+Shenandoah!C46</f>
        <v>225.61601127540882</v>
      </c>
      <c r="D46" s="30">
        <f>+'American Community'!D46+'Confed Life &amp; Annty (CLIAC)'!D46+'Fidelity Mutual'!D46+'First Capital'!D46+Midcontinent!D46+Settlers!D46+Shenandoah!D46</f>
        <v>0</v>
      </c>
      <c r="E46" s="30">
        <f>+'American Community'!E46+'Confed Life &amp; Annty (CLIAC)'!E46+'Fidelity Mutual'!E46+'First Capital'!E46+Midcontinent!E46+Settlers!E46+Shenandoah!E46</f>
        <v>0</v>
      </c>
      <c r="F46" s="30">
        <f>+'American Community'!F46+'Confed Life &amp; Annty (CLIAC)'!F46+'Fidelity Mutual'!F46+'First Capital'!F46+Midcontinent!F46+Settlers!F46+Shenandoah!F46</f>
        <v>0</v>
      </c>
      <c r="G46" s="30">
        <f t="shared" si="1"/>
        <v>9816.7981357072968</v>
      </c>
      <c r="H46" s="30"/>
      <c r="I46" s="30"/>
      <c r="J46" s="30"/>
    </row>
    <row r="47" spans="1:10">
      <c r="A47" s="1" t="s">
        <v>68</v>
      </c>
      <c r="B47" s="30">
        <f>+'American Community'!B47+'Confed Life &amp; Annty (CLIAC)'!B47+'Fidelity Mutual'!B47+'First Capital'!B47+Midcontinent!B47+Settlers!B47+Shenandoah!B47</f>
        <v>30291.501397978875</v>
      </c>
      <c r="C47" s="30">
        <f>+'American Community'!C47+'Confed Life &amp; Annty (CLIAC)'!C47+'Fidelity Mutual'!C47+'First Capital'!C47+Midcontinent!C47+Settlers!C47+Shenandoah!C47</f>
        <v>10092.294283578849</v>
      </c>
      <c r="D47" s="30">
        <f>+'American Community'!D47+'Confed Life &amp; Annty (CLIAC)'!D47+'Fidelity Mutual'!D47+'First Capital'!D47+Midcontinent!D47+Settlers!D47+Shenandoah!D47</f>
        <v>8810.283612616171</v>
      </c>
      <c r="E47" s="30">
        <f>+'American Community'!E47+'Confed Life &amp; Annty (CLIAC)'!E47+'Fidelity Mutual'!E47+'First Capital'!E47+Midcontinent!E47+Settlers!E47+Shenandoah!E47</f>
        <v>0</v>
      </c>
      <c r="F47" s="30">
        <f>+'American Community'!F47+'Confed Life &amp; Annty (CLIAC)'!F47+'Fidelity Mutual'!F47+'First Capital'!F47+Midcontinent!F47+Settlers!F47+Shenandoah!F47</f>
        <v>0</v>
      </c>
      <c r="G47" s="30">
        <f t="shared" si="1"/>
        <v>49194.079294173891</v>
      </c>
      <c r="H47" s="30"/>
      <c r="I47" s="30"/>
      <c r="J47" s="30"/>
    </row>
    <row r="48" spans="1:10">
      <c r="A48" s="1" t="s">
        <v>69</v>
      </c>
      <c r="B48" s="30">
        <f>+'American Community'!B48+'Confed Life &amp; Annty (CLIAC)'!B48+'Fidelity Mutual'!B48+'First Capital'!B48+Midcontinent!B48+Settlers!B48+Shenandoah!B48</f>
        <v>528.37577440790824</v>
      </c>
      <c r="C48" s="30">
        <f>+'American Community'!C48+'Confed Life &amp; Annty (CLIAC)'!C48+'Fidelity Mutual'!C48+'First Capital'!C48+Midcontinent!C48+Settlers!C48+Shenandoah!C48</f>
        <v>2.0708961659710763</v>
      </c>
      <c r="D48" s="30">
        <f>+'American Community'!D48+'Confed Life &amp; Annty (CLIAC)'!D48+'Fidelity Mutual'!D48+'First Capital'!D48+Midcontinent!D48+Settlers!D48+Shenandoah!D48</f>
        <v>0</v>
      </c>
      <c r="E48" s="30">
        <f>+'American Community'!E48+'Confed Life &amp; Annty (CLIAC)'!E48+'Fidelity Mutual'!E48+'First Capital'!E48+Midcontinent!E48+Settlers!E48+Shenandoah!E48</f>
        <v>0</v>
      </c>
      <c r="F48" s="30">
        <f>+'American Community'!F48+'Confed Life &amp; Annty (CLIAC)'!F48+'Fidelity Mutual'!F48+'First Capital'!F48+Midcontinent!F48+Settlers!F48+Shenandoah!F48</f>
        <v>0</v>
      </c>
      <c r="G48" s="30">
        <f t="shared" si="1"/>
        <v>530.44667057387926</v>
      </c>
      <c r="H48" s="30"/>
      <c r="I48" s="30"/>
      <c r="J48" s="30"/>
    </row>
    <row r="49" spans="1:10">
      <c r="A49" s="1" t="s">
        <v>70</v>
      </c>
      <c r="B49" s="30">
        <f>+'American Community'!B49+'Confed Life &amp; Annty (CLIAC)'!B49+'Fidelity Mutual'!B49+'First Capital'!B49+Midcontinent!B49+Settlers!B49+Shenandoah!B49</f>
        <v>84361.64468114925</v>
      </c>
      <c r="C49" s="30">
        <f>+'American Community'!C49+'Confed Life &amp; Annty (CLIAC)'!C49+'Fidelity Mutual'!C49+'First Capital'!C49+Midcontinent!C49+Settlers!C49+Shenandoah!C49</f>
        <v>18229.288244095136</v>
      </c>
      <c r="D49" s="30">
        <f>+'American Community'!D49+'Confed Life &amp; Annty (CLIAC)'!D49+'Fidelity Mutual'!D49+'First Capital'!D49+Midcontinent!D49+Settlers!D49+Shenandoah!D49</f>
        <v>9261.0799948015738</v>
      </c>
      <c r="E49" s="30">
        <f>+'American Community'!E49+'Confed Life &amp; Annty (CLIAC)'!E49+'Fidelity Mutual'!E49+'First Capital'!E49+Midcontinent!E49+Settlers!E49+Shenandoah!E49</f>
        <v>0</v>
      </c>
      <c r="F49" s="30">
        <f>+'American Community'!F49+'Confed Life &amp; Annty (CLIAC)'!F49+'Fidelity Mutual'!F49+'First Capital'!F49+Midcontinent!F49+Settlers!F49+Shenandoah!F49</f>
        <v>0</v>
      </c>
      <c r="G49" s="30">
        <f t="shared" si="1"/>
        <v>111852.01292004596</v>
      </c>
      <c r="H49" s="30"/>
      <c r="I49" s="30"/>
      <c r="J49" s="30"/>
    </row>
    <row r="50" spans="1:10">
      <c r="A50" s="1" t="s">
        <v>71</v>
      </c>
      <c r="B50" s="30">
        <f>+'American Community'!B50+'Confed Life &amp; Annty (CLIAC)'!B50+'Fidelity Mutual'!B50+'First Capital'!B50+Midcontinent!B50+Settlers!B50+Shenandoah!B50</f>
        <v>171943.24150889987</v>
      </c>
      <c r="C50" s="30">
        <f>+'American Community'!C50+'Confed Life &amp; Annty (CLIAC)'!C50+'Fidelity Mutual'!C50+'First Capital'!C50+Midcontinent!C50+Settlers!C50+Shenandoah!C50</f>
        <v>14546.974850618441</v>
      </c>
      <c r="D50" s="30">
        <f>+'American Community'!D50+'Confed Life &amp; Annty (CLIAC)'!D50+'Fidelity Mutual'!D50+'First Capital'!D50+Midcontinent!D50+Settlers!D50+Shenandoah!D50</f>
        <v>16195.666365966787</v>
      </c>
      <c r="E50" s="30">
        <f>+'American Community'!E50+'Confed Life &amp; Annty (CLIAC)'!E50+'Fidelity Mutual'!E50+'First Capital'!E50+Midcontinent!E50+Settlers!E50+Shenandoah!E50</f>
        <v>0</v>
      </c>
      <c r="F50" s="30">
        <f>+'American Community'!F50+'Confed Life &amp; Annty (CLIAC)'!F50+'Fidelity Mutual'!F50+'First Capital'!F50+Midcontinent!F50+Settlers!F50+Shenandoah!F50</f>
        <v>0</v>
      </c>
      <c r="G50" s="30">
        <f t="shared" si="1"/>
        <v>202685.88272548508</v>
      </c>
      <c r="H50" s="30"/>
      <c r="I50" s="30"/>
      <c r="J50" s="30"/>
    </row>
    <row r="51" spans="1:10">
      <c r="A51" s="1" t="s">
        <v>72</v>
      </c>
      <c r="B51" s="30">
        <f>+'American Community'!B51+'Confed Life &amp; Annty (CLIAC)'!B51+'Fidelity Mutual'!B51+'First Capital'!B51+Midcontinent!B51+Settlers!B51+Shenandoah!B51</f>
        <v>2079.7146858367933</v>
      </c>
      <c r="C51" s="30">
        <f>+'American Community'!C51+'Confed Life &amp; Annty (CLIAC)'!C51+'Fidelity Mutual'!C51+'First Capital'!C51+Midcontinent!C51+Settlers!C51+Shenandoah!C51</f>
        <v>24.133596308984295</v>
      </c>
      <c r="D51" s="30">
        <f>+'American Community'!D51+'Confed Life &amp; Annty (CLIAC)'!D51+'Fidelity Mutual'!D51+'First Capital'!D51+Midcontinent!D51+Settlers!D51+Shenandoah!D51</f>
        <v>0</v>
      </c>
      <c r="E51" s="30">
        <f>+'American Community'!E51+'Confed Life &amp; Annty (CLIAC)'!E51+'Fidelity Mutual'!E51+'First Capital'!E51+Midcontinent!E51+Settlers!E51+Shenandoah!E51</f>
        <v>0</v>
      </c>
      <c r="F51" s="30">
        <f>+'American Community'!F51+'Confed Life &amp; Annty (CLIAC)'!F51+'Fidelity Mutual'!F51+'First Capital'!F51+Midcontinent!F51+Settlers!F51+Shenandoah!F51</f>
        <v>0</v>
      </c>
      <c r="G51" s="30">
        <f t="shared" si="1"/>
        <v>2103.8482821457774</v>
      </c>
      <c r="H51" s="30"/>
      <c r="I51" s="30"/>
      <c r="J51" s="30"/>
    </row>
    <row r="52" spans="1:10">
      <c r="A52" s="1" t="s">
        <v>73</v>
      </c>
      <c r="B52" s="30">
        <f>+'American Community'!B52+'Confed Life &amp; Annty (CLIAC)'!B52+'Fidelity Mutual'!B52+'First Capital'!B52+Midcontinent!B52+Settlers!B52+Shenandoah!B52</f>
        <v>1507.7184436233883</v>
      </c>
      <c r="C52" s="30">
        <f>+'American Community'!C52+'Confed Life &amp; Annty (CLIAC)'!C52+'Fidelity Mutual'!C52+'First Capital'!C52+Midcontinent!C52+Settlers!C52+Shenandoah!C52</f>
        <v>5.2385971834387632</v>
      </c>
      <c r="D52" s="30">
        <f>+'American Community'!D52+'Confed Life &amp; Annty (CLIAC)'!D52+'Fidelity Mutual'!D52+'First Capital'!D52+Midcontinent!D52+Settlers!D52+Shenandoah!D52</f>
        <v>0</v>
      </c>
      <c r="E52" s="30">
        <f>+'American Community'!E52+'Confed Life &amp; Annty (CLIAC)'!E52+'Fidelity Mutual'!E52+'First Capital'!E52+Midcontinent!E52+Settlers!E52+Shenandoah!E52</f>
        <v>0</v>
      </c>
      <c r="F52" s="30">
        <f>+'American Community'!F52+'Confed Life &amp; Annty (CLIAC)'!F52+'Fidelity Mutual'!F52+'First Capital'!F52+Midcontinent!F52+Settlers!F52+Shenandoah!F52</f>
        <v>0</v>
      </c>
      <c r="G52" s="30">
        <f t="shared" si="1"/>
        <v>1512.9570408068271</v>
      </c>
      <c r="H52" s="30"/>
      <c r="I52" s="30"/>
      <c r="J52" s="30"/>
    </row>
    <row r="53" spans="1:10">
      <c r="A53" s="1" t="s">
        <v>74</v>
      </c>
      <c r="B53" s="30">
        <f>+'American Community'!B53+'Confed Life &amp; Annty (CLIAC)'!B53+'Fidelity Mutual'!B53+'First Capital'!B53+Midcontinent!B53+Settlers!B53+Shenandoah!B53</f>
        <v>138126.8972476093</v>
      </c>
      <c r="C53" s="30">
        <f>+'American Community'!C53+'Confed Life &amp; Annty (CLIAC)'!C53+'Fidelity Mutual'!C53+'First Capital'!C53+Midcontinent!C53+Settlers!C53+Shenandoah!C53</f>
        <v>23284.260587932768</v>
      </c>
      <c r="D53" s="30">
        <f>+'American Community'!D53+'Confed Life &amp; Annty (CLIAC)'!D53+'Fidelity Mutual'!D53+'First Capital'!D53+Midcontinent!D53+Settlers!D53+Shenandoah!D53</f>
        <v>34781.298384511589</v>
      </c>
      <c r="E53" s="30">
        <f>+'American Community'!E53+'Confed Life &amp; Annty (CLIAC)'!E53+'Fidelity Mutual'!E53+'First Capital'!E53+Midcontinent!E53+Settlers!E53+Shenandoah!E53</f>
        <v>0</v>
      </c>
      <c r="F53" s="30">
        <f>+'American Community'!F53+'Confed Life &amp; Annty (CLIAC)'!F53+'Fidelity Mutual'!F53+'First Capital'!F53+Midcontinent!F53+Settlers!F53+Shenandoah!F53</f>
        <v>0</v>
      </c>
      <c r="G53" s="30">
        <f t="shared" si="1"/>
        <v>196192.45622005366</v>
      </c>
      <c r="H53" s="30"/>
      <c r="I53" s="30"/>
      <c r="J53" s="30"/>
    </row>
    <row r="54" spans="1:10">
      <c r="A54" s="1" t="s">
        <v>75</v>
      </c>
      <c r="B54" s="30">
        <f>+'American Community'!B54+'Confed Life &amp; Annty (CLIAC)'!B54+'Fidelity Mutual'!B54+'First Capital'!B54+Midcontinent!B54+Settlers!B54+Shenandoah!B54</f>
        <v>12216.856540614928</v>
      </c>
      <c r="C54" s="30">
        <f>+'American Community'!C54+'Confed Life &amp; Annty (CLIAC)'!C54+'Fidelity Mutual'!C54+'First Capital'!C54+Midcontinent!C54+Settlers!C54+Shenandoah!C54</f>
        <v>3250.3808491795326</v>
      </c>
      <c r="D54" s="30">
        <f>+'American Community'!D54+'Confed Life &amp; Annty (CLIAC)'!D54+'Fidelity Mutual'!D54+'First Capital'!D54+Midcontinent!D54+Settlers!D54+Shenandoah!D54</f>
        <v>20.750317715488169</v>
      </c>
      <c r="E54" s="30">
        <f>+'American Community'!E54+'Confed Life &amp; Annty (CLIAC)'!E54+'Fidelity Mutual'!E54+'First Capital'!E54+Midcontinent!E54+Settlers!E54+Shenandoah!E54</f>
        <v>0</v>
      </c>
      <c r="F54" s="30">
        <f>+'American Community'!F54+'Confed Life &amp; Annty (CLIAC)'!F54+'Fidelity Mutual'!F54+'First Capital'!F54+Midcontinent!F54+Settlers!F54+Shenandoah!F54</f>
        <v>0</v>
      </c>
      <c r="G54" s="30">
        <f t="shared" si="1"/>
        <v>15487.987707509948</v>
      </c>
      <c r="H54" s="30"/>
      <c r="I54" s="30"/>
      <c r="J54" s="30"/>
    </row>
    <row r="55" spans="1:10">
      <c r="A55" s="1" t="s">
        <v>76</v>
      </c>
      <c r="B55" s="30">
        <f>+'American Community'!B55+'Confed Life &amp; Annty (CLIAC)'!B55+'Fidelity Mutual'!B55+'First Capital'!B55+Midcontinent!B55+Settlers!B55+Shenandoah!B55</f>
        <v>6304.0938075813083</v>
      </c>
      <c r="C55" s="30">
        <f>+'American Community'!C55+'Confed Life &amp; Annty (CLIAC)'!C55+'Fidelity Mutual'!C55+'First Capital'!C55+Midcontinent!C55+Settlers!C55+Shenandoah!C55</f>
        <v>1372.641474865728</v>
      </c>
      <c r="D55" s="30">
        <f>+'American Community'!D55+'Confed Life &amp; Annty (CLIAC)'!D55+'Fidelity Mutual'!D55+'First Capital'!D55+Midcontinent!D55+Settlers!D55+Shenandoah!D55</f>
        <v>1266.0801273066529</v>
      </c>
      <c r="E55" s="30">
        <f>+'American Community'!E55+'Confed Life &amp; Annty (CLIAC)'!E55+'Fidelity Mutual'!E55+'First Capital'!E55+Midcontinent!E55+Settlers!E55+Shenandoah!E55</f>
        <v>0</v>
      </c>
      <c r="F55" s="30">
        <f>+'American Community'!F55+'Confed Life &amp; Annty (CLIAC)'!F55+'Fidelity Mutual'!F55+'First Capital'!F55+Midcontinent!F55+Settlers!F55+Shenandoah!F55</f>
        <v>0</v>
      </c>
      <c r="G55" s="30">
        <f t="shared" si="1"/>
        <v>8942.8154097536899</v>
      </c>
      <c r="H55" s="30"/>
      <c r="I55" s="30"/>
      <c r="J55" s="30"/>
    </row>
    <row r="56" spans="1:10">
      <c r="A56" s="1" t="s">
        <v>77</v>
      </c>
      <c r="B56" s="30">
        <f>+'American Community'!B56+'Confed Life &amp; Annty (CLIAC)'!B56+'Fidelity Mutual'!B56+'First Capital'!B56+Midcontinent!B56+Settlers!B56+Shenandoah!B56</f>
        <v>9559.672760181551</v>
      </c>
      <c r="C56" s="30">
        <f>+'American Community'!C56+'Confed Life &amp; Annty (CLIAC)'!C56+'Fidelity Mutual'!C56+'First Capital'!C56+Midcontinent!C56+Settlers!C56+Shenandoah!C56</f>
        <v>3177.6556871016223</v>
      </c>
      <c r="D56" s="30">
        <f>+'American Community'!D56+'Confed Life &amp; Annty (CLIAC)'!D56+'Fidelity Mutual'!D56+'First Capital'!D56+Midcontinent!D56+Settlers!D56+Shenandoah!D56</f>
        <v>8413.312331567884</v>
      </c>
      <c r="E56" s="30">
        <f>+'American Community'!E56+'Confed Life &amp; Annty (CLIAC)'!E56+'Fidelity Mutual'!E56+'First Capital'!E56+Midcontinent!E56+Settlers!E56+Shenandoah!E56</f>
        <v>0</v>
      </c>
      <c r="F56" s="30">
        <f>+'American Community'!F56+'Confed Life &amp; Annty (CLIAC)'!F56+'Fidelity Mutual'!F56+'First Capital'!F56+Midcontinent!F56+Settlers!F56+Shenandoah!F56</f>
        <v>0</v>
      </c>
      <c r="G56" s="30">
        <f t="shared" si="1"/>
        <v>21150.640778851055</v>
      </c>
      <c r="H56" s="30"/>
      <c r="I56" s="30"/>
      <c r="J56" s="30"/>
    </row>
    <row r="57" spans="1:10">
      <c r="A57" s="1" t="s">
        <v>78</v>
      </c>
      <c r="B57" s="30">
        <f>+'American Community'!B57+'Confed Life &amp; Annty (CLIAC)'!B57+'Fidelity Mutual'!B57+'First Capital'!B57+Midcontinent!B57+Settlers!B57+Shenandoah!B57</f>
        <v>230.53946222747862</v>
      </c>
      <c r="C57" s="30">
        <f>+'American Community'!C57+'Confed Life &amp; Annty (CLIAC)'!C57+'Fidelity Mutual'!C57+'First Capital'!C57+Midcontinent!C57+Settlers!C57+Shenandoah!C57</f>
        <v>18.717197970786913</v>
      </c>
      <c r="D57" s="30">
        <f>+'American Community'!D57+'Confed Life &amp; Annty (CLIAC)'!D57+'Fidelity Mutual'!D57+'First Capital'!D57+Midcontinent!D57+Settlers!D57+Shenandoah!D57</f>
        <v>2.9643311022125962</v>
      </c>
      <c r="E57" s="30">
        <f>+'American Community'!E57+'Confed Life &amp; Annty (CLIAC)'!E57+'Fidelity Mutual'!E57+'First Capital'!E57+Midcontinent!E57+Settlers!E57+Shenandoah!E57</f>
        <v>0</v>
      </c>
      <c r="F57" s="30">
        <f>+'American Community'!F57+'Confed Life &amp; Annty (CLIAC)'!F57+'Fidelity Mutual'!F57+'First Capital'!F57+Midcontinent!F57+Settlers!F57+Shenandoah!F57</f>
        <v>0</v>
      </c>
      <c r="G57" s="30">
        <f t="shared" si="1"/>
        <v>252.22099130047812</v>
      </c>
      <c r="H57" s="30"/>
      <c r="I57" s="30"/>
      <c r="J57" s="30"/>
    </row>
    <row r="58" spans="1:10">
      <c r="A58" s="1" t="s">
        <v>79</v>
      </c>
      <c r="B58" s="30">
        <f>+'American Community'!B58+'Confed Life &amp; Annty (CLIAC)'!B58+'Fidelity Mutual'!B58+'First Capital'!B58+Midcontinent!B58+Settlers!B58+Shenandoah!B58</f>
        <v>0</v>
      </c>
      <c r="C58" s="30">
        <f>+'American Community'!C58+'Confed Life &amp; Annty (CLIAC)'!C58+'Fidelity Mutual'!C58+'First Capital'!C58+Midcontinent!C58+Settlers!C58+Shenandoah!C58</f>
        <v>0</v>
      </c>
      <c r="D58" s="30">
        <f>+'American Community'!D58+'Confed Life &amp; Annty (CLIAC)'!D58+'Fidelity Mutual'!D58+'First Capital'!D58+Midcontinent!D58+Settlers!D58+Shenandoah!D58</f>
        <v>0</v>
      </c>
      <c r="E58" s="30">
        <f>+'American Community'!E58+'Confed Life &amp; Annty (CLIAC)'!E58+'Fidelity Mutual'!E58+'First Capital'!E58+Midcontinent!E58+Settlers!E58+Shenandoah!E58</f>
        <v>0</v>
      </c>
      <c r="F58" s="30">
        <f>+'American Community'!F58+'Confed Life &amp; Annty (CLIAC)'!F58+'Fidelity Mutual'!F58+'First Capital'!F58+Midcontinent!F58+Settlers!F58+Shenandoah!F58</f>
        <v>0</v>
      </c>
      <c r="G58" s="30">
        <f t="shared" si="1"/>
        <v>0</v>
      </c>
      <c r="H58" s="30"/>
      <c r="I58" s="30"/>
      <c r="J58" s="30"/>
    </row>
    <row r="59" spans="1:10">
      <c r="B59" s="30"/>
      <c r="C59" s="30"/>
      <c r="D59" s="30"/>
      <c r="E59" s="30"/>
      <c r="F59" s="30"/>
      <c r="G59" s="30"/>
      <c r="H59" s="30"/>
      <c r="I59" s="30"/>
      <c r="J59" s="30"/>
    </row>
    <row r="60" spans="1:10">
      <c r="B60" s="30"/>
      <c r="C60" s="30"/>
      <c r="D60" s="30"/>
      <c r="E60" s="30"/>
      <c r="F60" s="30"/>
      <c r="G60" s="30"/>
      <c r="H60" s="30"/>
      <c r="I60" s="30"/>
      <c r="J60" s="30"/>
    </row>
    <row r="61" spans="1:10">
      <c r="A61" s="1" t="s">
        <v>8</v>
      </c>
      <c r="B61" s="30">
        <f>SUM(LIFE)</f>
        <v>1876814.5050498566</v>
      </c>
      <c r="C61" s="30">
        <f>SUM(ALLOCATED)</f>
        <v>305927.78861455363</v>
      </c>
      <c r="D61" s="30">
        <f>SUM(HEALTH)</f>
        <v>448292.63042158028</v>
      </c>
      <c r="E61" s="30">
        <f>SUM(UNALLOCATED)</f>
        <v>28074.675914009502</v>
      </c>
      <c r="F61" s="30">
        <f>SUM(LTC)</f>
        <v>0</v>
      </c>
      <c r="G61" s="30">
        <f>SUM(TOTAL)</f>
        <v>2659109.6</v>
      </c>
      <c r="H61" s="30"/>
      <c r="I61" s="30"/>
      <c r="J61" s="30"/>
    </row>
  </sheetData>
  <mergeCells count="1">
    <mergeCell ref="A1:G1"/>
  </mergeCells>
  <pageMargins left="0.25" right="0.25" top="0.5" bottom="0.5" header="0.3" footer="0.3"/>
  <pageSetup paperSize="5" scale="59"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pageSetUpPr fitToPage="1"/>
  </sheetPr>
  <dimension ref="A1:S63"/>
  <sheetViews>
    <sheetView zoomScale="75" workbookViewId="0">
      <selection sqref="A1:G1"/>
    </sheetView>
  </sheetViews>
  <sheetFormatPr defaultRowHeight="15"/>
  <cols>
    <col min="1" max="1" width="20" style="1" customWidth="1"/>
    <col min="2" max="6" width="15" style="1" customWidth="1"/>
    <col min="7" max="7" width="16" style="1" customWidth="1"/>
    <col min="8" max="8" width="1" style="1" customWidth="1"/>
    <col min="9" max="10" width="15" style="1" customWidth="1"/>
    <col min="11" max="11" width="1" style="1" customWidth="1"/>
    <col min="12" max="13" width="15" style="1" customWidth="1"/>
    <col min="14" max="14" width="1" style="1" customWidth="1"/>
    <col min="15" max="16" width="15" style="1" customWidth="1"/>
    <col min="17" max="17" width="1" style="1" customWidth="1"/>
    <col min="18" max="19" width="15" style="1" customWidth="1"/>
    <col min="20" max="20" width="9.140625" style="1" customWidth="1"/>
    <col min="21" max="16384" width="9.140625" style="1"/>
  </cols>
  <sheetData>
    <row r="1" spans="1:19">
      <c r="A1" s="129" t="s">
        <v>622</v>
      </c>
      <c r="B1" s="129"/>
      <c r="C1" s="129"/>
      <c r="D1" s="129"/>
      <c r="E1" s="129"/>
      <c r="F1" s="129"/>
      <c r="G1" s="129"/>
    </row>
    <row r="3" spans="1:19">
      <c r="B3" s="130" t="s">
        <v>1</v>
      </c>
      <c r="C3" s="131"/>
      <c r="D3" s="131"/>
      <c r="E3" s="131"/>
      <c r="F3" s="131"/>
      <c r="G3" s="132"/>
      <c r="I3" s="133" t="s">
        <v>2</v>
      </c>
      <c r="J3" s="134"/>
      <c r="K3" s="134"/>
      <c r="L3" s="134"/>
      <c r="M3" s="134"/>
      <c r="N3" s="134"/>
      <c r="O3" s="134"/>
      <c r="P3" s="134"/>
      <c r="Q3" s="134"/>
      <c r="R3" s="134"/>
      <c r="S3" s="135"/>
    </row>
    <row r="4" spans="1:19">
      <c r="B4" s="8"/>
      <c r="G4" s="11"/>
      <c r="I4" s="136" t="s">
        <v>3</v>
      </c>
      <c r="J4" s="137"/>
      <c r="K4" s="4"/>
      <c r="L4" s="138" t="s">
        <v>4</v>
      </c>
      <c r="M4" s="137"/>
      <c r="N4" s="4"/>
      <c r="O4" s="138" t="s">
        <v>5</v>
      </c>
      <c r="P4" s="137"/>
      <c r="Q4" s="4"/>
      <c r="R4" s="138" t="s">
        <v>6</v>
      </c>
      <c r="S4" s="139"/>
    </row>
    <row r="5" spans="1:19" ht="60" customHeight="1">
      <c r="B5" s="9" t="s">
        <v>3</v>
      </c>
      <c r="C5" s="5" t="s">
        <v>4</v>
      </c>
      <c r="D5" s="5" t="s">
        <v>5</v>
      </c>
      <c r="E5" s="5" t="s">
        <v>6</v>
      </c>
      <c r="F5" s="5" t="s">
        <v>7</v>
      </c>
      <c r="G5" s="12" t="s">
        <v>8</v>
      </c>
      <c r="I5" s="15" t="s">
        <v>9</v>
      </c>
      <c r="J5" s="14" t="s">
        <v>10</v>
      </c>
      <c r="K5" s="14"/>
      <c r="L5" s="14" t="s">
        <v>9</v>
      </c>
      <c r="M5" s="14" t="s">
        <v>10</v>
      </c>
      <c r="N5" s="14"/>
      <c r="O5" s="14" t="s">
        <v>9</v>
      </c>
      <c r="P5" s="14" t="s">
        <v>10</v>
      </c>
      <c r="Q5" s="14"/>
      <c r="R5" s="14" t="s">
        <v>9</v>
      </c>
      <c r="S5" s="16" t="s">
        <v>10</v>
      </c>
    </row>
    <row r="6" spans="1:19">
      <c r="A6" s="1" t="s">
        <v>11</v>
      </c>
      <c r="B6" s="29">
        <f>+'Pre-Liquidation Summary'!B6+'Open Summary'!B6+'Closed Summary'!B6+'Estate Closed Summary'!B6+'Released from Oversight Summary'!B6</f>
        <v>42688396.276488349</v>
      </c>
      <c r="C6" s="30">
        <f>+'Pre-Liquidation Summary'!C6+'Open Summary'!C6+'Closed Summary'!C6+'Estate Closed Summary'!C6+'Released from Oversight Summary'!C6</f>
        <v>30444997.425650544</v>
      </c>
      <c r="D6" s="30">
        <f>+'Pre-Liquidation Summary'!D6+'Open Summary'!D6+'Closed Summary'!D6+'Estate Closed Summary'!D6+'Released from Oversight Summary'!D6</f>
        <v>10122834.882883145</v>
      </c>
      <c r="E6" s="30">
        <f>+'Pre-Liquidation Summary'!E6+'Open Summary'!E6+'Closed Summary'!E6+'Estate Closed Summary'!E6+'Released from Oversight Summary'!E6</f>
        <v>0</v>
      </c>
      <c r="F6" s="30">
        <f>+'Pre-Liquidation Summary'!F6+'Open Summary'!F6+'Closed Summary'!F6+'Estate Closed Summary'!F6+'Released from Oversight Summary'!F6</f>
        <v>0</v>
      </c>
      <c r="G6" s="31">
        <f>SUM(AL_FINANCIAL)</f>
        <v>83256228.585022047</v>
      </c>
      <c r="H6" s="30"/>
      <c r="I6" s="29">
        <f>SUM('Alabama Life:Villanova'!L6)</f>
        <v>22368855</v>
      </c>
      <c r="J6" s="30">
        <f>SUM('Alabama Life:Villanova'!M6)</f>
        <v>0</v>
      </c>
      <c r="K6" s="30"/>
      <c r="L6" s="30">
        <f>SUM('Alabama Life:Villanova'!O6)</f>
        <v>33937732</v>
      </c>
      <c r="M6" s="30">
        <f>SUM('Alabama Life:Villanova'!P6)</f>
        <v>0</v>
      </c>
      <c r="N6" s="30"/>
      <c r="O6" s="30">
        <f>SUM('Alabama Life:Villanova'!R6)</f>
        <v>2060000</v>
      </c>
      <c r="P6" s="30">
        <f>SUM('Alabama Life:Villanova'!S6)</f>
        <v>0</v>
      </c>
      <c r="Q6" s="30"/>
      <c r="R6" s="30">
        <f>SUM('Alabama Life:Villanova'!U6)</f>
        <v>0</v>
      </c>
      <c r="S6" s="31">
        <f>SUM('Alabama Life:Villanova'!V6)</f>
        <v>0</v>
      </c>
    </row>
    <row r="7" spans="1:19">
      <c r="A7" s="1" t="s">
        <v>12</v>
      </c>
      <c r="B7" s="29">
        <f>+'Pre-Liquidation Summary'!B7+'Open Summary'!B7+'Closed Summary'!B7+'Estate Closed Summary'!B7+'Released from Oversight Summary'!B7</f>
        <v>673368.57792046922</v>
      </c>
      <c r="C7" s="30">
        <f>+'Pre-Liquidation Summary'!C7+'Open Summary'!C7+'Closed Summary'!C7+'Estate Closed Summary'!C7+'Released from Oversight Summary'!C7</f>
        <v>5876936.8647430912</v>
      </c>
      <c r="D7" s="30">
        <f>+'Pre-Liquidation Summary'!D7+'Open Summary'!D7+'Closed Summary'!D7+'Estate Closed Summary'!D7+'Released from Oversight Summary'!D7</f>
        <v>1247154.5308933472</v>
      </c>
      <c r="E7" s="30">
        <f>+'Pre-Liquidation Summary'!E7+'Open Summary'!E7+'Closed Summary'!E7+'Estate Closed Summary'!E7+'Released from Oversight Summary'!E7</f>
        <v>-526.53156057171236</v>
      </c>
      <c r="F7" s="30">
        <f>+'Pre-Liquidation Summary'!F7+'Open Summary'!F7+'Closed Summary'!F7+'Estate Closed Summary'!F7+'Released from Oversight Summary'!F7</f>
        <v>0</v>
      </c>
      <c r="G7" s="31">
        <f>SUM(AK_FINANCIAL)</f>
        <v>7796933.441996336</v>
      </c>
      <c r="H7" s="30"/>
      <c r="I7" s="29">
        <f>SUM('Alabama Life:Villanova'!L7)</f>
        <v>2063342</v>
      </c>
      <c r="J7" s="30">
        <f>SUM('Alabama Life:Villanova'!M7)</f>
        <v>454500</v>
      </c>
      <c r="K7" s="30"/>
      <c r="L7" s="30">
        <f>SUM('Alabama Life:Villanova'!O7)</f>
        <v>6747089</v>
      </c>
      <c r="M7" s="30">
        <f>SUM('Alabama Life:Villanova'!P7)</f>
        <v>333181</v>
      </c>
      <c r="N7" s="30"/>
      <c r="O7" s="30">
        <f>SUM('Alabama Life:Villanova'!R7)</f>
        <v>1303415</v>
      </c>
      <c r="P7" s="30">
        <f>SUM('Alabama Life:Villanova'!S7)</f>
        <v>56000</v>
      </c>
      <c r="Q7" s="30"/>
      <c r="R7" s="30">
        <f>SUM('Alabama Life:Villanova'!U7)</f>
        <v>2428923</v>
      </c>
      <c r="S7" s="31">
        <f>SUM('Alabama Life:Villanova'!V7)</f>
        <v>29</v>
      </c>
    </row>
    <row r="8" spans="1:19">
      <c r="A8" s="1" t="s">
        <v>13</v>
      </c>
      <c r="B8" s="29">
        <f>+'Pre-Liquidation Summary'!B8+'Open Summary'!B8+'Closed Summary'!B8+'Estate Closed Summary'!B8+'Released from Oversight Summary'!B8</f>
        <v>25063459.52172349</v>
      </c>
      <c r="C8" s="30">
        <f>+'Pre-Liquidation Summary'!C8+'Open Summary'!C8+'Closed Summary'!C8+'Estate Closed Summary'!C8+'Released from Oversight Summary'!C8</f>
        <v>39529152.805245392</v>
      </c>
      <c r="D8" s="30">
        <f>+'Pre-Liquidation Summary'!D8+'Open Summary'!D8+'Closed Summary'!D8+'Estate Closed Summary'!D8+'Released from Oversight Summary'!D8</f>
        <v>134690054.9515478</v>
      </c>
      <c r="E8" s="30">
        <f>+'Pre-Liquidation Summary'!E8+'Open Summary'!E8+'Closed Summary'!E8+'Estate Closed Summary'!E8+'Released from Oversight Summary'!E8</f>
        <v>0</v>
      </c>
      <c r="F8" s="30">
        <f>+'Pre-Liquidation Summary'!F8+'Open Summary'!F8+'Closed Summary'!F8+'Estate Closed Summary'!F8+'Released from Oversight Summary'!F8</f>
        <v>2575103.9057906424</v>
      </c>
      <c r="G8" s="31">
        <f>SUM(AZ_FINANCIAL)</f>
        <v>201857771.18430734</v>
      </c>
      <c r="H8" s="30"/>
      <c r="I8" s="29">
        <f>SUM('Alabama Life:Villanova'!L8)</f>
        <v>38214894</v>
      </c>
      <c r="J8" s="30">
        <f>SUM('Alabama Life:Villanova'!M8)</f>
        <v>0</v>
      </c>
      <c r="K8" s="30"/>
      <c r="L8" s="30">
        <f>SUM('Alabama Life:Villanova'!O8)</f>
        <v>38206946</v>
      </c>
      <c r="M8" s="30">
        <f>SUM('Alabama Life:Villanova'!P8)</f>
        <v>0</v>
      </c>
      <c r="N8" s="30"/>
      <c r="O8" s="30">
        <f>SUM('Alabama Life:Villanova'!R8)</f>
        <v>47935267</v>
      </c>
      <c r="P8" s="30">
        <f>SUM('Alabama Life:Villanova'!S8)</f>
        <v>3181</v>
      </c>
      <c r="Q8" s="30"/>
      <c r="R8" s="30">
        <f>SUM('Alabama Life:Villanova'!U8)</f>
        <v>0</v>
      </c>
      <c r="S8" s="31">
        <f>SUM('Alabama Life:Villanova'!V8)</f>
        <v>0</v>
      </c>
    </row>
    <row r="9" spans="1:19">
      <c r="A9" s="1" t="s">
        <v>15</v>
      </c>
      <c r="B9" s="29">
        <f>+'Pre-Liquidation Summary'!B9+'Open Summary'!B9+'Closed Summary'!B9+'Estate Closed Summary'!B9+'Released from Oversight Summary'!B9</f>
        <v>14945512.767323121</v>
      </c>
      <c r="C9" s="30">
        <f>+'Pre-Liquidation Summary'!C9+'Open Summary'!C9+'Closed Summary'!C9+'Estate Closed Summary'!C9+'Released from Oversight Summary'!C9</f>
        <v>11342269.319369256</v>
      </c>
      <c r="D9" s="30">
        <f>+'Pre-Liquidation Summary'!D9+'Open Summary'!D9+'Closed Summary'!D9+'Estate Closed Summary'!D9+'Released from Oversight Summary'!D9</f>
        <v>8143141.1727274274</v>
      </c>
      <c r="E9" s="30">
        <f>+'Pre-Liquidation Summary'!E9+'Open Summary'!E9+'Closed Summary'!E9+'Estate Closed Summary'!E9+'Released from Oversight Summary'!E9</f>
        <v>52663.801261884233</v>
      </c>
      <c r="F9" s="30">
        <f>+'Pre-Liquidation Summary'!F9+'Open Summary'!F9+'Closed Summary'!F9+'Estate Closed Summary'!F9+'Released from Oversight Summary'!F9</f>
        <v>0</v>
      </c>
      <c r="G9" s="31">
        <f>SUM(AR_FINANCIAL)</f>
        <v>34483587.060681693</v>
      </c>
      <c r="H9" s="30"/>
      <c r="I9" s="29">
        <f>SUM('Alabama Life:Villanova'!L9)</f>
        <v>28121978</v>
      </c>
      <c r="J9" s="30">
        <f>SUM('Alabama Life:Villanova'!M9)</f>
        <v>0</v>
      </c>
      <c r="K9" s="30"/>
      <c r="L9" s="30">
        <f>SUM('Alabama Life:Villanova'!O9)</f>
        <v>0</v>
      </c>
      <c r="M9" s="30">
        <f>SUM('Alabama Life:Villanova'!P9)</f>
        <v>0</v>
      </c>
      <c r="N9" s="30"/>
      <c r="O9" s="30">
        <f>SUM('Alabama Life:Villanova'!R9)</f>
        <v>9736334</v>
      </c>
      <c r="P9" s="30">
        <f>SUM('Alabama Life:Villanova'!S9)</f>
        <v>0</v>
      </c>
      <c r="Q9" s="30"/>
      <c r="R9" s="30">
        <f>SUM('Alabama Life:Villanova'!U9)</f>
        <v>0</v>
      </c>
      <c r="S9" s="31">
        <f>SUM('Alabama Life:Villanova'!V9)</f>
        <v>0</v>
      </c>
    </row>
    <row r="10" spans="1:19">
      <c r="A10" s="1" t="s">
        <v>16</v>
      </c>
      <c r="B10" s="29">
        <f>+'Pre-Liquidation Summary'!B10+'Open Summary'!B10+'Closed Summary'!B10+'Estate Closed Summary'!B10+'Released from Oversight Summary'!B10</f>
        <v>292329223.98094738</v>
      </c>
      <c r="C10" s="30">
        <f>+'Pre-Liquidation Summary'!C10+'Open Summary'!C10+'Closed Summary'!C10+'Estate Closed Summary'!C10+'Released from Oversight Summary'!C10</f>
        <v>478169805.74267584</v>
      </c>
      <c r="D10" s="30">
        <f>+'Pre-Liquidation Summary'!D10+'Open Summary'!D10+'Closed Summary'!D10+'Estate Closed Summary'!D10+'Released from Oversight Summary'!D10</f>
        <v>435051376.37515736</v>
      </c>
      <c r="E10" s="30">
        <f>+'Pre-Liquidation Summary'!E10+'Open Summary'!E10+'Closed Summary'!E10+'Estate Closed Summary'!E10+'Released from Oversight Summary'!E10</f>
        <v>0</v>
      </c>
      <c r="F10" s="30">
        <f>+'Pre-Liquidation Summary'!F10+'Open Summary'!F10+'Closed Summary'!F10+'Estate Closed Summary'!F10+'Released from Oversight Summary'!F10</f>
        <v>0</v>
      </c>
      <c r="G10" s="31">
        <f>SUM(CA_FINANCIAL)</f>
        <v>1205550406.0987806</v>
      </c>
      <c r="H10" s="30"/>
      <c r="I10" s="29">
        <f>SUM('Alabama Life:Villanova'!L10)</f>
        <v>313156930</v>
      </c>
      <c r="J10" s="30">
        <f>SUM('Alabama Life:Villanova'!M10)</f>
        <v>41665000</v>
      </c>
      <c r="K10" s="30"/>
      <c r="L10" s="30">
        <f>SUM('Alabama Life:Villanova'!O10)</f>
        <v>514978212</v>
      </c>
      <c r="M10" s="30">
        <f>SUM('Alabama Life:Villanova'!P10)</f>
        <v>23273000</v>
      </c>
      <c r="N10" s="30"/>
      <c r="O10" s="30">
        <f>SUM('Alabama Life:Villanova'!R10)</f>
        <v>361761272</v>
      </c>
      <c r="P10" s="30">
        <f>SUM('Alabama Life:Villanova'!S10)</f>
        <v>11275000</v>
      </c>
      <c r="Q10" s="30"/>
      <c r="R10" s="30">
        <f>SUM('Alabama Life:Villanova'!U10)</f>
        <v>0</v>
      </c>
      <c r="S10" s="31">
        <f>SUM('Alabama Life:Villanova'!V10)</f>
        <v>0</v>
      </c>
    </row>
    <row r="11" spans="1:19">
      <c r="A11" s="1" t="s">
        <v>18</v>
      </c>
      <c r="B11" s="29">
        <f>+'Pre-Liquidation Summary'!B11+'Open Summary'!B11+'Closed Summary'!B11+'Estate Closed Summary'!B11+'Released from Oversight Summary'!B11</f>
        <v>996834.3316573886</v>
      </c>
      <c r="C11" s="30">
        <f>+'Pre-Liquidation Summary'!C11+'Open Summary'!C11+'Closed Summary'!C11+'Estate Closed Summary'!C11+'Released from Oversight Summary'!C11</f>
        <v>9645736.0962764081</v>
      </c>
      <c r="D11" s="30">
        <f>+'Pre-Liquidation Summary'!D11+'Open Summary'!D11+'Closed Summary'!D11+'Estate Closed Summary'!D11+'Released from Oversight Summary'!D11</f>
        <v>155302651.5271852</v>
      </c>
      <c r="E11" s="30">
        <f>+'Pre-Liquidation Summary'!E11+'Open Summary'!E11+'Closed Summary'!E11+'Estate Closed Summary'!E11+'Released from Oversight Summary'!E11</f>
        <v>0</v>
      </c>
      <c r="F11" s="30">
        <f>+'Pre-Liquidation Summary'!F11+'Open Summary'!F11+'Closed Summary'!F11+'Estate Closed Summary'!F11+'Released from Oversight Summary'!F11</f>
        <v>0</v>
      </c>
      <c r="G11" s="31">
        <f>SUM(CO_FINANCIAL)</f>
        <v>165945221.95511901</v>
      </c>
      <c r="H11" s="30"/>
      <c r="I11" s="29">
        <f>SUM('Alabama Life:Villanova'!L11)</f>
        <v>10004556</v>
      </c>
      <c r="J11" s="30">
        <f>SUM('Alabama Life:Villanova'!M11)</f>
        <v>18410470</v>
      </c>
      <c r="K11" s="30"/>
      <c r="L11" s="30">
        <f>SUM('Alabama Life:Villanova'!O11)</f>
        <v>20644425</v>
      </c>
      <c r="M11" s="30">
        <f>SUM('Alabama Life:Villanova'!P11)</f>
        <v>39239670</v>
      </c>
      <c r="N11" s="30"/>
      <c r="O11" s="30">
        <f>SUM('Alabama Life:Villanova'!R11)</f>
        <v>172020798</v>
      </c>
      <c r="P11" s="30">
        <f>SUM('Alabama Life:Villanova'!S11)</f>
        <v>34032143</v>
      </c>
      <c r="Q11" s="30"/>
      <c r="R11" s="30">
        <f>SUM('Alabama Life:Villanova'!U11)</f>
        <v>0</v>
      </c>
      <c r="S11" s="31">
        <f>SUM('Alabama Life:Villanova'!V11)</f>
        <v>0</v>
      </c>
    </row>
    <row r="12" spans="1:19">
      <c r="A12" s="1" t="s">
        <v>19</v>
      </c>
      <c r="B12" s="29">
        <f>+'Pre-Liquidation Summary'!B12+'Open Summary'!B12+'Closed Summary'!B12+'Estate Closed Summary'!B12+'Released from Oversight Summary'!B12</f>
        <v>21523.397148533608</v>
      </c>
      <c r="C12" s="30">
        <f>+'Pre-Liquidation Summary'!C12+'Open Summary'!C12+'Closed Summary'!C12+'Estate Closed Summary'!C12+'Released from Oversight Summary'!C12</f>
        <v>24366183.756537829</v>
      </c>
      <c r="D12" s="30">
        <f>+'Pre-Liquidation Summary'!D12+'Open Summary'!D12+'Closed Summary'!D12+'Estate Closed Summary'!D12+'Released from Oversight Summary'!D12</f>
        <v>27396274.687164497</v>
      </c>
      <c r="E12" s="30">
        <f>+'Pre-Liquidation Summary'!E12+'Open Summary'!E12+'Closed Summary'!E12+'Estate Closed Summary'!E12+'Released from Oversight Summary'!E12</f>
        <v>-1407.829435692176</v>
      </c>
      <c r="F12" s="30">
        <f>+'Pre-Liquidation Summary'!F12+'Open Summary'!F12+'Closed Summary'!F12+'Estate Closed Summary'!F12+'Released from Oversight Summary'!F12</f>
        <v>0</v>
      </c>
      <c r="G12" s="31">
        <f>SUM(CT_FINANCIAL)</f>
        <v>51782574.011415169</v>
      </c>
      <c r="H12" s="30"/>
      <c r="I12" s="29">
        <f>SUM('Alabama Life:Villanova'!L12)</f>
        <v>4732230</v>
      </c>
      <c r="J12" s="30">
        <f>SUM('Alabama Life:Villanova'!M12)</f>
        <v>4154158</v>
      </c>
      <c r="K12" s="30"/>
      <c r="L12" s="30">
        <f>SUM('Alabama Life:Villanova'!O12)</f>
        <v>20411169</v>
      </c>
      <c r="M12" s="30">
        <f>SUM('Alabama Life:Villanova'!P12)</f>
        <v>3421902</v>
      </c>
      <c r="N12" s="30"/>
      <c r="O12" s="30">
        <f>SUM('Alabama Life:Villanova'!R12)</f>
        <v>45380793</v>
      </c>
      <c r="P12" s="30">
        <f>SUM('Alabama Life:Villanova'!S12)</f>
        <v>0</v>
      </c>
      <c r="Q12" s="30"/>
      <c r="R12" s="30">
        <f>SUM('Alabama Life:Villanova'!U12)</f>
        <v>1445000</v>
      </c>
      <c r="S12" s="31">
        <f>SUM('Alabama Life:Villanova'!V12)</f>
        <v>1444994</v>
      </c>
    </row>
    <row r="13" spans="1:19">
      <c r="A13" s="1" t="s">
        <v>21</v>
      </c>
      <c r="B13" s="29">
        <f>+'Pre-Liquidation Summary'!B13+'Open Summary'!B13+'Closed Summary'!B13+'Estate Closed Summary'!B13+'Released from Oversight Summary'!B13</f>
        <v>4760957.1812186502</v>
      </c>
      <c r="C13" s="30">
        <f>+'Pre-Liquidation Summary'!C13+'Open Summary'!C13+'Closed Summary'!C13+'Estate Closed Summary'!C13+'Released from Oversight Summary'!C13</f>
        <v>18496102.678338759</v>
      </c>
      <c r="D13" s="30">
        <f>+'Pre-Liquidation Summary'!D13+'Open Summary'!D13+'Closed Summary'!D13+'Estate Closed Summary'!D13+'Released from Oversight Summary'!D13</f>
        <v>5169790.7526852889</v>
      </c>
      <c r="E13" s="30">
        <f>+'Pre-Liquidation Summary'!E13+'Open Summary'!E13+'Closed Summary'!E13+'Estate Closed Summary'!E13+'Released from Oversight Summary'!E13</f>
        <v>334566.87947392685</v>
      </c>
      <c r="F13" s="30">
        <f>+'Pre-Liquidation Summary'!F13+'Open Summary'!F13+'Closed Summary'!F13+'Estate Closed Summary'!F13+'Released from Oversight Summary'!F13</f>
        <v>0</v>
      </c>
      <c r="G13" s="31">
        <f>SUM(DE_FINANCIAL)</f>
        <v>28761417.491716627</v>
      </c>
      <c r="H13" s="30"/>
      <c r="I13" s="29">
        <f>SUM('Alabama Life:Villanova'!L13)</f>
        <v>8596303</v>
      </c>
      <c r="J13" s="30">
        <f>SUM('Alabama Life:Villanova'!M13)</f>
        <v>0</v>
      </c>
      <c r="K13" s="30"/>
      <c r="L13" s="30">
        <f>SUM('Alabama Life:Villanova'!O13)</f>
        <v>20305910</v>
      </c>
      <c r="M13" s="30">
        <f>SUM('Alabama Life:Villanova'!P13)</f>
        <v>0</v>
      </c>
      <c r="N13" s="30"/>
      <c r="O13" s="30">
        <f>SUM('Alabama Life:Villanova'!R13)</f>
        <v>6053000</v>
      </c>
      <c r="P13" s="30">
        <f>SUM('Alabama Life:Villanova'!S13)</f>
        <v>0</v>
      </c>
      <c r="Q13" s="30"/>
      <c r="R13" s="30">
        <f>SUM('Alabama Life:Villanova'!U13)</f>
        <v>984787</v>
      </c>
      <c r="S13" s="31">
        <f>SUM('Alabama Life:Villanova'!V13)</f>
        <v>0</v>
      </c>
    </row>
    <row r="14" spans="1:19">
      <c r="A14" s="1" t="s">
        <v>23</v>
      </c>
      <c r="B14" s="29">
        <f>+'Pre-Liquidation Summary'!B14+'Open Summary'!B14+'Closed Summary'!B14+'Estate Closed Summary'!B14+'Released from Oversight Summary'!B14</f>
        <v>91947.928225242445</v>
      </c>
      <c r="C14" s="30">
        <f>+'Pre-Liquidation Summary'!C14+'Open Summary'!C14+'Closed Summary'!C14+'Estate Closed Summary'!C14+'Released from Oversight Summary'!C14</f>
        <v>159406.97944664181</v>
      </c>
      <c r="D14" s="30">
        <f>+'Pre-Liquidation Summary'!D14+'Open Summary'!D14+'Closed Summary'!D14+'Estate Closed Summary'!D14+'Released from Oversight Summary'!D14</f>
        <v>1574757.2873642023</v>
      </c>
      <c r="E14" s="30">
        <f>+'Pre-Liquidation Summary'!E14+'Open Summary'!E14+'Closed Summary'!E14+'Estate Closed Summary'!E14+'Released from Oversight Summary'!E14</f>
        <v>0</v>
      </c>
      <c r="F14" s="30">
        <f>+'Pre-Liquidation Summary'!F14+'Open Summary'!F14+'Closed Summary'!F14+'Estate Closed Summary'!F14+'Released from Oversight Summary'!F14</f>
        <v>0</v>
      </c>
      <c r="G14" s="31">
        <f>SUM(DC_FINANCIAL)</f>
        <v>1826112.1950360865</v>
      </c>
      <c r="H14" s="30"/>
      <c r="I14" s="29">
        <f>SUM('Alabama Life:Villanova'!L14)</f>
        <v>584826</v>
      </c>
      <c r="J14" s="30">
        <f>SUM('Alabama Life:Villanova'!M14)</f>
        <v>512527</v>
      </c>
      <c r="K14" s="30"/>
      <c r="L14" s="30">
        <f>SUM('Alabama Life:Villanova'!O14)</f>
        <v>1754248</v>
      </c>
      <c r="M14" s="30">
        <f>SUM('Alabama Life:Villanova'!P14)</f>
        <v>1539695</v>
      </c>
      <c r="N14" s="30"/>
      <c r="O14" s="30">
        <f>SUM('Alabama Life:Villanova'!R14)</f>
        <v>2029000</v>
      </c>
      <c r="P14" s="30">
        <f>SUM('Alabama Life:Villanova'!S14)</f>
        <v>259707</v>
      </c>
      <c r="Q14" s="30"/>
      <c r="R14" s="30">
        <f>SUM('Alabama Life:Villanova'!U14)</f>
        <v>0</v>
      </c>
      <c r="S14" s="31">
        <f>SUM('Alabama Life:Villanova'!V14)</f>
        <v>0</v>
      </c>
    </row>
    <row r="15" spans="1:19">
      <c r="A15" s="1" t="s">
        <v>25</v>
      </c>
      <c r="B15" s="29">
        <f>+'Pre-Liquidation Summary'!B15+'Open Summary'!B15+'Closed Summary'!B15+'Estate Closed Summary'!B15+'Released from Oversight Summary'!B15</f>
        <v>114062567.17915185</v>
      </c>
      <c r="C15" s="30">
        <f>+'Pre-Liquidation Summary'!C15+'Open Summary'!C15+'Closed Summary'!C15+'Estate Closed Summary'!C15+'Released from Oversight Summary'!C15</f>
        <v>200836317.55379432</v>
      </c>
      <c r="D15" s="30">
        <f>+'Pre-Liquidation Summary'!D15+'Open Summary'!D15+'Closed Summary'!D15+'Estate Closed Summary'!D15+'Released from Oversight Summary'!D15</f>
        <v>450940981.77273899</v>
      </c>
      <c r="E15" s="30">
        <f>+'Pre-Liquidation Summary'!E15+'Open Summary'!E15+'Closed Summary'!E15+'Estate Closed Summary'!E15+'Released from Oversight Summary'!E15</f>
        <v>5811.7582404316236</v>
      </c>
      <c r="F15" s="30">
        <f>+'Pre-Liquidation Summary'!F15+'Open Summary'!F15+'Closed Summary'!F15+'Estate Closed Summary'!F15+'Released from Oversight Summary'!F15</f>
        <v>3381030.6127293976</v>
      </c>
      <c r="G15" s="31">
        <f>SUM(FL_FINANCIAL)</f>
        <v>769226708.87665498</v>
      </c>
      <c r="H15" s="30"/>
      <c r="I15" s="29">
        <f>SUM('Alabama Life:Villanova'!L15)</f>
        <v>125602575</v>
      </c>
      <c r="J15" s="30">
        <f>SUM('Alabama Life:Villanova'!M15)</f>
        <v>0</v>
      </c>
      <c r="K15" s="30"/>
      <c r="L15" s="30">
        <f>SUM('Alabama Life:Villanova'!O15)</f>
        <v>224779838</v>
      </c>
      <c r="M15" s="30">
        <f>SUM('Alabama Life:Villanova'!P15)</f>
        <v>142450</v>
      </c>
      <c r="N15" s="30"/>
      <c r="O15" s="30">
        <f>SUM('Alabama Life:Villanova'!R15)</f>
        <v>400539993</v>
      </c>
      <c r="P15" s="30">
        <f>SUM('Alabama Life:Villanova'!S15)</f>
        <v>0</v>
      </c>
      <c r="Q15" s="30"/>
      <c r="R15" s="30">
        <f>SUM('Alabama Life:Villanova'!U15)</f>
        <v>0</v>
      </c>
      <c r="S15" s="31">
        <f>SUM('Alabama Life:Villanova'!V15)</f>
        <v>0</v>
      </c>
    </row>
    <row r="16" spans="1:19">
      <c r="A16" s="1" t="s">
        <v>27</v>
      </c>
      <c r="B16" s="29">
        <f>+'Pre-Liquidation Summary'!B16+'Open Summary'!B16+'Closed Summary'!B16+'Estate Closed Summary'!B16+'Released from Oversight Summary'!B16</f>
        <v>29757260.66220478</v>
      </c>
      <c r="C16" s="30">
        <f>+'Pre-Liquidation Summary'!C16+'Open Summary'!C16+'Closed Summary'!C16+'Estate Closed Summary'!C16+'Released from Oversight Summary'!C16</f>
        <v>34545005.875137113</v>
      </c>
      <c r="D16" s="30">
        <f>+'Pre-Liquidation Summary'!D16+'Open Summary'!D16+'Closed Summary'!D16+'Estate Closed Summary'!D16+'Released from Oversight Summary'!D16</f>
        <v>94869453.196945861</v>
      </c>
      <c r="E16" s="30">
        <f>+'Pre-Liquidation Summary'!E16+'Open Summary'!E16+'Closed Summary'!E16+'Estate Closed Summary'!E16+'Released from Oversight Summary'!E16</f>
        <v>2406780.4797172281</v>
      </c>
      <c r="F16" s="30">
        <f>+'Pre-Liquidation Summary'!F16+'Open Summary'!F16+'Closed Summary'!F16+'Estate Closed Summary'!F16+'Released from Oversight Summary'!F16</f>
        <v>0</v>
      </c>
      <c r="G16" s="31">
        <f>SUM(GA_FINANCIAL)</f>
        <v>161578500.21400496</v>
      </c>
      <c r="H16" s="30"/>
      <c r="I16" s="29">
        <f>SUM('Alabama Life:Villanova'!L16)</f>
        <v>43275908</v>
      </c>
      <c r="J16" s="30">
        <f>SUM('Alabama Life:Villanova'!M16)</f>
        <v>0</v>
      </c>
      <c r="K16" s="30"/>
      <c r="L16" s="30">
        <f>SUM('Alabama Life:Villanova'!O16)</f>
        <v>44189138</v>
      </c>
      <c r="M16" s="30">
        <f>SUM('Alabama Life:Villanova'!P16)</f>
        <v>584662.33000000007</v>
      </c>
      <c r="N16" s="30"/>
      <c r="O16" s="30">
        <f>SUM('Alabama Life:Villanova'!R16)</f>
        <v>97115785</v>
      </c>
      <c r="P16" s="30">
        <f>SUM('Alabama Life:Villanova'!S16)</f>
        <v>64528</v>
      </c>
      <c r="Q16" s="30"/>
      <c r="R16" s="30">
        <f>SUM('Alabama Life:Villanova'!U16)</f>
        <v>5870582</v>
      </c>
      <c r="S16" s="31">
        <f>SUM('Alabama Life:Villanova'!V16)</f>
        <v>-32978.18</v>
      </c>
    </row>
    <row r="17" spans="1:19">
      <c r="A17" s="1" t="s">
        <v>29</v>
      </c>
      <c r="B17" s="29">
        <f>+'Pre-Liquidation Summary'!B17+'Open Summary'!B17+'Closed Summary'!B17+'Estate Closed Summary'!B17+'Released from Oversight Summary'!B17</f>
        <v>27214569.233185645</v>
      </c>
      <c r="C17" s="30">
        <f>+'Pre-Liquidation Summary'!C17+'Open Summary'!C17+'Closed Summary'!C17+'Estate Closed Summary'!C17+'Released from Oversight Summary'!C17</f>
        <v>54632317.948740013</v>
      </c>
      <c r="D17" s="30">
        <f>+'Pre-Liquidation Summary'!D17+'Open Summary'!D17+'Closed Summary'!D17+'Estate Closed Summary'!D17+'Released from Oversight Summary'!D17</f>
        <v>9770969.262578113</v>
      </c>
      <c r="E17" s="30">
        <f>+'Pre-Liquidation Summary'!E17+'Open Summary'!E17+'Closed Summary'!E17+'Estate Closed Summary'!E17+'Released from Oversight Summary'!E17</f>
        <v>0</v>
      </c>
      <c r="F17" s="30">
        <f>+'Pre-Liquidation Summary'!F17+'Open Summary'!F17+'Closed Summary'!F17+'Estate Closed Summary'!F17+'Released from Oversight Summary'!F17</f>
        <v>0</v>
      </c>
      <c r="G17" s="31">
        <f>SUM(HI_FINANCIAL)</f>
        <v>91617856.444503769</v>
      </c>
      <c r="H17" s="30"/>
      <c r="I17" s="29">
        <f>SUM('Alabama Life:Villanova'!L17)</f>
        <v>47538543</v>
      </c>
      <c r="J17" s="30">
        <f>SUM('Alabama Life:Villanova'!M17)</f>
        <v>21042109</v>
      </c>
      <c r="K17" s="30"/>
      <c r="L17" s="30">
        <f>SUM('Alabama Life:Villanova'!O17)</f>
        <v>41818128</v>
      </c>
      <c r="M17" s="30">
        <f>SUM('Alabama Life:Villanova'!P17)</f>
        <v>15586534</v>
      </c>
      <c r="N17" s="30"/>
      <c r="O17" s="30">
        <f>SUM('Alabama Life:Villanova'!R17)</f>
        <v>19382729</v>
      </c>
      <c r="P17" s="30">
        <f>SUM('Alabama Life:Villanova'!S17)</f>
        <v>11503683</v>
      </c>
      <c r="Q17" s="30"/>
      <c r="R17" s="30">
        <f>SUM('Alabama Life:Villanova'!U17)</f>
        <v>0</v>
      </c>
      <c r="S17" s="31">
        <f>SUM('Alabama Life:Villanova'!V17)</f>
        <v>0</v>
      </c>
    </row>
    <row r="18" spans="1:19">
      <c r="A18" s="1" t="s">
        <v>30</v>
      </c>
      <c r="B18" s="29">
        <f>+'Pre-Liquidation Summary'!B18+'Open Summary'!B18+'Closed Summary'!B18+'Estate Closed Summary'!B18+'Released from Oversight Summary'!B18</f>
        <v>8381224.968508577</v>
      </c>
      <c r="C18" s="30">
        <f>+'Pre-Liquidation Summary'!C18+'Open Summary'!C18+'Closed Summary'!C18+'Estate Closed Summary'!C18+'Released from Oversight Summary'!C18</f>
        <v>10664017.631279806</v>
      </c>
      <c r="D18" s="30">
        <f>+'Pre-Liquidation Summary'!D18+'Open Summary'!D18+'Closed Summary'!D18+'Estate Closed Summary'!D18+'Released from Oversight Summary'!D18</f>
        <v>9120533.2291521505</v>
      </c>
      <c r="E18" s="30">
        <f>+'Pre-Liquidation Summary'!E18+'Open Summary'!E18+'Closed Summary'!E18+'Estate Closed Summary'!E18+'Released from Oversight Summary'!E18</f>
        <v>0</v>
      </c>
      <c r="F18" s="30">
        <f>+'Pre-Liquidation Summary'!F18+'Open Summary'!F18+'Closed Summary'!F18+'Estate Closed Summary'!F18+'Released from Oversight Summary'!F18</f>
        <v>0</v>
      </c>
      <c r="G18" s="31">
        <f>SUM(ID_FINANCIAL)</f>
        <v>28165775.828940533</v>
      </c>
      <c r="H18" s="30"/>
      <c r="I18" s="29">
        <f>SUM('Alabama Life:Villanova'!L18)</f>
        <v>11714705</v>
      </c>
      <c r="J18" s="30">
        <f>SUM('Alabama Life:Villanova'!M18)</f>
        <v>2699795</v>
      </c>
      <c r="K18" s="30"/>
      <c r="L18" s="30">
        <f>SUM('Alabama Life:Villanova'!O18)</f>
        <v>9940276</v>
      </c>
      <c r="M18" s="30">
        <f>SUM('Alabama Life:Villanova'!P18)</f>
        <v>0</v>
      </c>
      <c r="N18" s="30"/>
      <c r="O18" s="30">
        <f>SUM('Alabama Life:Villanova'!R18)</f>
        <v>5379135</v>
      </c>
      <c r="P18" s="30">
        <f>SUM('Alabama Life:Villanova'!S18)</f>
        <v>0</v>
      </c>
      <c r="Q18" s="30"/>
      <c r="R18" s="30">
        <f>SUM('Alabama Life:Villanova'!U18)</f>
        <v>0</v>
      </c>
      <c r="S18" s="31">
        <f>SUM('Alabama Life:Villanova'!V18)</f>
        <v>0</v>
      </c>
    </row>
    <row r="19" spans="1:19">
      <c r="A19" s="1" t="s">
        <v>32</v>
      </c>
      <c r="B19" s="29">
        <f>+'Pre-Liquidation Summary'!B19+'Open Summary'!B19+'Closed Summary'!B19+'Estate Closed Summary'!B19+'Released from Oversight Summary'!B19</f>
        <v>135677119.62115246</v>
      </c>
      <c r="C19" s="30">
        <f>+'Pre-Liquidation Summary'!C19+'Open Summary'!C19+'Closed Summary'!C19+'Estate Closed Summary'!C19+'Released from Oversight Summary'!C19</f>
        <v>171032837.04113972</v>
      </c>
      <c r="D19" s="30">
        <f>+'Pre-Liquidation Summary'!D19+'Open Summary'!D19+'Closed Summary'!D19+'Estate Closed Summary'!D19+'Released from Oversight Summary'!D19</f>
        <v>121413038.66155228</v>
      </c>
      <c r="E19" s="30">
        <f>+'Pre-Liquidation Summary'!E19+'Open Summary'!E19+'Closed Summary'!E19+'Estate Closed Summary'!E19+'Released from Oversight Summary'!E19</f>
        <v>8869461.6603655312</v>
      </c>
      <c r="F19" s="30">
        <f>+'Pre-Liquidation Summary'!F19+'Open Summary'!F19+'Closed Summary'!F19+'Estate Closed Summary'!F19+'Released from Oversight Summary'!F19</f>
        <v>0</v>
      </c>
      <c r="G19" s="31">
        <f>SUM(IL_FINANCIAL)</f>
        <v>436992456.98420995</v>
      </c>
      <c r="H19" s="30"/>
      <c r="I19" s="29">
        <f>SUM('Alabama Life:Villanova'!L19)</f>
        <v>205589738</v>
      </c>
      <c r="J19" s="30">
        <f>SUM('Alabama Life:Villanova'!M19)</f>
        <v>37995670</v>
      </c>
      <c r="K19" s="30"/>
      <c r="L19" s="30">
        <f>SUM('Alabama Life:Villanova'!O19)</f>
        <v>228222147</v>
      </c>
      <c r="M19" s="30">
        <f>SUM('Alabama Life:Villanova'!P19)</f>
        <v>103530755</v>
      </c>
      <c r="N19" s="30"/>
      <c r="O19" s="30">
        <f>SUM('Alabama Life:Villanova'!R19)</f>
        <v>111280000</v>
      </c>
      <c r="P19" s="30">
        <f>SUM('Alabama Life:Villanova'!S19)</f>
        <v>18748240</v>
      </c>
      <c r="Q19" s="30"/>
      <c r="R19" s="30">
        <f>SUM('Alabama Life:Villanova'!U19)</f>
        <v>77450410</v>
      </c>
      <c r="S19" s="31">
        <f>SUM('Alabama Life:Villanova'!V19)</f>
        <v>59759367</v>
      </c>
    </row>
    <row r="20" spans="1:19">
      <c r="A20" s="1" t="s">
        <v>34</v>
      </c>
      <c r="B20" s="29">
        <f>+'Pre-Liquidation Summary'!B20+'Open Summary'!B20+'Closed Summary'!B20+'Estate Closed Summary'!B20+'Released from Oversight Summary'!B20</f>
        <v>30771242.121779203</v>
      </c>
      <c r="C20" s="30">
        <f>+'Pre-Liquidation Summary'!C20+'Open Summary'!C20+'Closed Summary'!C20+'Estate Closed Summary'!C20+'Released from Oversight Summary'!C20</f>
        <v>54015814.158508383</v>
      </c>
      <c r="D20" s="30">
        <f>+'Pre-Liquidation Summary'!D20+'Open Summary'!D20+'Closed Summary'!D20+'Estate Closed Summary'!D20+'Released from Oversight Summary'!D20</f>
        <v>43947037.809968203</v>
      </c>
      <c r="E20" s="30">
        <f>+'Pre-Liquidation Summary'!E20+'Open Summary'!E20+'Closed Summary'!E20+'Estate Closed Summary'!E20+'Released from Oversight Summary'!E20</f>
        <v>4702466.322998981</v>
      </c>
      <c r="F20" s="30">
        <f>+'Pre-Liquidation Summary'!F20+'Open Summary'!F20+'Closed Summary'!F20+'Estate Closed Summary'!F20+'Released from Oversight Summary'!F20</f>
        <v>0</v>
      </c>
      <c r="G20" s="31">
        <f>SUM(IN_FINANCIAL)</f>
        <v>133436560.41325478</v>
      </c>
      <c r="H20" s="30"/>
      <c r="I20" s="29">
        <f>SUM('Alabama Life:Villanova'!L20)</f>
        <v>36726351</v>
      </c>
      <c r="J20" s="30">
        <f>SUM('Alabama Life:Villanova'!M20)</f>
        <v>5000000</v>
      </c>
      <c r="K20" s="30"/>
      <c r="L20" s="30">
        <f>SUM('Alabama Life:Villanova'!O20)</f>
        <v>74412620</v>
      </c>
      <c r="M20" s="30">
        <f>SUM('Alabama Life:Villanova'!P20)</f>
        <v>4999960</v>
      </c>
      <c r="N20" s="30"/>
      <c r="O20" s="30">
        <f>SUM('Alabama Life:Villanova'!R20)</f>
        <v>43846164</v>
      </c>
      <c r="P20" s="30">
        <f>SUM('Alabama Life:Villanova'!S20)</f>
        <v>0</v>
      </c>
      <c r="Q20" s="30"/>
      <c r="R20" s="30">
        <f>SUM('Alabama Life:Villanova'!U20)</f>
        <v>0</v>
      </c>
      <c r="S20" s="31">
        <f>SUM('Alabama Life:Villanova'!V20)</f>
        <v>0</v>
      </c>
    </row>
    <row r="21" spans="1:19">
      <c r="A21" s="1" t="s">
        <v>36</v>
      </c>
      <c r="B21" s="29">
        <f>+'Pre-Liquidation Summary'!B21+'Open Summary'!B21+'Closed Summary'!B21+'Estate Closed Summary'!B21+'Released from Oversight Summary'!B21</f>
        <v>33976346.384051017</v>
      </c>
      <c r="C21" s="30">
        <f>+'Pre-Liquidation Summary'!C21+'Open Summary'!C21+'Closed Summary'!C21+'Estate Closed Summary'!C21+'Released from Oversight Summary'!C21</f>
        <v>37134975.056654923</v>
      </c>
      <c r="D21" s="30">
        <f>+'Pre-Liquidation Summary'!D21+'Open Summary'!D21+'Closed Summary'!D21+'Estate Closed Summary'!D21+'Released from Oversight Summary'!D21</f>
        <v>100343944.53709206</v>
      </c>
      <c r="E21" s="30">
        <f>+'Pre-Liquidation Summary'!E21+'Open Summary'!E21+'Closed Summary'!E21+'Estate Closed Summary'!E21+'Released from Oversight Summary'!E21</f>
        <v>40276.83244737106</v>
      </c>
      <c r="F21" s="30">
        <f>+'Pre-Liquidation Summary'!F21+'Open Summary'!F21+'Closed Summary'!F21+'Estate Closed Summary'!F21+'Released from Oversight Summary'!F21</f>
        <v>0</v>
      </c>
      <c r="G21" s="31">
        <f>SUM(IA_FINANCIAL)</f>
        <v>171495542.81024536</v>
      </c>
      <c r="H21" s="30"/>
      <c r="I21" s="29">
        <f>SUM('Alabama Life:Villanova'!L21)</f>
        <v>37559122</v>
      </c>
      <c r="J21" s="30">
        <f>SUM('Alabama Life:Villanova'!M21)</f>
        <v>0</v>
      </c>
      <c r="K21" s="30"/>
      <c r="L21" s="30">
        <f>SUM('Alabama Life:Villanova'!O21)</f>
        <v>42014908</v>
      </c>
      <c r="M21" s="30">
        <f>SUM('Alabama Life:Villanova'!P21)</f>
        <v>0</v>
      </c>
      <c r="N21" s="30"/>
      <c r="O21" s="30">
        <f>SUM('Alabama Life:Villanova'!R21)</f>
        <v>92495360</v>
      </c>
      <c r="P21" s="30">
        <f>SUM('Alabama Life:Villanova'!S21)</f>
        <v>0</v>
      </c>
      <c r="Q21" s="30"/>
      <c r="R21" s="30">
        <f>SUM('Alabama Life:Villanova'!U21)</f>
        <v>1280000</v>
      </c>
      <c r="S21" s="31">
        <f>SUM('Alabama Life:Villanova'!V21)</f>
        <v>0</v>
      </c>
    </row>
    <row r="22" spans="1:19">
      <c r="A22" s="1" t="s">
        <v>38</v>
      </c>
      <c r="B22" s="29">
        <f>+'Pre-Liquidation Summary'!B22+'Open Summary'!B22+'Closed Summary'!B22+'Estate Closed Summary'!B22+'Released from Oversight Summary'!B22</f>
        <v>38268017.383330919</v>
      </c>
      <c r="C22" s="30">
        <f>+'Pre-Liquidation Summary'!C22+'Open Summary'!C22+'Closed Summary'!C22+'Estate Closed Summary'!C22+'Released from Oversight Summary'!C22</f>
        <v>16632454.271599533</v>
      </c>
      <c r="D22" s="30">
        <f>+'Pre-Liquidation Summary'!D22+'Open Summary'!D22+'Closed Summary'!D22+'Estate Closed Summary'!D22+'Released from Oversight Summary'!D22</f>
        <v>13956992.612509534</v>
      </c>
      <c r="E22" s="30">
        <f>+'Pre-Liquidation Summary'!E22+'Open Summary'!E22+'Closed Summary'!E22+'Estate Closed Summary'!E22+'Released from Oversight Summary'!E22</f>
        <v>0</v>
      </c>
      <c r="F22" s="30">
        <f>+'Pre-Liquidation Summary'!F22+'Open Summary'!F22+'Closed Summary'!F22+'Estate Closed Summary'!F22+'Released from Oversight Summary'!F22</f>
        <v>0</v>
      </c>
      <c r="G22" s="31">
        <f>SUM(KS_FINANCIAL)</f>
        <v>68857464.267439991</v>
      </c>
      <c r="H22" s="30"/>
      <c r="I22" s="29">
        <f>SUM('Alabama Life:Villanova'!L22)</f>
        <v>41561000</v>
      </c>
      <c r="J22" s="30">
        <f>SUM('Alabama Life:Villanova'!M22)</f>
        <v>0</v>
      </c>
      <c r="K22" s="30"/>
      <c r="L22" s="30">
        <f>SUM('Alabama Life:Villanova'!O22)</f>
        <v>19115000</v>
      </c>
      <c r="M22" s="30">
        <f>SUM('Alabama Life:Villanova'!P22)</f>
        <v>0</v>
      </c>
      <c r="N22" s="30"/>
      <c r="O22" s="30">
        <f>SUM('Alabama Life:Villanova'!R22)</f>
        <v>11450000</v>
      </c>
      <c r="P22" s="30">
        <f>SUM('Alabama Life:Villanova'!S22)</f>
        <v>0</v>
      </c>
      <c r="Q22" s="30"/>
      <c r="R22" s="30">
        <f>SUM('Alabama Life:Villanova'!U22)</f>
        <v>0</v>
      </c>
      <c r="S22" s="31">
        <f>SUM('Alabama Life:Villanova'!V22)</f>
        <v>0</v>
      </c>
    </row>
    <row r="23" spans="1:19">
      <c r="A23" s="1" t="s">
        <v>40</v>
      </c>
      <c r="B23" s="29">
        <f>+'Pre-Liquidation Summary'!B23+'Open Summary'!B23+'Closed Summary'!B23+'Estate Closed Summary'!B23+'Released from Oversight Summary'!B23</f>
        <v>20887639.109482814</v>
      </c>
      <c r="C23" s="30">
        <f>+'Pre-Liquidation Summary'!C23+'Open Summary'!C23+'Closed Summary'!C23+'Estate Closed Summary'!C23+'Released from Oversight Summary'!C23</f>
        <v>25136402.611975364</v>
      </c>
      <c r="D23" s="30">
        <f>+'Pre-Liquidation Summary'!D23+'Open Summary'!D23+'Closed Summary'!D23+'Estate Closed Summary'!D23+'Released from Oversight Summary'!D23</f>
        <v>45952131.707636751</v>
      </c>
      <c r="E23" s="30">
        <f>+'Pre-Liquidation Summary'!E23+'Open Summary'!E23+'Closed Summary'!E23+'Estate Closed Summary'!E23+'Released from Oversight Summary'!E23</f>
        <v>0</v>
      </c>
      <c r="F23" s="30">
        <f>+'Pre-Liquidation Summary'!F23+'Open Summary'!F23+'Closed Summary'!F23+'Estate Closed Summary'!F23+'Released from Oversight Summary'!F23</f>
        <v>0</v>
      </c>
      <c r="G23" s="31">
        <f>SUM(KY_FINANCIAL)</f>
        <v>91976173.42909494</v>
      </c>
      <c r="H23" s="30"/>
      <c r="I23" s="29">
        <f>SUM('Alabama Life:Villanova'!L23)</f>
        <v>49916219</v>
      </c>
      <c r="J23" s="30">
        <f>SUM('Alabama Life:Villanova'!M23)</f>
        <v>16734637.4</v>
      </c>
      <c r="K23" s="30"/>
      <c r="L23" s="30">
        <f>SUM('Alabama Life:Villanova'!O23)</f>
        <v>30006630</v>
      </c>
      <c r="M23" s="30">
        <f>SUM('Alabama Life:Villanova'!P23)</f>
        <v>4349723.96</v>
      </c>
      <c r="N23" s="30"/>
      <c r="O23" s="30">
        <f>SUM('Alabama Life:Villanova'!R23)</f>
        <v>47067681</v>
      </c>
      <c r="P23" s="30">
        <f>SUM('Alabama Life:Villanova'!S23)</f>
        <v>1053336.01</v>
      </c>
      <c r="Q23" s="30"/>
      <c r="R23" s="30">
        <f>SUM('Alabama Life:Villanova'!U23)</f>
        <v>0</v>
      </c>
      <c r="S23" s="31">
        <f>SUM('Alabama Life:Villanova'!V23)</f>
        <v>0</v>
      </c>
    </row>
    <row r="24" spans="1:19">
      <c r="A24" s="1" t="s">
        <v>42</v>
      </c>
      <c r="B24" s="29">
        <f>+'Pre-Liquidation Summary'!B24+'Open Summary'!B24+'Closed Summary'!B24+'Estate Closed Summary'!B24+'Released from Oversight Summary'!B24</f>
        <v>6581026.3880982175</v>
      </c>
      <c r="C24" s="30">
        <f>+'Pre-Liquidation Summary'!C24+'Open Summary'!C24+'Closed Summary'!C24+'Estate Closed Summary'!C24+'Released from Oversight Summary'!C24</f>
        <v>5955966.8829151541</v>
      </c>
      <c r="D24" s="30">
        <f>+'Pre-Liquidation Summary'!D24+'Open Summary'!D24+'Closed Summary'!D24+'Estate Closed Summary'!D24+'Released from Oversight Summary'!D24</f>
        <v>18009211.774073225</v>
      </c>
      <c r="E24" s="30">
        <f>+'Pre-Liquidation Summary'!E24+'Open Summary'!E24+'Closed Summary'!E24+'Estate Closed Summary'!E24+'Released from Oversight Summary'!E24</f>
        <v>0</v>
      </c>
      <c r="F24" s="30">
        <f>+'Pre-Liquidation Summary'!F24+'Open Summary'!F24+'Closed Summary'!F24+'Estate Closed Summary'!F24+'Released from Oversight Summary'!F24</f>
        <v>12100401.849775102</v>
      </c>
      <c r="G24" s="31">
        <f>SUM(LA_FINANCIAL)</f>
        <v>42646606.894861698</v>
      </c>
      <c r="H24" s="30"/>
      <c r="I24" s="29">
        <f>SUM('Alabama Life:Villanova'!L24)</f>
        <v>10064508</v>
      </c>
      <c r="J24" s="30">
        <f>SUM('Alabama Life:Villanova'!M24)</f>
        <v>0</v>
      </c>
      <c r="K24" s="30"/>
      <c r="L24" s="30">
        <f>SUM('Alabama Life:Villanova'!O24)</f>
        <v>14413707</v>
      </c>
      <c r="M24" s="30">
        <f>SUM('Alabama Life:Villanova'!P24)</f>
        <v>0</v>
      </c>
      <c r="N24" s="30"/>
      <c r="O24" s="30">
        <f>SUM('Alabama Life:Villanova'!R24)</f>
        <v>21337832</v>
      </c>
      <c r="P24" s="30">
        <f>SUM('Alabama Life:Villanova'!S24)</f>
        <v>0</v>
      </c>
      <c r="Q24" s="30"/>
      <c r="R24" s="30">
        <f>SUM('Alabama Life:Villanova'!U24)</f>
        <v>0</v>
      </c>
      <c r="S24" s="31">
        <f>SUM('Alabama Life:Villanova'!V24)</f>
        <v>0</v>
      </c>
    </row>
    <row r="25" spans="1:19">
      <c r="A25" s="1" t="s">
        <v>44</v>
      </c>
      <c r="B25" s="29">
        <f>+'Pre-Liquidation Summary'!B25+'Open Summary'!B25+'Closed Summary'!B25+'Estate Closed Summary'!B25+'Released from Oversight Summary'!B25</f>
        <v>598971.8298938371</v>
      </c>
      <c r="C25" s="30">
        <f>+'Pre-Liquidation Summary'!C25+'Open Summary'!C25+'Closed Summary'!C25+'Estate Closed Summary'!C25+'Released from Oversight Summary'!C25</f>
        <v>1902652.1288653815</v>
      </c>
      <c r="D25" s="30">
        <f>+'Pre-Liquidation Summary'!D25+'Open Summary'!D25+'Closed Summary'!D25+'Estate Closed Summary'!D25+'Released from Oversight Summary'!D25</f>
        <v>998399.082576585</v>
      </c>
      <c r="E25" s="30">
        <f>+'Pre-Liquidation Summary'!E25+'Open Summary'!E25+'Closed Summary'!E25+'Estate Closed Summary'!E25+'Released from Oversight Summary'!E25</f>
        <v>63023.182327443486</v>
      </c>
      <c r="F25" s="30">
        <f>+'Pre-Liquidation Summary'!F25+'Open Summary'!F25+'Closed Summary'!F25+'Estate Closed Summary'!F25+'Released from Oversight Summary'!F25</f>
        <v>0</v>
      </c>
      <c r="G25" s="31">
        <f>SUM(ME_FINANCIAL)</f>
        <v>3563046.2236632467</v>
      </c>
      <c r="H25" s="30"/>
      <c r="I25" s="29">
        <f>SUM('Alabama Life:Villanova'!L25)</f>
        <v>2172639</v>
      </c>
      <c r="J25" s="30">
        <f>SUM('Alabama Life:Villanova'!M25)</f>
        <v>0</v>
      </c>
      <c r="K25" s="30"/>
      <c r="L25" s="30">
        <f>SUM('Alabama Life:Villanova'!O25)</f>
        <v>2559361</v>
      </c>
      <c r="M25" s="30">
        <f>SUM('Alabama Life:Villanova'!P25)</f>
        <v>906</v>
      </c>
      <c r="N25" s="30"/>
      <c r="O25" s="30">
        <f>SUM('Alabama Life:Villanova'!R25)</f>
        <v>741000</v>
      </c>
      <c r="P25" s="30">
        <f>SUM('Alabama Life:Villanova'!S25)</f>
        <v>0</v>
      </c>
      <c r="Q25" s="30"/>
      <c r="R25" s="30">
        <f>SUM('Alabama Life:Villanova'!U25)</f>
        <v>0</v>
      </c>
      <c r="S25" s="31">
        <f>SUM('Alabama Life:Villanova'!V25)</f>
        <v>0</v>
      </c>
    </row>
    <row r="26" spans="1:19">
      <c r="A26" s="1" t="s">
        <v>45</v>
      </c>
      <c r="B26" s="29">
        <f>+'Pre-Liquidation Summary'!B26+'Open Summary'!B26+'Closed Summary'!B26+'Estate Closed Summary'!B26+'Released from Oversight Summary'!B26</f>
        <v>19868450.963411305</v>
      </c>
      <c r="C26" s="30">
        <f>+'Pre-Liquidation Summary'!C26+'Open Summary'!C26+'Closed Summary'!C26+'Estate Closed Summary'!C26+'Released from Oversight Summary'!C26</f>
        <v>31278404.908572741</v>
      </c>
      <c r="D26" s="30">
        <f>+'Pre-Liquidation Summary'!D26+'Open Summary'!D26+'Closed Summary'!D26+'Estate Closed Summary'!D26+'Released from Oversight Summary'!D26</f>
        <v>34938637.59705019</v>
      </c>
      <c r="E26" s="30">
        <f>+'Pre-Liquidation Summary'!E26+'Open Summary'!E26+'Closed Summary'!E26+'Estate Closed Summary'!E26+'Released from Oversight Summary'!E26</f>
        <v>5662331.6739547607</v>
      </c>
      <c r="F26" s="30">
        <f>+'Pre-Liquidation Summary'!F26+'Open Summary'!F26+'Closed Summary'!F26+'Estate Closed Summary'!F26+'Released from Oversight Summary'!F26</f>
        <v>0</v>
      </c>
      <c r="G26" s="31">
        <f>SUM(MD_FINANCIAL)</f>
        <v>91747825.142988995</v>
      </c>
      <c r="H26" s="30"/>
      <c r="I26" s="29">
        <f>SUM('Alabama Life:Villanova'!L26)</f>
        <v>40137287</v>
      </c>
      <c r="J26" s="30">
        <f>SUM('Alabama Life:Villanova'!M26)</f>
        <v>0</v>
      </c>
      <c r="K26" s="30"/>
      <c r="L26" s="30">
        <f>SUM('Alabama Life:Villanova'!O26)</f>
        <v>42062121</v>
      </c>
      <c r="M26" s="30">
        <f>SUM('Alabama Life:Villanova'!P26)</f>
        <v>0</v>
      </c>
      <c r="N26" s="30"/>
      <c r="O26" s="30">
        <f>SUM('Alabama Life:Villanova'!R26)</f>
        <v>32700000</v>
      </c>
      <c r="P26" s="30">
        <f>SUM('Alabama Life:Villanova'!S26)</f>
        <v>0</v>
      </c>
      <c r="Q26" s="30"/>
      <c r="R26" s="30">
        <f>SUM('Alabama Life:Villanova'!U26)</f>
        <v>0</v>
      </c>
      <c r="S26" s="31">
        <f>SUM('Alabama Life:Villanova'!V26)</f>
        <v>0</v>
      </c>
    </row>
    <row r="27" spans="1:19">
      <c r="A27" s="1" t="s">
        <v>47</v>
      </c>
      <c r="B27" s="29">
        <f>+'Pre-Liquidation Summary'!B27+'Open Summary'!B27+'Closed Summary'!B27+'Estate Closed Summary'!B27+'Released from Oversight Summary'!B27</f>
        <v>44140936.403190963</v>
      </c>
      <c r="C27" s="30">
        <f>+'Pre-Liquidation Summary'!C27+'Open Summary'!C27+'Closed Summary'!C27+'Estate Closed Summary'!C27+'Released from Oversight Summary'!C27</f>
        <v>44908088.94518581</v>
      </c>
      <c r="D27" s="30">
        <f>+'Pre-Liquidation Summary'!D27+'Open Summary'!D27+'Closed Summary'!D27+'Estate Closed Summary'!D27+'Released from Oversight Summary'!D27</f>
        <v>4921518.8079327177</v>
      </c>
      <c r="E27" s="30">
        <f>+'Pre-Liquidation Summary'!E27+'Open Summary'!E27+'Closed Summary'!E27+'Estate Closed Summary'!E27+'Released from Oversight Summary'!E27</f>
        <v>0</v>
      </c>
      <c r="F27" s="30">
        <f>+'Pre-Liquidation Summary'!F27+'Open Summary'!F27+'Closed Summary'!F27+'Estate Closed Summary'!F27+'Released from Oversight Summary'!F27</f>
        <v>0</v>
      </c>
      <c r="G27" s="31">
        <f>SUM(MA_FINANCIAL)</f>
        <v>93970544.1563095</v>
      </c>
      <c r="H27" s="30"/>
      <c r="I27" s="29">
        <f>SUM('Alabama Life:Villanova'!L27)</f>
        <v>47115000</v>
      </c>
      <c r="J27" s="30">
        <f>SUM('Alabama Life:Villanova'!M27)</f>
        <v>2125000</v>
      </c>
      <c r="K27" s="30"/>
      <c r="L27" s="30">
        <f>SUM('Alabama Life:Villanova'!O27)</f>
        <v>40191000</v>
      </c>
      <c r="M27" s="30">
        <f>SUM('Alabama Life:Villanova'!P27)</f>
        <v>700000</v>
      </c>
      <c r="N27" s="30"/>
      <c r="O27" s="30">
        <f>SUM('Alabama Life:Villanova'!R27)</f>
        <v>7354000</v>
      </c>
      <c r="P27" s="30">
        <f>SUM('Alabama Life:Villanova'!S27)</f>
        <v>1475000</v>
      </c>
      <c r="Q27" s="30"/>
      <c r="R27" s="30">
        <f>SUM('Alabama Life:Villanova'!U27)</f>
        <v>0</v>
      </c>
      <c r="S27" s="31">
        <f>SUM('Alabama Life:Villanova'!V27)</f>
        <v>0</v>
      </c>
    </row>
    <row r="28" spans="1:19">
      <c r="A28" s="1" t="s">
        <v>49</v>
      </c>
      <c r="B28" s="29">
        <f>+'Pre-Liquidation Summary'!B28+'Open Summary'!B28+'Closed Summary'!B28+'Estate Closed Summary'!B28+'Released from Oversight Summary'!B28</f>
        <v>10541581.097806966</v>
      </c>
      <c r="C28" s="30">
        <f>+'Pre-Liquidation Summary'!C28+'Open Summary'!C28+'Closed Summary'!C28+'Estate Closed Summary'!C28+'Released from Oversight Summary'!C28</f>
        <v>54845206.082495987</v>
      </c>
      <c r="D28" s="30">
        <f>+'Pre-Liquidation Summary'!D28+'Open Summary'!D28+'Closed Summary'!D28+'Estate Closed Summary'!D28+'Released from Oversight Summary'!D28</f>
        <v>40389781.653833054</v>
      </c>
      <c r="E28" s="30">
        <f>+'Pre-Liquidation Summary'!E28+'Open Summary'!E28+'Closed Summary'!E28+'Estate Closed Summary'!E28+'Released from Oversight Summary'!E28</f>
        <v>3315905.8453165833</v>
      </c>
      <c r="F28" s="30">
        <f>+'Pre-Liquidation Summary'!F28+'Open Summary'!F28+'Closed Summary'!F28+'Estate Closed Summary'!F28+'Released from Oversight Summary'!F28</f>
        <v>0</v>
      </c>
      <c r="G28" s="31">
        <f>SUM(MI_FINANCIAL)</f>
        <v>109092474.6794526</v>
      </c>
      <c r="H28" s="30"/>
      <c r="I28" s="29">
        <f>SUM('Alabama Life:Villanova'!L28)</f>
        <v>23920700</v>
      </c>
      <c r="J28" s="30">
        <f>SUM('Alabama Life:Villanova'!M28)</f>
        <v>13088981</v>
      </c>
      <c r="K28" s="30"/>
      <c r="L28" s="30">
        <f>SUM('Alabama Life:Villanova'!O28)</f>
        <v>79297501</v>
      </c>
      <c r="M28" s="30">
        <f>SUM('Alabama Life:Villanova'!P28)</f>
        <v>10100034</v>
      </c>
      <c r="N28" s="30"/>
      <c r="O28" s="30">
        <f>SUM('Alabama Life:Villanova'!R28)</f>
        <v>36960311</v>
      </c>
      <c r="P28" s="30">
        <f>SUM('Alabama Life:Villanova'!S28)</f>
        <v>4998893</v>
      </c>
      <c r="Q28" s="30"/>
      <c r="R28" s="30">
        <f>SUM('Alabama Life:Villanova'!U28)</f>
        <v>34158333</v>
      </c>
      <c r="S28" s="31">
        <f>SUM('Alabama Life:Villanova'!V28)</f>
        <v>29297170</v>
      </c>
    </row>
    <row r="29" spans="1:19">
      <c r="A29" s="1" t="s">
        <v>50</v>
      </c>
      <c r="B29" s="29">
        <f>+'Pre-Liquidation Summary'!B29+'Open Summary'!B29+'Closed Summary'!B29+'Estate Closed Summary'!B29+'Released from Oversight Summary'!B29</f>
        <v>16976300.514247935</v>
      </c>
      <c r="C29" s="30">
        <f>+'Pre-Liquidation Summary'!C29+'Open Summary'!C29+'Closed Summary'!C29+'Estate Closed Summary'!C29+'Released from Oversight Summary'!C29</f>
        <v>61604825.061487943</v>
      </c>
      <c r="D29" s="30">
        <f>+'Pre-Liquidation Summary'!D29+'Open Summary'!D29+'Closed Summary'!D29+'Estate Closed Summary'!D29+'Released from Oversight Summary'!D29</f>
        <v>4921229.4075875748</v>
      </c>
      <c r="E29" s="30">
        <f>+'Pre-Liquidation Summary'!E29+'Open Summary'!E29+'Closed Summary'!E29+'Estate Closed Summary'!E29+'Released from Oversight Summary'!E29</f>
        <v>2406847.5931185558</v>
      </c>
      <c r="F29" s="30">
        <f>+'Pre-Liquidation Summary'!F29+'Open Summary'!F29+'Closed Summary'!F29+'Estate Closed Summary'!F29+'Released from Oversight Summary'!F29</f>
        <v>0</v>
      </c>
      <c r="G29" s="31">
        <f>SUM(MN_FINANCIAL)</f>
        <v>85909202.576442003</v>
      </c>
      <c r="H29" s="30"/>
      <c r="I29" s="29">
        <f>SUM('Alabama Life:Villanova'!L29)</f>
        <v>24063000</v>
      </c>
      <c r="J29" s="30">
        <f>SUM('Alabama Life:Villanova'!M29)</f>
        <v>2144001</v>
      </c>
      <c r="K29" s="30"/>
      <c r="L29" s="30">
        <f>SUM('Alabama Life:Villanova'!O29)</f>
        <v>120079500</v>
      </c>
      <c r="M29" s="30">
        <f>SUM('Alabama Life:Villanova'!P29)</f>
        <v>24707255</v>
      </c>
      <c r="N29" s="30"/>
      <c r="O29" s="30">
        <f>SUM('Alabama Life:Villanova'!R29)</f>
        <v>4968500</v>
      </c>
      <c r="P29" s="30">
        <f>SUM('Alabama Life:Villanova'!S29)</f>
        <v>0</v>
      </c>
      <c r="Q29" s="30"/>
      <c r="R29" s="30">
        <f>SUM('Alabama Life:Villanova'!U29)</f>
        <v>5700000</v>
      </c>
      <c r="S29" s="31">
        <f>SUM('Alabama Life:Villanova'!V29)</f>
        <v>0</v>
      </c>
    </row>
    <row r="30" spans="1:19">
      <c r="A30" s="1" t="s">
        <v>51</v>
      </c>
      <c r="B30" s="29">
        <f>+'Pre-Liquidation Summary'!B30+'Open Summary'!B30+'Closed Summary'!B30+'Estate Closed Summary'!B30+'Released from Oversight Summary'!B30</f>
        <v>57569172.624713093</v>
      </c>
      <c r="C30" s="30">
        <f>+'Pre-Liquidation Summary'!C30+'Open Summary'!C30+'Closed Summary'!C30+'Estate Closed Summary'!C30+'Released from Oversight Summary'!C30</f>
        <v>16613859.768106995</v>
      </c>
      <c r="D30" s="30">
        <f>+'Pre-Liquidation Summary'!D30+'Open Summary'!D30+'Closed Summary'!D30+'Estate Closed Summary'!D30+'Released from Oversight Summary'!D30</f>
        <v>30124203.510741767</v>
      </c>
      <c r="E30" s="30">
        <f>+'Pre-Liquidation Summary'!E30+'Open Summary'!E30+'Closed Summary'!E30+'Estate Closed Summary'!E30+'Released from Oversight Summary'!E30</f>
        <v>94414.876299510754</v>
      </c>
      <c r="F30" s="30">
        <f>+'Pre-Liquidation Summary'!F30+'Open Summary'!F30+'Closed Summary'!F30+'Estate Closed Summary'!F30+'Released from Oversight Summary'!F30</f>
        <v>0</v>
      </c>
      <c r="G30" s="31">
        <f>SUM(MS_FINANCIAL)</f>
        <v>104401650.77986138</v>
      </c>
      <c r="H30" s="30"/>
      <c r="I30" s="29">
        <f>SUM('Alabama Life:Villanova'!L30)</f>
        <v>50334095</v>
      </c>
      <c r="J30" s="30">
        <f>SUM('Alabama Life:Villanova'!M30)</f>
        <v>14626</v>
      </c>
      <c r="K30" s="30"/>
      <c r="L30" s="30">
        <f>SUM('Alabama Life:Villanova'!O30)</f>
        <v>20172670</v>
      </c>
      <c r="M30" s="30">
        <f>SUM('Alabama Life:Villanova'!P30)</f>
        <v>0</v>
      </c>
      <c r="N30" s="30"/>
      <c r="O30" s="30">
        <f>SUM('Alabama Life:Villanova'!R30)</f>
        <v>26034678</v>
      </c>
      <c r="P30" s="30">
        <f>SUM('Alabama Life:Villanova'!S30)</f>
        <v>30041</v>
      </c>
      <c r="Q30" s="30"/>
      <c r="R30" s="30">
        <f>SUM('Alabama Life:Villanova'!U30)</f>
        <v>6850139</v>
      </c>
      <c r="S30" s="31">
        <f>SUM('Alabama Life:Villanova'!V30)</f>
        <v>0</v>
      </c>
    </row>
    <row r="31" spans="1:19">
      <c r="A31" s="1" t="s">
        <v>52</v>
      </c>
      <c r="B31" s="29">
        <f>+'Pre-Liquidation Summary'!B31+'Open Summary'!B31+'Closed Summary'!B31+'Estate Closed Summary'!B31+'Released from Oversight Summary'!B31</f>
        <v>150225739.944718</v>
      </c>
      <c r="C31" s="30">
        <f>+'Pre-Liquidation Summary'!C31+'Open Summary'!C31+'Closed Summary'!C31+'Estate Closed Summary'!C31+'Released from Oversight Summary'!C31</f>
        <v>34390863.115098126</v>
      </c>
      <c r="D31" s="30">
        <f>+'Pre-Liquidation Summary'!D31+'Open Summary'!D31+'Closed Summary'!D31+'Estate Closed Summary'!D31+'Released from Oversight Summary'!D31</f>
        <v>27945779.57410894</v>
      </c>
      <c r="E31" s="30">
        <f>+'Pre-Liquidation Summary'!E31+'Open Summary'!E31+'Closed Summary'!E31+'Estate Closed Summary'!E31+'Released from Oversight Summary'!E31</f>
        <v>27443.965790575112</v>
      </c>
      <c r="F31" s="30">
        <f>+'Pre-Liquidation Summary'!F31+'Open Summary'!F31+'Closed Summary'!F31+'Estate Closed Summary'!F31+'Released from Oversight Summary'!F31</f>
        <v>0</v>
      </c>
      <c r="G31" s="31">
        <f>SUM(MO_FINANCIAL)</f>
        <v>212589826.59971562</v>
      </c>
      <c r="H31" s="30"/>
      <c r="I31" s="29">
        <f>SUM('Alabama Life:Villanova'!L31)</f>
        <v>166523552</v>
      </c>
      <c r="J31" s="30">
        <f>SUM('Alabama Life:Villanova'!M31)</f>
        <v>0</v>
      </c>
      <c r="K31" s="30"/>
      <c r="L31" s="30">
        <f>SUM('Alabama Life:Villanova'!O31)</f>
        <v>37285110</v>
      </c>
      <c r="M31" s="30">
        <f>SUM('Alabama Life:Villanova'!P31)</f>
        <v>0</v>
      </c>
      <c r="N31" s="30"/>
      <c r="O31" s="30">
        <f>SUM('Alabama Life:Villanova'!R31)</f>
        <v>26932629</v>
      </c>
      <c r="P31" s="30">
        <f>SUM('Alabama Life:Villanova'!S31)</f>
        <v>0</v>
      </c>
      <c r="Q31" s="30"/>
      <c r="R31" s="30">
        <f>SUM('Alabama Life:Villanova'!U31)</f>
        <v>0</v>
      </c>
      <c r="S31" s="31">
        <f>SUM('Alabama Life:Villanova'!V31)</f>
        <v>0</v>
      </c>
    </row>
    <row r="32" spans="1:19">
      <c r="A32" s="1" t="s">
        <v>53</v>
      </c>
      <c r="B32" s="29">
        <f>+'Pre-Liquidation Summary'!B32+'Open Summary'!B32+'Closed Summary'!B32+'Estate Closed Summary'!B32+'Released from Oversight Summary'!B32</f>
        <v>4468434.4154981812</v>
      </c>
      <c r="C32" s="30">
        <f>+'Pre-Liquidation Summary'!C32+'Open Summary'!C32+'Closed Summary'!C32+'Estate Closed Summary'!C32+'Released from Oversight Summary'!C32</f>
        <v>6724523.5150170699</v>
      </c>
      <c r="D32" s="30">
        <f>+'Pre-Liquidation Summary'!D32+'Open Summary'!D32+'Closed Summary'!D32+'Estate Closed Summary'!D32+'Released from Oversight Summary'!D32</f>
        <v>6468231.5492432425</v>
      </c>
      <c r="E32" s="30">
        <f>+'Pre-Liquidation Summary'!E32+'Open Summary'!E32+'Closed Summary'!E32+'Estate Closed Summary'!E32+'Released from Oversight Summary'!E32</f>
        <v>0</v>
      </c>
      <c r="F32" s="30">
        <f>+'Pre-Liquidation Summary'!F32+'Open Summary'!F32+'Closed Summary'!F32+'Estate Closed Summary'!F32+'Released from Oversight Summary'!F32</f>
        <v>0</v>
      </c>
      <c r="G32" s="31">
        <f>SUM(MT_FINANCIAL)</f>
        <v>17661189.479758494</v>
      </c>
      <c r="H32" s="30"/>
      <c r="I32" s="29">
        <f>SUM('Alabama Life:Villanova'!L32)</f>
        <v>8060287</v>
      </c>
      <c r="J32" s="30">
        <f>SUM('Alabama Life:Villanova'!M32)</f>
        <v>0</v>
      </c>
      <c r="K32" s="30"/>
      <c r="L32" s="30">
        <f>SUM('Alabama Life:Villanova'!O32)</f>
        <v>7723955</v>
      </c>
      <c r="M32" s="30">
        <f>SUM('Alabama Life:Villanova'!P32)</f>
        <v>0</v>
      </c>
      <c r="N32" s="30"/>
      <c r="O32" s="30">
        <f>SUM('Alabama Life:Villanova'!R32)</f>
        <v>5457700</v>
      </c>
      <c r="P32" s="30">
        <f>SUM('Alabama Life:Villanova'!S32)</f>
        <v>0</v>
      </c>
      <c r="Q32" s="30"/>
      <c r="R32" s="30">
        <f>SUM('Alabama Life:Villanova'!U32)</f>
        <v>0</v>
      </c>
      <c r="S32" s="31">
        <f>SUM('Alabama Life:Villanova'!V32)</f>
        <v>0</v>
      </c>
    </row>
    <row r="33" spans="1:19">
      <c r="A33" s="1" t="s">
        <v>54</v>
      </c>
      <c r="B33" s="29">
        <f>+'Pre-Liquidation Summary'!B33+'Open Summary'!B33+'Closed Summary'!B33+'Estate Closed Summary'!B33+'Released from Oversight Summary'!B33</f>
        <v>15252782.364240287</v>
      </c>
      <c r="C33" s="30">
        <f>+'Pre-Liquidation Summary'!C33+'Open Summary'!C33+'Closed Summary'!C33+'Estate Closed Summary'!C33+'Released from Oversight Summary'!C33</f>
        <v>15594732.747339517</v>
      </c>
      <c r="D33" s="30">
        <f>+'Pre-Liquidation Summary'!D33+'Open Summary'!D33+'Closed Summary'!D33+'Estate Closed Summary'!D33+'Released from Oversight Summary'!D33</f>
        <v>47968992.660348989</v>
      </c>
      <c r="E33" s="30">
        <f>+'Pre-Liquidation Summary'!E33+'Open Summary'!E33+'Closed Summary'!E33+'Estate Closed Summary'!E33+'Released from Oversight Summary'!E33</f>
        <v>0</v>
      </c>
      <c r="F33" s="30">
        <f>+'Pre-Liquidation Summary'!F33+'Open Summary'!F33+'Closed Summary'!F33+'Estate Closed Summary'!F33+'Released from Oversight Summary'!F33</f>
        <v>0</v>
      </c>
      <c r="G33" s="31">
        <f>SUM(NE_FINANCIAL)</f>
        <v>78816507.771928787</v>
      </c>
      <c r="H33" s="30"/>
      <c r="I33" s="29">
        <f>SUM('Alabama Life:Villanova'!L33)</f>
        <v>11938351</v>
      </c>
      <c r="J33" s="30">
        <f>SUM('Alabama Life:Villanova'!M33)</f>
        <v>532785</v>
      </c>
      <c r="K33" s="30"/>
      <c r="L33" s="30">
        <f>SUM('Alabama Life:Villanova'!O33)</f>
        <v>17050339</v>
      </c>
      <c r="M33" s="30">
        <f>SUM('Alabama Life:Villanova'!P33)</f>
        <v>293315</v>
      </c>
      <c r="N33" s="30"/>
      <c r="O33" s="30">
        <f>SUM('Alabama Life:Villanova'!R33)</f>
        <v>65724326</v>
      </c>
      <c r="P33" s="30">
        <f>SUM('Alabama Life:Villanova'!S33)</f>
        <v>5700000</v>
      </c>
      <c r="Q33" s="30"/>
      <c r="R33" s="30">
        <f>SUM('Alabama Life:Villanova'!U33)</f>
        <v>0</v>
      </c>
      <c r="S33" s="31">
        <f>SUM('Alabama Life:Villanova'!V33)</f>
        <v>0</v>
      </c>
    </row>
    <row r="34" spans="1:19">
      <c r="A34" s="1" t="s">
        <v>55</v>
      </c>
      <c r="B34" s="29">
        <f>+'Pre-Liquidation Summary'!B34+'Open Summary'!B34+'Closed Summary'!B34+'Estate Closed Summary'!B34+'Released from Oversight Summary'!B34</f>
        <v>12567720.709052797</v>
      </c>
      <c r="C34" s="30">
        <f>+'Pre-Liquidation Summary'!C34+'Open Summary'!C34+'Closed Summary'!C34+'Estate Closed Summary'!C34+'Released from Oversight Summary'!C34</f>
        <v>8951192.9478217755</v>
      </c>
      <c r="D34" s="30">
        <f>+'Pre-Liquidation Summary'!D34+'Open Summary'!D34+'Closed Summary'!D34+'Estate Closed Summary'!D34+'Released from Oversight Summary'!D34</f>
        <v>21614000.56063747</v>
      </c>
      <c r="E34" s="30">
        <f>+'Pre-Liquidation Summary'!E34+'Open Summary'!E34+'Closed Summary'!E34+'Estate Closed Summary'!E34+'Released from Oversight Summary'!E34</f>
        <v>0</v>
      </c>
      <c r="F34" s="30">
        <f>+'Pre-Liquidation Summary'!F34+'Open Summary'!F34+'Closed Summary'!F34+'Estate Closed Summary'!F34+'Released from Oversight Summary'!F34</f>
        <v>0</v>
      </c>
      <c r="G34" s="31">
        <f>SUM(NV_FINANCIAL)</f>
        <v>43132914.217512041</v>
      </c>
      <c r="H34" s="30"/>
      <c r="I34" s="29">
        <f>SUM('Alabama Life:Villanova'!L34)</f>
        <v>12262827</v>
      </c>
      <c r="J34" s="30">
        <f>SUM('Alabama Life:Villanova'!M34)</f>
        <v>337000</v>
      </c>
      <c r="K34" s="30"/>
      <c r="L34" s="30">
        <f>SUM('Alabama Life:Villanova'!O34)</f>
        <v>8197685</v>
      </c>
      <c r="M34" s="30">
        <f>SUM('Alabama Life:Villanova'!P34)</f>
        <v>69630</v>
      </c>
      <c r="N34" s="30"/>
      <c r="O34" s="30">
        <f>SUM('Alabama Life:Villanova'!R34)</f>
        <v>27839600</v>
      </c>
      <c r="P34" s="30">
        <f>SUM('Alabama Life:Villanova'!S34)</f>
        <v>178000</v>
      </c>
      <c r="Q34" s="30"/>
      <c r="R34" s="30">
        <f>SUM('Alabama Life:Villanova'!U34)</f>
        <v>0</v>
      </c>
      <c r="S34" s="31">
        <f>SUM('Alabama Life:Villanova'!V34)</f>
        <v>0</v>
      </c>
    </row>
    <row r="35" spans="1:19">
      <c r="A35" s="1" t="s">
        <v>56</v>
      </c>
      <c r="B35" s="29">
        <f>+'Pre-Liquidation Summary'!B35+'Open Summary'!B35+'Closed Summary'!B35+'Estate Closed Summary'!B35+'Released from Oversight Summary'!B35</f>
        <v>562415.40634958108</v>
      </c>
      <c r="C35" s="30">
        <f>+'Pre-Liquidation Summary'!C35+'Open Summary'!C35+'Closed Summary'!C35+'Estate Closed Summary'!C35+'Released from Oversight Summary'!C35</f>
        <v>2310952.9636945929</v>
      </c>
      <c r="D35" s="30">
        <f>+'Pre-Liquidation Summary'!D35+'Open Summary'!D35+'Closed Summary'!D35+'Estate Closed Summary'!D35+'Released from Oversight Summary'!D35</f>
        <v>8174423.5471264869</v>
      </c>
      <c r="E35" s="30">
        <f>+'Pre-Liquidation Summary'!E35+'Open Summary'!E35+'Closed Summary'!E35+'Estate Closed Summary'!E35+'Released from Oversight Summary'!E35</f>
        <v>607576.32708864158</v>
      </c>
      <c r="F35" s="30">
        <f>+'Pre-Liquidation Summary'!F35+'Open Summary'!F35+'Closed Summary'!F35+'Estate Closed Summary'!F35+'Released from Oversight Summary'!F35</f>
        <v>0</v>
      </c>
      <c r="G35" s="31">
        <f>SUM(NH_FINANCIAL)</f>
        <v>11655368.244259302</v>
      </c>
      <c r="H35" s="30"/>
      <c r="I35" s="29">
        <f>SUM('Alabama Life:Villanova'!L35)</f>
        <v>2023542</v>
      </c>
      <c r="J35" s="30">
        <f>SUM('Alabama Life:Villanova'!M35)</f>
        <v>563123</v>
      </c>
      <c r="K35" s="30"/>
      <c r="L35" s="30">
        <f>SUM('Alabama Life:Villanova'!O35)</f>
        <v>3781993</v>
      </c>
      <c r="M35" s="30">
        <f>SUM('Alabama Life:Villanova'!P35)</f>
        <v>996376</v>
      </c>
      <c r="N35" s="30"/>
      <c r="O35" s="30">
        <f>SUM('Alabama Life:Villanova'!R35)</f>
        <v>6586065</v>
      </c>
      <c r="P35" s="30">
        <f>SUM('Alabama Life:Villanova'!S35)</f>
        <v>0</v>
      </c>
      <c r="Q35" s="30"/>
      <c r="R35" s="30">
        <f>SUM('Alabama Life:Villanova'!U35)</f>
        <v>0</v>
      </c>
      <c r="S35" s="31">
        <f>SUM('Alabama Life:Villanova'!V35)</f>
        <v>0</v>
      </c>
    </row>
    <row r="36" spans="1:19">
      <c r="A36" s="1" t="s">
        <v>57</v>
      </c>
      <c r="B36" s="29">
        <f>+'Pre-Liquidation Summary'!B36+'Open Summary'!B36+'Closed Summary'!B36+'Estate Closed Summary'!B36+'Released from Oversight Summary'!B36</f>
        <v>38337181.697795555</v>
      </c>
      <c r="C36" s="30">
        <f>+'Pre-Liquidation Summary'!C36+'Open Summary'!C36+'Closed Summary'!C36+'Estate Closed Summary'!C36+'Released from Oversight Summary'!C36</f>
        <v>107560443.55540101</v>
      </c>
      <c r="D36" s="30">
        <f>+'Pre-Liquidation Summary'!D36+'Open Summary'!D36+'Closed Summary'!D36+'Estate Closed Summary'!D36+'Released from Oversight Summary'!D36</f>
        <v>174979706.40165329</v>
      </c>
      <c r="E36" s="30">
        <f>+'Pre-Liquidation Summary'!E36+'Open Summary'!E36+'Closed Summary'!E36+'Estate Closed Summary'!E36+'Released from Oversight Summary'!E36</f>
        <v>4590789.2790169828</v>
      </c>
      <c r="F36" s="30">
        <f>+'Pre-Liquidation Summary'!F36+'Open Summary'!F36+'Closed Summary'!F36+'Estate Closed Summary'!F36+'Released from Oversight Summary'!F36</f>
        <v>0</v>
      </c>
      <c r="G36" s="31">
        <f>SUM(NJ_FINANCIAL)</f>
        <v>325468120.93386686</v>
      </c>
      <c r="H36" s="30"/>
      <c r="I36" s="29">
        <f>SUM('Alabama Life:Villanova'!L36)</f>
        <v>45070487</v>
      </c>
      <c r="J36" s="30">
        <f>SUM('Alabama Life:Villanova'!M36)</f>
        <v>7892387</v>
      </c>
      <c r="K36" s="30"/>
      <c r="L36" s="30">
        <f>SUM('Alabama Life:Villanova'!O36)</f>
        <v>120329985</v>
      </c>
      <c r="M36" s="30">
        <f>SUM('Alabama Life:Villanova'!P36)</f>
        <v>20136428</v>
      </c>
      <c r="N36" s="30"/>
      <c r="O36" s="30">
        <f>SUM('Alabama Life:Villanova'!R36)</f>
        <v>153874000</v>
      </c>
      <c r="P36" s="30">
        <f>SUM('Alabama Life:Villanova'!S36)</f>
        <v>151039</v>
      </c>
      <c r="Q36" s="30"/>
      <c r="R36" s="30">
        <f>SUM('Alabama Life:Villanova'!U36)</f>
        <v>23104352</v>
      </c>
      <c r="S36" s="31">
        <f>SUM('Alabama Life:Villanova'!V36)</f>
        <v>11865605</v>
      </c>
    </row>
    <row r="37" spans="1:19">
      <c r="A37" s="1" t="s">
        <v>58</v>
      </c>
      <c r="B37" s="29">
        <f>+'Pre-Liquidation Summary'!B37+'Open Summary'!B37+'Closed Summary'!B37+'Estate Closed Summary'!B37+'Released from Oversight Summary'!B37</f>
        <v>5440433.6470330637</v>
      </c>
      <c r="C37" s="30">
        <f>+'Pre-Liquidation Summary'!C37+'Open Summary'!C37+'Closed Summary'!C37+'Estate Closed Summary'!C37+'Released from Oversight Summary'!C37</f>
        <v>9932417.3263638504</v>
      </c>
      <c r="D37" s="30">
        <f>+'Pre-Liquidation Summary'!D37+'Open Summary'!D37+'Closed Summary'!D37+'Estate Closed Summary'!D37+'Released from Oversight Summary'!D37</f>
        <v>10086349.270378711</v>
      </c>
      <c r="E37" s="30">
        <f>+'Pre-Liquidation Summary'!E37+'Open Summary'!E37+'Closed Summary'!E37+'Estate Closed Summary'!E37+'Released from Oversight Summary'!E37</f>
        <v>0</v>
      </c>
      <c r="F37" s="30">
        <f>+'Pre-Liquidation Summary'!F37+'Open Summary'!F37+'Closed Summary'!F37+'Estate Closed Summary'!F37+'Released from Oversight Summary'!F37</f>
        <v>0</v>
      </c>
      <c r="G37" s="31">
        <f>SUM(NM_FINANCIAL)</f>
        <v>25459200.243775625</v>
      </c>
      <c r="H37" s="30"/>
      <c r="I37" s="29">
        <f>SUM('Alabama Life:Villanova'!L37)</f>
        <v>4924513</v>
      </c>
      <c r="J37" s="30">
        <f>SUM('Alabama Life:Villanova'!M37)</f>
        <v>120000</v>
      </c>
      <c r="K37" s="30"/>
      <c r="L37" s="30">
        <f>SUM('Alabama Life:Villanova'!O37)</f>
        <v>8030525</v>
      </c>
      <c r="M37" s="30">
        <f>SUM('Alabama Life:Villanova'!P37)</f>
        <v>0</v>
      </c>
      <c r="N37" s="30"/>
      <c r="O37" s="30">
        <f>SUM('Alabama Life:Villanova'!R37)</f>
        <v>8698590</v>
      </c>
      <c r="P37" s="30">
        <f>SUM('Alabama Life:Villanova'!S37)</f>
        <v>9982</v>
      </c>
      <c r="Q37" s="30"/>
      <c r="R37" s="30">
        <f>SUM('Alabama Life:Villanova'!U37)</f>
        <v>0</v>
      </c>
      <c r="S37" s="31">
        <f>SUM('Alabama Life:Villanova'!V37)</f>
        <v>0</v>
      </c>
    </row>
    <row r="38" spans="1:19">
      <c r="A38" s="1" t="s">
        <v>59</v>
      </c>
      <c r="B38" s="29">
        <f>+'Pre-Liquidation Summary'!B38+'Open Summary'!B38+'Closed Summary'!B38+'Estate Closed Summary'!B38+'Released from Oversight Summary'!B38</f>
        <v>56038.214969297696</v>
      </c>
      <c r="C38" s="30">
        <f>+'Pre-Liquidation Summary'!C38+'Open Summary'!C38+'Closed Summary'!C38+'Estate Closed Summary'!C38+'Released from Oversight Summary'!C38</f>
        <v>537729715.54211962</v>
      </c>
      <c r="D38" s="30">
        <f>+'Pre-Liquidation Summary'!D38+'Open Summary'!D38+'Closed Summary'!D38+'Estate Closed Summary'!D38+'Released from Oversight Summary'!D38</f>
        <v>-103290.93116075061</v>
      </c>
      <c r="E38" s="30">
        <f>+'Pre-Liquidation Summary'!E38+'Open Summary'!E38+'Closed Summary'!E38+'Estate Closed Summary'!E38+'Released from Oversight Summary'!E38</f>
        <v>-7021.3451492979402</v>
      </c>
      <c r="F38" s="30">
        <f>+'Pre-Liquidation Summary'!F38+'Open Summary'!F38+'Closed Summary'!F38+'Estate Closed Summary'!F38+'Released from Oversight Summary'!F38</f>
        <v>0</v>
      </c>
      <c r="G38" s="31">
        <f>SUM(NY_FINANCIAL)</f>
        <v>537675441.48077881</v>
      </c>
      <c r="H38" s="30"/>
      <c r="I38" s="29">
        <f>SUM('Alabama Life:Villanova'!L38)</f>
        <v>647978179</v>
      </c>
      <c r="J38" s="30">
        <f>SUM('Alabama Life:Villanova'!M38)</f>
        <v>54000000</v>
      </c>
      <c r="K38" s="30"/>
      <c r="L38" s="30">
        <f>SUM('Alabama Life:Villanova'!O38)</f>
        <v>0</v>
      </c>
      <c r="M38" s="30">
        <f>SUM('Alabama Life:Villanova'!P38)</f>
        <v>0</v>
      </c>
      <c r="N38" s="30"/>
      <c r="O38" s="30">
        <f>SUM('Alabama Life:Villanova'!R38)</f>
        <v>0</v>
      </c>
      <c r="P38" s="30">
        <f>SUM('Alabama Life:Villanova'!S38)</f>
        <v>0</v>
      </c>
      <c r="Q38" s="30"/>
      <c r="R38" s="30">
        <f>SUM('Alabama Life:Villanova'!U38)</f>
        <v>0</v>
      </c>
      <c r="S38" s="31">
        <f>SUM('Alabama Life:Villanova'!V38)</f>
        <v>0</v>
      </c>
    </row>
    <row r="39" spans="1:19">
      <c r="A39" s="1" t="s">
        <v>60</v>
      </c>
      <c r="B39" s="29">
        <f>+'Pre-Liquidation Summary'!B39+'Open Summary'!B39+'Closed Summary'!B39+'Estate Closed Summary'!B39+'Released from Oversight Summary'!B39</f>
        <v>40373823.541191511</v>
      </c>
      <c r="C39" s="30">
        <f>+'Pre-Liquidation Summary'!C39+'Open Summary'!C39+'Closed Summary'!C39+'Estate Closed Summary'!C39+'Released from Oversight Summary'!C39</f>
        <v>100550679.40204152</v>
      </c>
      <c r="D39" s="30">
        <f>+'Pre-Liquidation Summary'!D39+'Open Summary'!D39+'Closed Summary'!D39+'Estate Closed Summary'!D39+'Released from Oversight Summary'!D39</f>
        <v>109704495.25132027</v>
      </c>
      <c r="E39" s="30">
        <f>+'Pre-Liquidation Summary'!E39+'Open Summary'!E39+'Closed Summary'!E39+'Estate Closed Summary'!E39+'Released from Oversight Summary'!E39</f>
        <v>222543.48911629638</v>
      </c>
      <c r="F39" s="30">
        <f>+'Pre-Liquidation Summary'!F39+'Open Summary'!F39+'Closed Summary'!F39+'Estate Closed Summary'!F39+'Released from Oversight Summary'!F39</f>
        <v>0</v>
      </c>
      <c r="G39" s="31">
        <f>SUM(NC_FINANCIAL)</f>
        <v>250851541.68366963</v>
      </c>
      <c r="H39" s="30"/>
      <c r="I39" s="29">
        <f>SUM('Alabama Life:Villanova'!L39)</f>
        <v>53519217</v>
      </c>
      <c r="J39" s="30">
        <f>SUM('Alabama Life:Villanova'!M39)</f>
        <v>8308500</v>
      </c>
      <c r="K39" s="30"/>
      <c r="L39" s="30">
        <f>SUM('Alabama Life:Villanova'!O39)</f>
        <v>199709283</v>
      </c>
      <c r="M39" s="30">
        <f>SUM('Alabama Life:Villanova'!P39)</f>
        <v>21068750</v>
      </c>
      <c r="N39" s="30"/>
      <c r="O39" s="30">
        <f>SUM('Alabama Life:Villanova'!R39)</f>
        <v>102856500</v>
      </c>
      <c r="P39" s="30">
        <f>SUM('Alabama Life:Villanova'!S39)</f>
        <v>900000</v>
      </c>
      <c r="Q39" s="30"/>
      <c r="R39" s="30">
        <f>SUM('Alabama Life:Villanova'!U39)</f>
        <v>0</v>
      </c>
      <c r="S39" s="31">
        <f>SUM('Alabama Life:Villanova'!V39)</f>
        <v>0</v>
      </c>
    </row>
    <row r="40" spans="1:19">
      <c r="A40" s="1" t="s">
        <v>61</v>
      </c>
      <c r="B40" s="29">
        <f>+'Pre-Liquidation Summary'!B40+'Open Summary'!B40+'Closed Summary'!B40+'Estate Closed Summary'!B40+'Released from Oversight Summary'!B40</f>
        <v>4023012.813613358</v>
      </c>
      <c r="C40" s="30">
        <f>+'Pre-Liquidation Summary'!C40+'Open Summary'!C40+'Closed Summary'!C40+'Estate Closed Summary'!C40+'Released from Oversight Summary'!C40</f>
        <v>7108080.9948920514</v>
      </c>
      <c r="D40" s="30">
        <f>+'Pre-Liquidation Summary'!D40+'Open Summary'!D40+'Closed Summary'!D40+'Estate Closed Summary'!D40+'Released from Oversight Summary'!D40</f>
        <v>6225316.1811135476</v>
      </c>
      <c r="E40" s="30">
        <f>+'Pre-Liquidation Summary'!E40+'Open Summary'!E40+'Closed Summary'!E40+'Estate Closed Summary'!E40+'Released from Oversight Summary'!E40</f>
        <v>29120.812073445457</v>
      </c>
      <c r="F40" s="30">
        <f>+'Pre-Liquidation Summary'!F40+'Open Summary'!F40+'Closed Summary'!F40+'Estate Closed Summary'!F40+'Released from Oversight Summary'!F40</f>
        <v>0</v>
      </c>
      <c r="G40" s="31">
        <f>SUM(ND_FINANCIAL)</f>
        <v>17385530.801692404</v>
      </c>
      <c r="H40" s="30"/>
      <c r="I40" s="29">
        <f>SUM('Alabama Life:Villanova'!L40)</f>
        <v>4999898</v>
      </c>
      <c r="J40" s="30">
        <f>SUM('Alabama Life:Villanova'!M40)</f>
        <v>423000</v>
      </c>
      <c r="K40" s="30"/>
      <c r="L40" s="30">
        <f>SUM('Alabama Life:Villanova'!O40)</f>
        <v>7798336</v>
      </c>
      <c r="M40" s="30">
        <f>SUM('Alabama Life:Villanova'!P40)</f>
        <v>277400</v>
      </c>
      <c r="N40" s="30"/>
      <c r="O40" s="30">
        <f>SUM('Alabama Life:Villanova'!R40)</f>
        <v>3253092</v>
      </c>
      <c r="P40" s="30">
        <f>SUM('Alabama Life:Villanova'!S40)</f>
        <v>924599</v>
      </c>
      <c r="Q40" s="30"/>
      <c r="R40" s="30">
        <f>SUM('Alabama Life:Villanova'!U40)</f>
        <v>104738</v>
      </c>
      <c r="S40" s="31">
        <f>SUM('Alabama Life:Villanova'!V40)</f>
        <v>0</v>
      </c>
    </row>
    <row r="41" spans="1:19">
      <c r="A41" s="1" t="s">
        <v>62</v>
      </c>
      <c r="B41" s="29">
        <f>+'Pre-Liquidation Summary'!B41+'Open Summary'!B41+'Closed Summary'!B41+'Estate Closed Summary'!B41+'Released from Oversight Summary'!B41</f>
        <v>48971736.424487136</v>
      </c>
      <c r="C41" s="30">
        <f>+'Pre-Liquidation Summary'!C41+'Open Summary'!C41+'Closed Summary'!C41+'Estate Closed Summary'!C41+'Released from Oversight Summary'!C41</f>
        <v>61453890.415044762</v>
      </c>
      <c r="D41" s="30">
        <f>+'Pre-Liquidation Summary'!D41+'Open Summary'!D41+'Closed Summary'!D41+'Estate Closed Summary'!D41+'Released from Oversight Summary'!D41</f>
        <v>91296036.307355419</v>
      </c>
      <c r="E41" s="30">
        <f>+'Pre-Liquidation Summary'!E41+'Open Summary'!E41+'Closed Summary'!E41+'Estate Closed Summary'!E41+'Released from Oversight Summary'!E41</f>
        <v>2334011.9809630406</v>
      </c>
      <c r="F41" s="30">
        <f>+'Pre-Liquidation Summary'!F41+'Open Summary'!F41+'Closed Summary'!F41+'Estate Closed Summary'!F41+'Released from Oversight Summary'!F41</f>
        <v>0</v>
      </c>
      <c r="G41" s="31">
        <f>SUM(OH_FINANCIAL)</f>
        <v>204055675.12785035</v>
      </c>
      <c r="H41" s="30"/>
      <c r="I41" s="29">
        <f>SUM('Alabama Life:Villanova'!L41)</f>
        <v>46900000</v>
      </c>
      <c r="J41" s="30">
        <f>SUM('Alabama Life:Villanova'!M41)</f>
        <v>0</v>
      </c>
      <c r="K41" s="30"/>
      <c r="L41" s="30">
        <f>SUM('Alabama Life:Villanova'!O41)</f>
        <v>60245000</v>
      </c>
      <c r="M41" s="30">
        <f>SUM('Alabama Life:Villanova'!P41)</f>
        <v>0</v>
      </c>
      <c r="N41" s="30"/>
      <c r="O41" s="30">
        <f>SUM('Alabama Life:Villanova'!R41)</f>
        <v>100032912</v>
      </c>
      <c r="P41" s="30">
        <f>SUM('Alabama Life:Villanova'!S41)</f>
        <v>0</v>
      </c>
      <c r="Q41" s="30"/>
      <c r="R41" s="30">
        <f>SUM('Alabama Life:Villanova'!U41)</f>
        <v>7875000</v>
      </c>
      <c r="S41" s="31">
        <f>SUM('Alabama Life:Villanova'!V41)</f>
        <v>7300000</v>
      </c>
    </row>
    <row r="42" spans="1:19">
      <c r="A42" s="1" t="s">
        <v>63</v>
      </c>
      <c r="B42" s="29">
        <f>+'Pre-Liquidation Summary'!B42+'Open Summary'!B42+'Closed Summary'!B42+'Estate Closed Summary'!B42+'Released from Oversight Summary'!B42</f>
        <v>31601937.465881065</v>
      </c>
      <c r="C42" s="30">
        <f>+'Pre-Liquidation Summary'!C42+'Open Summary'!C42+'Closed Summary'!C42+'Estate Closed Summary'!C42+'Released from Oversight Summary'!C42</f>
        <v>33909409.316765741</v>
      </c>
      <c r="D42" s="30">
        <f>+'Pre-Liquidation Summary'!D42+'Open Summary'!D42+'Closed Summary'!D42+'Estate Closed Summary'!D42+'Released from Oversight Summary'!D42</f>
        <v>17359387.093075801</v>
      </c>
      <c r="E42" s="30">
        <f>+'Pre-Liquidation Summary'!E42+'Open Summary'!E42+'Closed Summary'!E42+'Estate Closed Summary'!E42+'Released from Oversight Summary'!E42</f>
        <v>0</v>
      </c>
      <c r="F42" s="30">
        <f>+'Pre-Liquidation Summary'!F42+'Open Summary'!F42+'Closed Summary'!F42+'Estate Closed Summary'!F42+'Released from Oversight Summary'!F42</f>
        <v>0</v>
      </c>
      <c r="G42" s="31">
        <f>SUM(OK_FINANCIAL)</f>
        <v>82870733.875722602</v>
      </c>
      <c r="H42" s="30"/>
      <c r="I42" s="29">
        <f>SUM('Alabama Life:Villanova'!L42)</f>
        <v>49469843</v>
      </c>
      <c r="J42" s="30">
        <f>SUM('Alabama Life:Villanova'!M42)</f>
        <v>14456850</v>
      </c>
      <c r="K42" s="30"/>
      <c r="L42" s="30">
        <f>SUM('Alabama Life:Villanova'!O42)</f>
        <v>36318738</v>
      </c>
      <c r="M42" s="30">
        <f>SUM('Alabama Life:Villanova'!P42)</f>
        <v>5517650</v>
      </c>
      <c r="N42" s="30"/>
      <c r="O42" s="30">
        <f>SUM('Alabama Life:Villanova'!R42)</f>
        <v>27035550</v>
      </c>
      <c r="P42" s="30">
        <f>SUM('Alabama Life:Villanova'!S42)</f>
        <v>7852000</v>
      </c>
      <c r="Q42" s="30"/>
      <c r="R42" s="30">
        <f>SUM('Alabama Life:Villanova'!U42)</f>
        <v>0</v>
      </c>
      <c r="S42" s="31">
        <f>SUM('Alabama Life:Villanova'!V42)</f>
        <v>0</v>
      </c>
    </row>
    <row r="43" spans="1:19">
      <c r="A43" s="1" t="s">
        <v>64</v>
      </c>
      <c r="B43" s="29">
        <f>+'Pre-Liquidation Summary'!B43+'Open Summary'!B43+'Closed Summary'!B43+'Estate Closed Summary'!B43+'Released from Oversight Summary'!B43</f>
        <v>17207322.033356693</v>
      </c>
      <c r="C43" s="30">
        <f>+'Pre-Liquidation Summary'!C43+'Open Summary'!C43+'Closed Summary'!C43+'Estate Closed Summary'!C43+'Released from Oversight Summary'!C43</f>
        <v>19445538.661240809</v>
      </c>
      <c r="D43" s="30">
        <f>+'Pre-Liquidation Summary'!D43+'Open Summary'!D43+'Closed Summary'!D43+'Estate Closed Summary'!D43+'Released from Oversight Summary'!D43</f>
        <v>13066017.17696956</v>
      </c>
      <c r="E43" s="30">
        <f>+'Pre-Liquidation Summary'!E43+'Open Summary'!E43+'Closed Summary'!E43+'Estate Closed Summary'!E43+'Released from Oversight Summary'!E43</f>
        <v>0</v>
      </c>
      <c r="F43" s="30">
        <f>+'Pre-Liquidation Summary'!F43+'Open Summary'!F43+'Closed Summary'!F43+'Estate Closed Summary'!F43+'Released from Oversight Summary'!F43</f>
        <v>0</v>
      </c>
      <c r="G43" s="31">
        <f>SUM(OR_FINANCIAL)</f>
        <v>49718877.871567056</v>
      </c>
      <c r="H43" s="30"/>
      <c r="I43" s="29">
        <f>SUM('Alabama Life:Villanova'!L43)</f>
        <v>19068901</v>
      </c>
      <c r="J43" s="30">
        <f>SUM('Alabama Life:Villanova'!M43)</f>
        <v>0</v>
      </c>
      <c r="K43" s="30"/>
      <c r="L43" s="30">
        <f>SUM('Alabama Life:Villanova'!O43)</f>
        <v>20140366</v>
      </c>
      <c r="M43" s="30">
        <f>SUM('Alabama Life:Villanova'!P43)</f>
        <v>0</v>
      </c>
      <c r="N43" s="30"/>
      <c r="O43" s="30">
        <f>SUM('Alabama Life:Villanova'!R43)</f>
        <v>10733644</v>
      </c>
      <c r="P43" s="30">
        <f>SUM('Alabama Life:Villanova'!S43)</f>
        <v>0</v>
      </c>
      <c r="Q43" s="30"/>
      <c r="R43" s="30">
        <f>SUM('Alabama Life:Villanova'!U43)</f>
        <v>0</v>
      </c>
      <c r="S43" s="31">
        <f>SUM('Alabama Life:Villanova'!V43)</f>
        <v>0</v>
      </c>
    </row>
    <row r="44" spans="1:19">
      <c r="A44" s="1" t="s">
        <v>65</v>
      </c>
      <c r="B44" s="29">
        <f>+'Pre-Liquidation Summary'!B44+'Open Summary'!B44+'Closed Summary'!B44+'Estate Closed Summary'!B44+'Released from Oversight Summary'!B44</f>
        <v>70676503.287572354</v>
      </c>
      <c r="C44" s="30">
        <f>+'Pre-Liquidation Summary'!C44+'Open Summary'!C44+'Closed Summary'!C44+'Estate Closed Summary'!C44+'Released from Oversight Summary'!C44</f>
        <v>390603004.16695356</v>
      </c>
      <c r="D44" s="30">
        <f>+'Pre-Liquidation Summary'!D44+'Open Summary'!D44+'Closed Summary'!D44+'Estate Closed Summary'!D44+'Released from Oversight Summary'!D44</f>
        <v>282071724.82089192</v>
      </c>
      <c r="E44" s="30">
        <f>+'Pre-Liquidation Summary'!E44+'Open Summary'!E44+'Closed Summary'!E44+'Estate Closed Summary'!E44+'Released from Oversight Summary'!E44</f>
        <v>1542360.7154458794</v>
      </c>
      <c r="F44" s="30">
        <f>+'Pre-Liquidation Summary'!F44+'Open Summary'!F44+'Closed Summary'!F44+'Estate Closed Summary'!F44+'Released from Oversight Summary'!F44</f>
        <v>0</v>
      </c>
      <c r="G44" s="31">
        <f>SUM(PA_FINANCIAL)</f>
        <v>744893592.99086368</v>
      </c>
      <c r="H44" s="30"/>
      <c r="I44" s="29">
        <f>SUM('Alabama Life:Villanova'!L44)</f>
        <v>157512407</v>
      </c>
      <c r="J44" s="30">
        <f>SUM('Alabama Life:Villanova'!M44)</f>
        <v>0</v>
      </c>
      <c r="K44" s="30"/>
      <c r="L44" s="30">
        <f>SUM('Alabama Life:Villanova'!O44)</f>
        <v>234061862</v>
      </c>
      <c r="M44" s="30">
        <f>SUM('Alabama Life:Villanova'!P44)</f>
        <v>0</v>
      </c>
      <c r="N44" s="30"/>
      <c r="O44" s="30">
        <f>SUM('Alabama Life:Villanova'!R44)</f>
        <v>304059856</v>
      </c>
      <c r="P44" s="30">
        <f>SUM('Alabama Life:Villanova'!S44)</f>
        <v>21428276</v>
      </c>
      <c r="Q44" s="30"/>
      <c r="R44" s="30">
        <f>SUM('Alabama Life:Villanova'!U44)</f>
        <v>100058938</v>
      </c>
      <c r="S44" s="31">
        <f>SUM('Alabama Life:Villanova'!V44)</f>
        <v>0</v>
      </c>
    </row>
    <row r="45" spans="1:19">
      <c r="A45" s="1" t="s">
        <v>66</v>
      </c>
      <c r="B45" s="29">
        <f>+'Pre-Liquidation Summary'!B45+'Open Summary'!B45+'Closed Summary'!B45+'Estate Closed Summary'!B45+'Released from Oversight Summary'!B45</f>
        <v>605969.27030821296</v>
      </c>
      <c r="C45" s="30">
        <f>+'Pre-Liquidation Summary'!C45+'Open Summary'!C45+'Closed Summary'!C45+'Estate Closed Summary'!C45+'Released from Oversight Summary'!C45</f>
        <v>484606.84420198196</v>
      </c>
      <c r="D45" s="30">
        <f>+'Pre-Liquidation Summary'!D45+'Open Summary'!D45+'Closed Summary'!D45+'Estate Closed Summary'!D45+'Released from Oversight Summary'!D45</f>
        <v>-7567.2698410309822</v>
      </c>
      <c r="E45" s="30">
        <f>+'Pre-Liquidation Summary'!E45+'Open Summary'!E45+'Closed Summary'!E45+'Estate Closed Summary'!E45+'Released from Oversight Summary'!E45</f>
        <v>0</v>
      </c>
      <c r="F45" s="30">
        <f>+'Pre-Liquidation Summary'!F45+'Open Summary'!F45+'Closed Summary'!F45+'Estate Closed Summary'!F45+'Released from Oversight Summary'!F45</f>
        <v>0</v>
      </c>
      <c r="G45" s="31">
        <f>SUM(PR_FINANCIAL)</f>
        <v>1083008.8446691639</v>
      </c>
      <c r="H45" s="30"/>
      <c r="I45" s="29">
        <f>SUM('Alabama Life:Villanova'!L45)</f>
        <v>622778</v>
      </c>
      <c r="J45" s="30">
        <f>SUM('Alabama Life:Villanova'!M45)</f>
        <v>0</v>
      </c>
      <c r="K45" s="30"/>
      <c r="L45" s="30">
        <f>SUM('Alabama Life:Villanova'!O45)</f>
        <v>387497</v>
      </c>
      <c r="M45" s="30">
        <f>SUM('Alabama Life:Villanova'!P45)</f>
        <v>0</v>
      </c>
      <c r="N45" s="30"/>
      <c r="O45" s="30">
        <f>SUM('Alabama Life:Villanova'!R45)</f>
        <v>108788</v>
      </c>
      <c r="P45" s="30">
        <f>SUM('Alabama Life:Villanova'!S45)</f>
        <v>0</v>
      </c>
      <c r="Q45" s="30"/>
      <c r="R45" s="30">
        <f>SUM('Alabama Life:Villanova'!U45)</f>
        <v>0</v>
      </c>
      <c r="S45" s="31">
        <f>SUM('Alabama Life:Villanova'!V45)</f>
        <v>0</v>
      </c>
    </row>
    <row r="46" spans="1:19">
      <c r="A46" s="1" t="s">
        <v>67</v>
      </c>
      <c r="B46" s="29">
        <f>+'Pre-Liquidation Summary'!B46+'Open Summary'!B46+'Closed Summary'!B46+'Estate Closed Summary'!B46+'Released from Oversight Summary'!B46</f>
        <v>3477510.3996640746</v>
      </c>
      <c r="C46" s="30">
        <f>+'Pre-Liquidation Summary'!C46+'Open Summary'!C46+'Closed Summary'!C46+'Estate Closed Summary'!C46+'Released from Oversight Summary'!C46</f>
        <v>26192834.627951778</v>
      </c>
      <c r="D46" s="30">
        <f>+'Pre-Liquidation Summary'!D46+'Open Summary'!D46+'Closed Summary'!D46+'Estate Closed Summary'!D46+'Released from Oversight Summary'!D46</f>
        <v>1856021.3864244954</v>
      </c>
      <c r="E46" s="30">
        <f>+'Pre-Liquidation Summary'!E46+'Open Summary'!E46+'Closed Summary'!E46+'Estate Closed Summary'!E46+'Released from Oversight Summary'!E46</f>
        <v>0</v>
      </c>
      <c r="F46" s="30">
        <f>+'Pre-Liquidation Summary'!F46+'Open Summary'!F46+'Closed Summary'!F46+'Estate Closed Summary'!F46+'Released from Oversight Summary'!F46</f>
        <v>0</v>
      </c>
      <c r="G46" s="31">
        <f>SUM(RI_FINANCIAL)</f>
        <v>31526366.414040349</v>
      </c>
      <c r="H46" s="30"/>
      <c r="I46" s="29">
        <f>SUM('Alabama Life:Villanova'!L46)</f>
        <v>3145036</v>
      </c>
      <c r="J46" s="30">
        <f>SUM('Alabama Life:Villanova'!M46)</f>
        <v>0</v>
      </c>
      <c r="K46" s="30"/>
      <c r="L46" s="30">
        <f>SUM('Alabama Life:Villanova'!O46)</f>
        <v>22503256</v>
      </c>
      <c r="M46" s="30">
        <f>SUM('Alabama Life:Villanova'!P46)</f>
        <v>0</v>
      </c>
      <c r="N46" s="30"/>
      <c r="O46" s="30">
        <f>SUM('Alabama Life:Villanova'!R46)</f>
        <v>2717811</v>
      </c>
      <c r="P46" s="30">
        <f>SUM('Alabama Life:Villanova'!S46)</f>
        <v>0</v>
      </c>
      <c r="Q46" s="30"/>
      <c r="R46" s="30">
        <f>SUM('Alabama Life:Villanova'!U46)</f>
        <v>0</v>
      </c>
      <c r="S46" s="31">
        <f>SUM('Alabama Life:Villanova'!V46)</f>
        <v>0</v>
      </c>
    </row>
    <row r="47" spans="1:19">
      <c r="A47" s="1" t="s">
        <v>68</v>
      </c>
      <c r="B47" s="29">
        <f>+'Pre-Liquidation Summary'!B47+'Open Summary'!B47+'Closed Summary'!B47+'Estate Closed Summary'!B47+'Released from Oversight Summary'!B47</f>
        <v>21536932.14434481</v>
      </c>
      <c r="C47" s="30">
        <f>+'Pre-Liquidation Summary'!C47+'Open Summary'!C47+'Closed Summary'!C47+'Estate Closed Summary'!C47+'Released from Oversight Summary'!C47</f>
        <v>29712496.218316566</v>
      </c>
      <c r="D47" s="30">
        <f>+'Pre-Liquidation Summary'!D47+'Open Summary'!D47+'Closed Summary'!D47+'Estate Closed Summary'!D47+'Released from Oversight Summary'!D47</f>
        <v>60356453.475502685</v>
      </c>
      <c r="E47" s="30">
        <f>+'Pre-Liquidation Summary'!E47+'Open Summary'!E47+'Closed Summary'!E47+'Estate Closed Summary'!E47+'Released from Oversight Summary'!E47</f>
        <v>0</v>
      </c>
      <c r="F47" s="30">
        <f>+'Pre-Liquidation Summary'!F47+'Open Summary'!F47+'Closed Summary'!F47+'Estate Closed Summary'!F47+'Released from Oversight Summary'!F47</f>
        <v>0</v>
      </c>
      <c r="G47" s="31">
        <f>SUM(SC_FINANCIAL)</f>
        <v>111605881.83816406</v>
      </c>
      <c r="H47" s="30"/>
      <c r="I47" s="29">
        <f>SUM('Alabama Life:Villanova'!L47)</f>
        <v>22736843</v>
      </c>
      <c r="J47" s="30">
        <f>SUM('Alabama Life:Villanova'!M47)</f>
        <v>0</v>
      </c>
      <c r="K47" s="30"/>
      <c r="L47" s="30">
        <f>SUM('Alabama Life:Villanova'!O47)</f>
        <v>29314306</v>
      </c>
      <c r="M47" s="30">
        <f>SUM('Alabama Life:Villanova'!P47)</f>
        <v>0</v>
      </c>
      <c r="N47" s="30"/>
      <c r="O47" s="30">
        <f>SUM('Alabama Life:Villanova'!R47)</f>
        <v>82850200</v>
      </c>
      <c r="P47" s="30">
        <f>SUM('Alabama Life:Villanova'!S47)</f>
        <v>12548122</v>
      </c>
      <c r="Q47" s="30"/>
      <c r="R47" s="30">
        <f>SUM('Alabama Life:Villanova'!U47)</f>
        <v>0</v>
      </c>
      <c r="S47" s="31">
        <f>SUM('Alabama Life:Villanova'!V47)</f>
        <v>0</v>
      </c>
    </row>
    <row r="48" spans="1:19">
      <c r="A48" s="1" t="s">
        <v>69</v>
      </c>
      <c r="B48" s="29">
        <f>+'Pre-Liquidation Summary'!B48+'Open Summary'!B48+'Closed Summary'!B48+'Estate Closed Summary'!B48+'Released from Oversight Summary'!B48</f>
        <v>7373944.9882832617</v>
      </c>
      <c r="C48" s="30">
        <f>+'Pre-Liquidation Summary'!C48+'Open Summary'!C48+'Closed Summary'!C48+'Estate Closed Summary'!C48+'Released from Oversight Summary'!C48</f>
        <v>5601490.8145424267</v>
      </c>
      <c r="D48" s="30">
        <f>+'Pre-Liquidation Summary'!D48+'Open Summary'!D48+'Closed Summary'!D48+'Estate Closed Summary'!D48+'Released from Oversight Summary'!D48</f>
        <v>46471692.034064114</v>
      </c>
      <c r="E48" s="30">
        <f>+'Pre-Liquidation Summary'!E48+'Open Summary'!E48+'Closed Summary'!E48+'Estate Closed Summary'!E48+'Released from Oversight Summary'!E48</f>
        <v>0</v>
      </c>
      <c r="F48" s="30">
        <f>+'Pre-Liquidation Summary'!F48+'Open Summary'!F48+'Closed Summary'!F48+'Estate Closed Summary'!F48+'Released from Oversight Summary'!F48</f>
        <v>0</v>
      </c>
      <c r="G48" s="31">
        <f>SUM(SD_FINANCIAL)</f>
        <v>59447127.836889803</v>
      </c>
      <c r="H48" s="30"/>
      <c r="I48" s="29">
        <f>SUM('Alabama Life:Villanova'!L48)</f>
        <v>11820802</v>
      </c>
      <c r="J48" s="30">
        <f>SUM('Alabama Life:Villanova'!M48)</f>
        <v>3424576</v>
      </c>
      <c r="K48" s="30"/>
      <c r="L48" s="30">
        <f>SUM('Alabama Life:Villanova'!O48)</f>
        <v>8920701</v>
      </c>
      <c r="M48" s="30">
        <f>SUM('Alabama Life:Villanova'!P48)</f>
        <v>2698921</v>
      </c>
      <c r="N48" s="30"/>
      <c r="O48" s="30">
        <f>SUM('Alabama Life:Villanova'!R48)</f>
        <v>31169433</v>
      </c>
      <c r="P48" s="30">
        <f>SUM('Alabama Life:Villanova'!S48)</f>
        <v>1478537</v>
      </c>
      <c r="Q48" s="30"/>
      <c r="R48" s="30">
        <f>SUM('Alabama Life:Villanova'!U48)</f>
        <v>0</v>
      </c>
      <c r="S48" s="31">
        <f>SUM('Alabama Life:Villanova'!V48)</f>
        <v>0</v>
      </c>
    </row>
    <row r="49" spans="1:19">
      <c r="A49" s="1" t="s">
        <v>70</v>
      </c>
      <c r="B49" s="29">
        <f>+'Pre-Liquidation Summary'!B49+'Open Summary'!B49+'Closed Summary'!B49+'Estate Closed Summary'!B49+'Released from Oversight Summary'!B49</f>
        <v>34704305.123817593</v>
      </c>
      <c r="C49" s="30">
        <f>+'Pre-Liquidation Summary'!C49+'Open Summary'!C49+'Closed Summary'!C49+'Estate Closed Summary'!C49+'Released from Oversight Summary'!C49</f>
        <v>29644605.10776886</v>
      </c>
      <c r="D49" s="30">
        <f>+'Pre-Liquidation Summary'!D49+'Open Summary'!D49+'Closed Summary'!D49+'Estate Closed Summary'!D49+'Released from Oversight Summary'!D49</f>
        <v>54979976.15762686</v>
      </c>
      <c r="E49" s="30">
        <f>+'Pre-Liquidation Summary'!E49+'Open Summary'!E49+'Closed Summary'!E49+'Estate Closed Summary'!E49+'Released from Oversight Summary'!E49</f>
        <v>0</v>
      </c>
      <c r="F49" s="30">
        <f>+'Pre-Liquidation Summary'!F49+'Open Summary'!F49+'Closed Summary'!F49+'Estate Closed Summary'!F49+'Released from Oversight Summary'!F49</f>
        <v>0</v>
      </c>
      <c r="G49" s="31">
        <f>SUM(TN_FINANCIAL)</f>
        <v>119328886.38921332</v>
      </c>
      <c r="H49" s="30"/>
      <c r="I49" s="29">
        <f>SUM('Alabama Life:Villanova'!L49)</f>
        <v>32793000</v>
      </c>
      <c r="J49" s="30">
        <f>SUM('Alabama Life:Villanova'!M49)</f>
        <v>0</v>
      </c>
      <c r="K49" s="30"/>
      <c r="L49" s="30">
        <f>SUM('Alabama Life:Villanova'!O49)</f>
        <v>41502000</v>
      </c>
      <c r="M49" s="30">
        <f>SUM('Alabama Life:Villanova'!P49)</f>
        <v>0</v>
      </c>
      <c r="N49" s="30"/>
      <c r="O49" s="30">
        <f>SUM('Alabama Life:Villanova'!R49)</f>
        <v>54253516</v>
      </c>
      <c r="P49" s="30">
        <f>SUM('Alabama Life:Villanova'!S49)</f>
        <v>320700</v>
      </c>
      <c r="Q49" s="30"/>
      <c r="R49" s="30">
        <f>SUM('Alabama Life:Villanova'!U49)</f>
        <v>0</v>
      </c>
      <c r="S49" s="31">
        <f>SUM('Alabama Life:Villanova'!V49)</f>
        <v>0</v>
      </c>
    </row>
    <row r="50" spans="1:19">
      <c r="A50" s="1" t="s">
        <v>71</v>
      </c>
      <c r="B50" s="29">
        <f>+'Pre-Liquidation Summary'!B50+'Open Summary'!B50+'Closed Summary'!B50+'Estate Closed Summary'!B50+'Released from Oversight Summary'!B50</f>
        <v>184449055.91811427</v>
      </c>
      <c r="C50" s="30">
        <f>+'Pre-Liquidation Summary'!C50+'Open Summary'!C50+'Closed Summary'!C50+'Estate Closed Summary'!C50+'Released from Oversight Summary'!C50</f>
        <v>185116339.76969165</v>
      </c>
      <c r="D50" s="30">
        <f>+'Pre-Liquidation Summary'!D50+'Open Summary'!D50+'Closed Summary'!D50+'Estate Closed Summary'!D50+'Released from Oversight Summary'!D50</f>
        <v>155584095.63395703</v>
      </c>
      <c r="E50" s="30">
        <f>+'Pre-Liquidation Summary'!E50+'Open Summary'!E50+'Closed Summary'!E50+'Estate Closed Summary'!E50+'Released from Oversight Summary'!E50</f>
        <v>14531089.241734128</v>
      </c>
      <c r="F50" s="30">
        <f>+'Pre-Liquidation Summary'!F50+'Open Summary'!F50+'Closed Summary'!F50+'Estate Closed Summary'!F50+'Released from Oversight Summary'!F50</f>
        <v>0</v>
      </c>
      <c r="G50" s="31">
        <f>SUM(TX_FINANCIAL)</f>
        <v>539680580.56349707</v>
      </c>
      <c r="H50" s="30"/>
      <c r="I50" s="29">
        <f>SUM('Alabama Life:Villanova'!L50)</f>
        <v>302411792</v>
      </c>
      <c r="J50" s="30">
        <f>SUM('Alabama Life:Villanova'!M50)</f>
        <v>42767050.775959581</v>
      </c>
      <c r="K50" s="30"/>
      <c r="L50" s="30">
        <f>SUM('Alabama Life:Villanova'!O50)</f>
        <v>142668069</v>
      </c>
      <c r="M50" s="30">
        <f>SUM('Alabama Life:Villanova'!P50)</f>
        <v>22332155.894278437</v>
      </c>
      <c r="N50" s="30"/>
      <c r="O50" s="30">
        <f>SUM('Alabama Life:Villanova'!R50)</f>
        <v>194868662.5</v>
      </c>
      <c r="P50" s="30">
        <f>SUM('Alabama Life:Villanova'!S50)</f>
        <v>28788923.929761998</v>
      </c>
      <c r="Q50" s="30"/>
      <c r="R50" s="30">
        <f>SUM('Alabama Life:Villanova'!U50)</f>
        <v>0</v>
      </c>
      <c r="S50" s="31">
        <f>SUM('Alabama Life:Villanova'!V50)</f>
        <v>2500000</v>
      </c>
    </row>
    <row r="51" spans="1:19">
      <c r="A51" s="1" t="s">
        <v>72</v>
      </c>
      <c r="B51" s="29">
        <f>+'Pre-Liquidation Summary'!B51+'Open Summary'!B51+'Closed Summary'!B51+'Estate Closed Summary'!B51+'Released from Oversight Summary'!B51</f>
        <v>9215367.9883025438</v>
      </c>
      <c r="C51" s="30">
        <f>+'Pre-Liquidation Summary'!C51+'Open Summary'!C51+'Closed Summary'!C51+'Estate Closed Summary'!C51+'Released from Oversight Summary'!C51</f>
        <v>8798076.3583660647</v>
      </c>
      <c r="D51" s="30">
        <f>+'Pre-Liquidation Summary'!D51+'Open Summary'!D51+'Closed Summary'!D51+'Estate Closed Summary'!D51+'Released from Oversight Summary'!D51</f>
        <v>12483217.292411301</v>
      </c>
      <c r="E51" s="30">
        <f>+'Pre-Liquidation Summary'!E51+'Open Summary'!E51+'Closed Summary'!E51+'Estate Closed Summary'!E51+'Released from Oversight Summary'!E51</f>
        <v>246419.99289678014</v>
      </c>
      <c r="F51" s="30">
        <f>+'Pre-Liquidation Summary'!F51+'Open Summary'!F51+'Closed Summary'!F51+'Estate Closed Summary'!F51+'Released from Oversight Summary'!F51</f>
        <v>0</v>
      </c>
      <c r="G51" s="31">
        <f>SUM(UT_FINANCIAL)</f>
        <v>30743081.63197669</v>
      </c>
      <c r="H51" s="30"/>
      <c r="I51" s="29">
        <f>SUM('Alabama Life:Villanova'!L51)</f>
        <v>18361495</v>
      </c>
      <c r="J51" s="30">
        <f>SUM('Alabama Life:Villanova'!M51)</f>
        <v>7669846</v>
      </c>
      <c r="K51" s="30"/>
      <c r="L51" s="30">
        <f>SUM('Alabama Life:Villanova'!O51)</f>
        <v>14510801</v>
      </c>
      <c r="M51" s="30">
        <f>SUM('Alabama Life:Villanova'!P51)</f>
        <v>4124184</v>
      </c>
      <c r="N51" s="30"/>
      <c r="O51" s="30">
        <f>SUM('Alabama Life:Villanova'!R51)</f>
        <v>10832396</v>
      </c>
      <c r="P51" s="30">
        <f>SUM('Alabama Life:Villanova'!S51)</f>
        <v>0</v>
      </c>
      <c r="Q51" s="30"/>
      <c r="R51" s="30">
        <f>SUM('Alabama Life:Villanova'!U51)</f>
        <v>3050000</v>
      </c>
      <c r="S51" s="31">
        <f>SUM('Alabama Life:Villanova'!V51)</f>
        <v>4549252</v>
      </c>
    </row>
    <row r="52" spans="1:19">
      <c r="A52" s="1" t="s">
        <v>73</v>
      </c>
      <c r="B52" s="29">
        <f>+'Pre-Liquidation Summary'!B52+'Open Summary'!B52+'Closed Summary'!B52+'Estate Closed Summary'!B52+'Released from Oversight Summary'!B52</f>
        <v>181704.5814015886</v>
      </c>
      <c r="C52" s="30">
        <f>+'Pre-Liquidation Summary'!C52+'Open Summary'!C52+'Closed Summary'!C52+'Estate Closed Summary'!C52+'Released from Oversight Summary'!C52</f>
        <v>1141370.232412009</v>
      </c>
      <c r="D52" s="30">
        <f>+'Pre-Liquidation Summary'!D52+'Open Summary'!D52+'Closed Summary'!D52+'Estate Closed Summary'!D52+'Released from Oversight Summary'!D52</f>
        <v>11443961.708513934</v>
      </c>
      <c r="E52" s="30">
        <f>+'Pre-Liquidation Summary'!E52+'Open Summary'!E52+'Closed Summary'!E52+'Estate Closed Summary'!E52+'Released from Oversight Summary'!E52</f>
        <v>-3903.7641015315021</v>
      </c>
      <c r="F52" s="30">
        <f>+'Pre-Liquidation Summary'!F52+'Open Summary'!F52+'Closed Summary'!F52+'Estate Closed Summary'!F52+'Released from Oversight Summary'!F52</f>
        <v>0</v>
      </c>
      <c r="G52" s="31">
        <f>SUM(VT_FINANCIAL)</f>
        <v>12763132.758226</v>
      </c>
      <c r="H52" s="30"/>
      <c r="I52" s="29">
        <f>SUM('Alabama Life:Villanova'!L52)</f>
        <v>428664</v>
      </c>
      <c r="J52" s="30">
        <f>SUM('Alabama Life:Villanova'!M52)</f>
        <v>0</v>
      </c>
      <c r="K52" s="30"/>
      <c r="L52" s="30">
        <f>SUM('Alabama Life:Villanova'!O52)</f>
        <v>1319856</v>
      </c>
      <c r="M52" s="30">
        <f>SUM('Alabama Life:Villanova'!P52)</f>
        <v>0</v>
      </c>
      <c r="N52" s="30"/>
      <c r="O52" s="30">
        <f>SUM('Alabama Life:Villanova'!R52)</f>
        <v>10177500</v>
      </c>
      <c r="P52" s="30">
        <f>SUM('Alabama Life:Villanova'!S52)</f>
        <v>0</v>
      </c>
      <c r="Q52" s="30"/>
      <c r="R52" s="30">
        <f>SUM('Alabama Life:Villanova'!U52)</f>
        <v>0</v>
      </c>
      <c r="S52" s="31">
        <f>SUM('Alabama Life:Villanova'!V52)</f>
        <v>0</v>
      </c>
    </row>
    <row r="53" spans="1:19">
      <c r="A53" s="1" t="s">
        <v>74</v>
      </c>
      <c r="B53" s="29">
        <f>+'Pre-Liquidation Summary'!B53+'Open Summary'!B53+'Closed Summary'!B53+'Estate Closed Summary'!B53+'Released from Oversight Summary'!B53</f>
        <v>13223858.551620403</v>
      </c>
      <c r="C53" s="30">
        <f>+'Pre-Liquidation Summary'!C53+'Open Summary'!C53+'Closed Summary'!C53+'Estate Closed Summary'!C53+'Released from Oversight Summary'!C53</f>
        <v>32590223.228591267</v>
      </c>
      <c r="D53" s="30">
        <f>+'Pre-Liquidation Summary'!D53+'Open Summary'!D53+'Closed Summary'!D53+'Estate Closed Summary'!D53+'Released from Oversight Summary'!D53</f>
        <v>204472826.64030778</v>
      </c>
      <c r="E53" s="30">
        <f>+'Pre-Liquidation Summary'!E53+'Open Summary'!E53+'Closed Summary'!E53+'Estate Closed Summary'!E53+'Released from Oversight Summary'!E53</f>
        <v>0</v>
      </c>
      <c r="F53" s="30">
        <f>+'Pre-Liquidation Summary'!F53+'Open Summary'!F53+'Closed Summary'!F53+'Estate Closed Summary'!F53+'Released from Oversight Summary'!F53</f>
        <v>0</v>
      </c>
      <c r="G53" s="31">
        <f>SUM(VA_FINANCIAL)</f>
        <v>250286908.42051947</v>
      </c>
      <c r="H53" s="30"/>
      <c r="I53" s="29">
        <f>SUM('Alabama Life:Villanova'!L53)</f>
        <v>26188697</v>
      </c>
      <c r="J53" s="30">
        <f>SUM('Alabama Life:Villanova'!M53)</f>
        <v>9858881</v>
      </c>
      <c r="K53" s="30"/>
      <c r="L53" s="30">
        <f>SUM('Alabama Life:Villanova'!O53)</f>
        <v>40317690</v>
      </c>
      <c r="M53" s="30">
        <f>SUM('Alabama Life:Villanova'!P53)</f>
        <v>15978803</v>
      </c>
      <c r="N53" s="30"/>
      <c r="O53" s="30">
        <f>SUM('Alabama Life:Villanova'!R53)</f>
        <v>192476086</v>
      </c>
      <c r="P53" s="30">
        <f>SUM('Alabama Life:Villanova'!S53)</f>
        <v>1863481</v>
      </c>
      <c r="Q53" s="30"/>
      <c r="R53" s="30">
        <f>SUM('Alabama Life:Villanova'!U53)</f>
        <v>0</v>
      </c>
      <c r="S53" s="31">
        <f>SUM('Alabama Life:Villanova'!V53)</f>
        <v>0</v>
      </c>
    </row>
    <row r="54" spans="1:19">
      <c r="A54" s="1" t="s">
        <v>75</v>
      </c>
      <c r="B54" s="29">
        <f>+'Pre-Liquidation Summary'!B54+'Open Summary'!B54+'Closed Summary'!B54+'Estate Closed Summary'!B54+'Released from Oversight Summary'!B54</f>
        <v>37993831.703771867</v>
      </c>
      <c r="C54" s="30">
        <f>+'Pre-Liquidation Summary'!C54+'Open Summary'!C54+'Closed Summary'!C54+'Estate Closed Summary'!C54+'Released from Oversight Summary'!C54</f>
        <v>77536189.125119612</v>
      </c>
      <c r="D54" s="30">
        <f>+'Pre-Liquidation Summary'!D54+'Open Summary'!D54+'Closed Summary'!D54+'Estate Closed Summary'!D54+'Released from Oversight Summary'!D54</f>
        <v>145405345.96396592</v>
      </c>
      <c r="E54" s="30">
        <f>+'Pre-Liquidation Summary'!E54+'Open Summary'!E54+'Closed Summary'!E54+'Estate Closed Summary'!E54+'Released from Oversight Summary'!E54</f>
        <v>2198801.0287272432</v>
      </c>
      <c r="F54" s="30">
        <f>+'Pre-Liquidation Summary'!F54+'Open Summary'!F54+'Closed Summary'!F54+'Estate Closed Summary'!F54+'Released from Oversight Summary'!F54</f>
        <v>0</v>
      </c>
      <c r="G54" s="31">
        <f>SUM(WA_FINANCIAL)</f>
        <v>263134167.82158464</v>
      </c>
      <c r="H54" s="30"/>
      <c r="I54" s="29">
        <f>SUM('Alabama Life:Villanova'!L54)</f>
        <v>59933397</v>
      </c>
      <c r="J54" s="30">
        <f>SUM('Alabama Life:Villanova'!M54)</f>
        <v>10230633</v>
      </c>
      <c r="K54" s="30"/>
      <c r="L54" s="30">
        <f>SUM('Alabama Life:Villanova'!O54)</f>
        <v>68105810</v>
      </c>
      <c r="M54" s="30">
        <f>SUM('Alabama Life:Villanova'!P54)</f>
        <v>2094396</v>
      </c>
      <c r="N54" s="30"/>
      <c r="O54" s="30">
        <f>SUM('Alabama Life:Villanova'!R54)</f>
        <v>50836516</v>
      </c>
      <c r="P54" s="30">
        <f>SUM('Alabama Life:Villanova'!S54)</f>
        <v>2646855</v>
      </c>
      <c r="Q54" s="30"/>
      <c r="R54" s="30">
        <f>SUM('Alabama Life:Villanova'!U54)</f>
        <v>7600000</v>
      </c>
      <c r="S54" s="31">
        <f>SUM('Alabama Life:Villanova'!V54)</f>
        <v>5000000</v>
      </c>
    </row>
    <row r="55" spans="1:19">
      <c r="A55" s="1" t="s">
        <v>76</v>
      </c>
      <c r="B55" s="29">
        <f>+'Pre-Liquidation Summary'!B55+'Open Summary'!B55+'Closed Summary'!B55+'Estate Closed Summary'!B55+'Released from Oversight Summary'!B55</f>
        <v>3013685.3866226086</v>
      </c>
      <c r="C55" s="30">
        <f>+'Pre-Liquidation Summary'!C55+'Open Summary'!C55+'Closed Summary'!C55+'Estate Closed Summary'!C55+'Released from Oversight Summary'!C55</f>
        <v>8961669.0907118265</v>
      </c>
      <c r="D55" s="30">
        <f>+'Pre-Liquidation Summary'!D55+'Open Summary'!D55+'Closed Summary'!D55+'Estate Closed Summary'!D55+'Released from Oversight Summary'!D55</f>
        <v>4162542.9756828332</v>
      </c>
      <c r="E55" s="30">
        <f>+'Pre-Liquidation Summary'!E55+'Open Summary'!E55+'Closed Summary'!E55+'Estate Closed Summary'!E55+'Released from Oversight Summary'!E55</f>
        <v>0</v>
      </c>
      <c r="F55" s="30">
        <f>+'Pre-Liquidation Summary'!F55+'Open Summary'!F55+'Closed Summary'!F55+'Estate Closed Summary'!F55+'Released from Oversight Summary'!F55</f>
        <v>0</v>
      </c>
      <c r="G55" s="31">
        <f>SUM(WV_FINANCIAL)</f>
        <v>16137897.453017268</v>
      </c>
      <c r="H55" s="30"/>
      <c r="I55" s="29">
        <f>SUM('Alabama Life:Villanova'!L55)</f>
        <v>6818408</v>
      </c>
      <c r="J55" s="30">
        <f>SUM('Alabama Life:Villanova'!M55)</f>
        <v>4048871</v>
      </c>
      <c r="K55" s="30"/>
      <c r="L55" s="30">
        <f>SUM('Alabama Life:Villanova'!O55)</f>
        <v>13179699</v>
      </c>
      <c r="M55" s="30">
        <f>SUM('Alabama Life:Villanova'!P55)</f>
        <v>5230641</v>
      </c>
      <c r="N55" s="30"/>
      <c r="O55" s="30">
        <f>SUM('Alabama Life:Villanova'!R55)</f>
        <v>8262781</v>
      </c>
      <c r="P55" s="30">
        <f>SUM('Alabama Life:Villanova'!S55)</f>
        <v>5464841</v>
      </c>
      <c r="Q55" s="30"/>
      <c r="R55" s="30">
        <f>SUM('Alabama Life:Villanova'!U55)</f>
        <v>51813</v>
      </c>
      <c r="S55" s="31">
        <f>SUM('Alabama Life:Villanova'!V55)</f>
        <v>0</v>
      </c>
    </row>
    <row r="56" spans="1:19">
      <c r="A56" s="1" t="s">
        <v>77</v>
      </c>
      <c r="B56" s="29">
        <f>+'Pre-Liquidation Summary'!B56+'Open Summary'!B56+'Closed Summary'!B56+'Estate Closed Summary'!B56+'Released from Oversight Summary'!B56</f>
        <v>29680002.269291602</v>
      </c>
      <c r="C56" s="30">
        <f>+'Pre-Liquidation Summary'!C56+'Open Summary'!C56+'Closed Summary'!C56+'Estate Closed Summary'!C56+'Released from Oversight Summary'!C56</f>
        <v>55811223.788082354</v>
      </c>
      <c r="D56" s="30">
        <f>+'Pre-Liquidation Summary'!D56+'Open Summary'!D56+'Closed Summary'!D56+'Estate Closed Summary'!D56+'Released from Oversight Summary'!D56</f>
        <v>19399081.593851402</v>
      </c>
      <c r="E56" s="30">
        <f>+'Pre-Liquidation Summary'!E56+'Open Summary'!E56+'Closed Summary'!E56+'Estate Closed Summary'!E56+'Released from Oversight Summary'!E56</f>
        <v>80315.160257123207</v>
      </c>
      <c r="F56" s="30">
        <f>+'Pre-Liquidation Summary'!F56+'Open Summary'!F56+'Closed Summary'!F56+'Estate Closed Summary'!F56+'Released from Oversight Summary'!F56</f>
        <v>0</v>
      </c>
      <c r="G56" s="31">
        <f>SUM(WI_FINANCIAL)</f>
        <v>104970622.81148247</v>
      </c>
      <c r="H56" s="30"/>
      <c r="I56" s="29">
        <f>SUM('Alabama Life:Villanova'!L56)</f>
        <v>32700000</v>
      </c>
      <c r="J56" s="30">
        <f>SUM('Alabama Life:Villanova'!M56)</f>
        <v>0</v>
      </c>
      <c r="K56" s="30"/>
      <c r="L56" s="30">
        <f>SUM('Alabama Life:Villanova'!O56)</f>
        <v>51547843</v>
      </c>
      <c r="M56" s="30">
        <f>SUM('Alabama Life:Villanova'!P56)</f>
        <v>0</v>
      </c>
      <c r="N56" s="30"/>
      <c r="O56" s="30">
        <f>SUM('Alabama Life:Villanova'!R56)</f>
        <v>9500000</v>
      </c>
      <c r="P56" s="30">
        <f>SUM('Alabama Life:Villanova'!S56)</f>
        <v>0</v>
      </c>
      <c r="Q56" s="30"/>
      <c r="R56" s="30">
        <f>SUM('Alabama Life:Villanova'!U56)</f>
        <v>0</v>
      </c>
      <c r="S56" s="31">
        <f>SUM('Alabama Life:Villanova'!V56)</f>
        <v>0</v>
      </c>
    </row>
    <row r="57" spans="1:19">
      <c r="A57" s="1" t="s">
        <v>78</v>
      </c>
      <c r="B57" s="29">
        <f>+'Pre-Liquidation Summary'!B57+'Open Summary'!B57+'Closed Summary'!B57+'Estate Closed Summary'!B57+'Released from Oversight Summary'!B57</f>
        <v>3952204.0373749845</v>
      </c>
      <c r="C57" s="30">
        <f>+'Pre-Liquidation Summary'!C57+'Open Summary'!C57+'Closed Summary'!C57+'Estate Closed Summary'!C57+'Released from Oversight Summary'!C57</f>
        <v>6274710.8535825824</v>
      </c>
      <c r="D57" s="30">
        <f>+'Pre-Liquidation Summary'!D57+'Open Summary'!D57+'Closed Summary'!D57+'Estate Closed Summary'!D57+'Released from Oversight Summary'!D57</f>
        <v>3249270.7003750228</v>
      </c>
      <c r="E57" s="30">
        <f>+'Pre-Liquidation Summary'!E57+'Open Summary'!E57+'Closed Summary'!E57+'Estate Closed Summary'!E57+'Released from Oversight Summary'!E57</f>
        <v>0</v>
      </c>
      <c r="F57" s="30">
        <f>+'Pre-Liquidation Summary'!F57+'Open Summary'!F57+'Closed Summary'!F57+'Estate Closed Summary'!F57+'Released from Oversight Summary'!F57</f>
        <v>0</v>
      </c>
      <c r="G57" s="31">
        <f>SUM(WY_FINANCIAL)</f>
        <v>13476185.59133259</v>
      </c>
      <c r="H57" s="30"/>
      <c r="I57" s="29">
        <f>SUM('Alabama Life:Villanova'!L57)</f>
        <v>5147984</v>
      </c>
      <c r="J57" s="30">
        <f>SUM('Alabama Life:Villanova'!M57)</f>
        <v>1423081</v>
      </c>
      <c r="K57" s="30"/>
      <c r="L57" s="30">
        <f>SUM('Alabama Life:Villanova'!O57)</f>
        <v>8578921</v>
      </c>
      <c r="M57" s="30">
        <f>SUM('Alabama Life:Villanova'!P57)</f>
        <v>2995415</v>
      </c>
      <c r="N57" s="30"/>
      <c r="O57" s="30">
        <f>SUM('Alabama Life:Villanova'!R57)</f>
        <v>1010787</v>
      </c>
      <c r="P57" s="30">
        <f>SUM('Alabama Life:Villanova'!S57)</f>
        <v>781612</v>
      </c>
      <c r="Q57" s="30"/>
      <c r="R57" s="30">
        <f>SUM('Alabama Life:Villanova'!U57)</f>
        <v>0</v>
      </c>
      <c r="S57" s="31">
        <f>SUM('Alabama Life:Villanova'!V57)</f>
        <v>0</v>
      </c>
    </row>
    <row r="58" spans="1:19">
      <c r="A58" s="1" t="s">
        <v>79</v>
      </c>
      <c r="B58" s="29">
        <f>+'Pre-Liquidation Summary'!B58+'Open Summary'!B58+'Closed Summary'!B58+'Estate Closed Summary'!B58+'Released from Oversight Summary'!B58</f>
        <v>1</v>
      </c>
      <c r="C58" s="30">
        <f>+'Pre-Liquidation Summary'!C58+'Open Summary'!C58+'Closed Summary'!C58+'Estate Closed Summary'!C58+'Released from Oversight Summary'!C58</f>
        <v>0</v>
      </c>
      <c r="D58" s="30">
        <f>+'Pre-Liquidation Summary'!D58+'Open Summary'!D58+'Closed Summary'!D58+'Estate Closed Summary'!D58+'Released from Oversight Summary'!D58</f>
        <v>13543.189376251059</v>
      </c>
      <c r="E58" s="30">
        <f>+'Pre-Liquidation Summary'!E58+'Open Summary'!E58+'Closed Summary'!E58+'Estate Closed Summary'!E58+'Released from Oversight Summary'!E58</f>
        <v>0</v>
      </c>
      <c r="F58" s="30">
        <f>+'Pre-Liquidation Summary'!F58+'Open Summary'!F58+'Closed Summary'!F58+'Estate Closed Summary'!F58+'Released from Oversight Summary'!F58</f>
        <v>0</v>
      </c>
      <c r="G58" s="31">
        <f>SUM(OT_FINANCIAL)</f>
        <v>13544.189376251059</v>
      </c>
      <c r="H58" s="30"/>
      <c r="I58" s="29">
        <f>SUM('Alabama Life:Villanova'!L58)</f>
        <v>0</v>
      </c>
      <c r="J58" s="30">
        <f>SUM('Alabama Life:Villanova'!M58)</f>
        <v>0</v>
      </c>
      <c r="K58" s="30"/>
      <c r="L58" s="30">
        <f>SUM('Alabama Life:Villanova'!O58)</f>
        <v>0</v>
      </c>
      <c r="M58" s="30">
        <f>SUM('Alabama Life:Villanova'!P58)</f>
        <v>0</v>
      </c>
      <c r="N58" s="30"/>
      <c r="O58" s="30">
        <f>SUM('Alabama Life:Villanova'!R58)</f>
        <v>0</v>
      </c>
      <c r="P58" s="30">
        <f>SUM('Alabama Life:Villanova'!S58)</f>
        <v>0</v>
      </c>
      <c r="Q58" s="30"/>
      <c r="R58" s="30">
        <f>SUM('Alabama Life:Villanova'!U58)</f>
        <v>0</v>
      </c>
      <c r="S58" s="31">
        <f>SUM('Alabama Life:Villanova'!V58)</f>
        <v>0</v>
      </c>
    </row>
    <row r="59" spans="1:19">
      <c r="B59" s="29"/>
      <c r="C59" s="30"/>
      <c r="D59" s="30"/>
      <c r="E59" s="30"/>
      <c r="F59" s="30"/>
      <c r="G59" s="31"/>
      <c r="H59" s="30"/>
      <c r="I59" s="29"/>
      <c r="J59" s="30"/>
      <c r="K59" s="30"/>
      <c r="L59" s="30"/>
      <c r="M59" s="30"/>
      <c r="N59" s="30"/>
      <c r="O59" s="30"/>
      <c r="P59" s="30"/>
      <c r="Q59" s="30"/>
      <c r="R59" s="30"/>
      <c r="S59" s="31"/>
    </row>
    <row r="60" spans="1:19">
      <c r="A60" s="1" t="s">
        <v>8</v>
      </c>
      <c r="B60" s="29">
        <f>SUM(LIFE)</f>
        <v>1766017105.7755392</v>
      </c>
      <c r="C60" s="30">
        <f>SUM(ALLOCATED)</f>
        <v>3243901018.323875</v>
      </c>
      <c r="D60" s="30">
        <f>SUM(HEALTH)</f>
        <v>3340043731.7368584</v>
      </c>
      <c r="E60" s="30">
        <f>SUM(UNALLOCATED)</f>
        <v>54352163.428385243</v>
      </c>
      <c r="F60" s="30">
        <f>SUM(LTC)</f>
        <v>18056536.368295141</v>
      </c>
      <c r="G60" s="31">
        <f>SUM(ALL_BLOCKS)</f>
        <v>8422370555.6329546</v>
      </c>
      <c r="H60" s="30"/>
      <c r="I60" s="29">
        <f>SUM(LIFE_CALLED)</f>
        <v>2978496204</v>
      </c>
      <c r="J60" s="30">
        <f>SUM(LIFE_REFUNDED)</f>
        <v>332098058.17595959</v>
      </c>
      <c r="K60" s="30"/>
      <c r="L60" s="30">
        <f>SUM(ALLOC_CALLED)</f>
        <v>2893789902</v>
      </c>
      <c r="M60" s="30">
        <f>SUM(ALLOC_REFUNDED)</f>
        <v>336323793.18427837</v>
      </c>
      <c r="N60" s="30"/>
      <c r="O60" s="30">
        <f>SUM(HEALTH_CALLED)</f>
        <v>3099081987.5</v>
      </c>
      <c r="P60" s="30">
        <f>SUM(HEALTH_REFUNDED)</f>
        <v>174536719.939762</v>
      </c>
      <c r="Q60" s="30"/>
      <c r="R60" s="30">
        <f>SUM(UNALLOC_CALLED)</f>
        <v>278013015</v>
      </c>
      <c r="S60" s="31">
        <f>SUM(UNALLOC_REFUNDED)</f>
        <v>121683438.81999999</v>
      </c>
    </row>
    <row r="61" spans="1:19">
      <c r="B61" s="10"/>
      <c r="C61" s="7"/>
      <c r="D61" s="7"/>
      <c r="E61" s="7"/>
      <c r="F61" s="7"/>
      <c r="G61" s="13"/>
      <c r="I61" s="10"/>
      <c r="J61" s="7"/>
      <c r="K61" s="7"/>
      <c r="L61" s="7"/>
      <c r="M61" s="7"/>
      <c r="N61" s="7"/>
      <c r="O61" s="7"/>
      <c r="P61" s="7"/>
      <c r="Q61" s="7"/>
      <c r="R61" s="7"/>
      <c r="S61" s="13"/>
    </row>
    <row r="63" spans="1:19">
      <c r="G63" s="1" t="s">
        <v>623</v>
      </c>
    </row>
  </sheetData>
  <mergeCells count="7">
    <mergeCell ref="A1:G1"/>
    <mergeCell ref="B3:G3"/>
    <mergeCell ref="I3:S3"/>
    <mergeCell ref="I4:J4"/>
    <mergeCell ref="L4:M4"/>
    <mergeCell ref="O4:P4"/>
    <mergeCell ref="R4:S4"/>
  </mergeCells>
  <pageMargins left="0.25" right="0.25" top="0.5" bottom="0.5" header="0.3" footer="0.3"/>
  <pageSetup paperSize="5" scale="58"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F9605A-4993-4FC0-AFB7-98CCB5FCE9D6}">
  <dimension ref="A1:AW62"/>
  <sheetViews>
    <sheetView zoomScale="75" zoomScaleNormal="75" workbookViewId="0">
      <selection sqref="A1:XFD1048576"/>
    </sheetView>
  </sheetViews>
  <sheetFormatPr defaultRowHeight="15"/>
  <cols>
    <col min="1" max="1" width="17.85546875" style="52" bestFit="1" customWidth="1"/>
    <col min="2" max="2" width="16.140625" style="52" customWidth="1"/>
    <col min="3" max="10" width="17.42578125" style="52" customWidth="1"/>
    <col min="11" max="11" width="14.7109375" style="52" customWidth="1"/>
    <col min="12" max="12" width="15.140625" style="52" bestFit="1" customWidth="1"/>
    <col min="13" max="13" width="2.7109375" style="52" customWidth="1"/>
    <col min="14" max="14" width="14.42578125" style="52" customWidth="1"/>
    <col min="15" max="23" width="13.42578125" style="52" customWidth="1"/>
    <col min="24" max="24" width="15" style="52" bestFit="1" customWidth="1"/>
    <col min="25" max="25" width="2.7109375" style="52" customWidth="1"/>
    <col min="26" max="26" width="14.28515625" style="52" customWidth="1"/>
    <col min="27" max="34" width="13.28515625" style="52" customWidth="1"/>
    <col min="35" max="35" width="15.28515625" style="52" customWidth="1"/>
    <col min="36" max="36" width="15" style="52" bestFit="1" customWidth="1"/>
    <col min="37" max="37" width="2.7109375" style="52" customWidth="1"/>
    <col min="38" max="38" width="11.7109375" style="52" bestFit="1" customWidth="1"/>
    <col min="39" max="47" width="11.5703125" style="52" customWidth="1"/>
    <col min="48" max="48" width="12.140625" style="52" bestFit="1" customWidth="1"/>
    <col min="49" max="16384" width="9.140625" style="52"/>
  </cols>
  <sheetData>
    <row r="1" spans="1:49">
      <c r="A1" s="51" t="s">
        <v>623</v>
      </c>
    </row>
    <row r="2" spans="1:49">
      <c r="B2" s="53" t="s">
        <v>624</v>
      </c>
      <c r="C2" s="53"/>
      <c r="D2" s="53"/>
      <c r="E2" s="53"/>
      <c r="F2" s="53"/>
      <c r="G2" s="53"/>
      <c r="H2" s="53"/>
      <c r="I2" s="53"/>
      <c r="J2" s="53"/>
      <c r="K2" s="53"/>
      <c r="L2" s="53"/>
      <c r="N2" s="53" t="s">
        <v>625</v>
      </c>
      <c r="O2" s="53"/>
      <c r="P2" s="53"/>
      <c r="Q2" s="53"/>
      <c r="R2" s="53"/>
      <c r="S2" s="53"/>
      <c r="T2" s="53"/>
      <c r="U2" s="53"/>
      <c r="V2" s="53"/>
      <c r="W2" s="53"/>
      <c r="X2" s="53"/>
      <c r="Z2" s="53" t="s">
        <v>626</v>
      </c>
      <c r="AA2" s="53"/>
      <c r="AB2" s="53"/>
      <c r="AC2" s="53"/>
      <c r="AD2" s="53"/>
      <c r="AE2" s="53"/>
      <c r="AF2" s="53"/>
      <c r="AG2" s="53"/>
      <c r="AH2" s="53"/>
      <c r="AI2" s="53"/>
      <c r="AJ2" s="53"/>
      <c r="AL2" s="145" t="s">
        <v>627</v>
      </c>
      <c r="AM2" s="145"/>
      <c r="AN2" s="145"/>
      <c r="AO2" s="145"/>
      <c r="AP2" s="145"/>
      <c r="AQ2" s="145"/>
      <c r="AR2" s="145"/>
      <c r="AS2" s="145"/>
      <c r="AT2" s="145"/>
      <c r="AU2" s="145"/>
      <c r="AV2" s="145"/>
    </row>
    <row r="3" spans="1:49" ht="15.75" thickBot="1"/>
    <row r="4" spans="1:49">
      <c r="A4" s="51" t="s">
        <v>623</v>
      </c>
      <c r="B4" s="54" t="s">
        <v>623</v>
      </c>
      <c r="C4" s="55"/>
      <c r="D4" s="55"/>
      <c r="E4" s="55"/>
      <c r="F4" s="55"/>
      <c r="G4" s="55"/>
      <c r="H4" s="55"/>
      <c r="I4" s="55"/>
      <c r="J4" s="55"/>
      <c r="K4" s="55"/>
      <c r="L4" s="56"/>
      <c r="M4" s="51"/>
      <c r="N4" s="57"/>
      <c r="O4" s="55"/>
      <c r="P4" s="55"/>
      <c r="Q4" s="55"/>
      <c r="R4" s="55"/>
      <c r="S4" s="55"/>
      <c r="T4" s="55"/>
      <c r="U4" s="55"/>
      <c r="V4" s="55"/>
      <c r="W4" s="55"/>
      <c r="X4" s="56"/>
      <c r="Y4" s="51"/>
      <c r="Z4" s="54" t="s">
        <v>623</v>
      </c>
      <c r="AA4" s="55"/>
      <c r="AB4" s="55"/>
      <c r="AC4" s="55"/>
      <c r="AD4" s="55"/>
      <c r="AE4" s="55"/>
      <c r="AF4" s="55"/>
      <c r="AG4" s="55"/>
      <c r="AH4" s="55"/>
      <c r="AI4" s="55"/>
      <c r="AJ4" s="56"/>
      <c r="AL4" s="54" t="s">
        <v>623</v>
      </c>
      <c r="AM4" s="55"/>
      <c r="AN4" s="55"/>
      <c r="AO4" s="55"/>
      <c r="AP4" s="55"/>
      <c r="AQ4" s="55"/>
      <c r="AR4" s="55"/>
      <c r="AS4" s="55"/>
      <c r="AT4" s="55"/>
      <c r="AU4" s="55"/>
      <c r="AV4" s="56"/>
    </row>
    <row r="5" spans="1:49" s="58" customFormat="1" ht="24" customHeight="1">
      <c r="B5" s="146" t="s">
        <v>628</v>
      </c>
      <c r="C5" s="59" t="s">
        <v>629</v>
      </c>
      <c r="D5" s="59" t="s">
        <v>630</v>
      </c>
      <c r="E5" s="59" t="s">
        <v>630</v>
      </c>
      <c r="F5" s="59" t="s">
        <v>630</v>
      </c>
      <c r="G5" s="59" t="s">
        <v>630</v>
      </c>
      <c r="H5" s="59" t="s">
        <v>630</v>
      </c>
      <c r="I5" s="59" t="s">
        <v>630</v>
      </c>
      <c r="J5" s="59" t="s">
        <v>630</v>
      </c>
      <c r="K5" s="147" t="s">
        <v>631</v>
      </c>
      <c r="L5" s="60"/>
      <c r="N5" s="146" t="s">
        <v>628</v>
      </c>
      <c r="O5" s="59" t="s">
        <v>630</v>
      </c>
      <c r="P5" s="59" t="s">
        <v>630</v>
      </c>
      <c r="Q5" s="59" t="s">
        <v>630</v>
      </c>
      <c r="R5" s="59" t="s">
        <v>630</v>
      </c>
      <c r="S5" s="59" t="s">
        <v>630</v>
      </c>
      <c r="T5" s="59" t="s">
        <v>630</v>
      </c>
      <c r="U5" s="59" t="s">
        <v>630</v>
      </c>
      <c r="V5" s="59" t="s">
        <v>630</v>
      </c>
      <c r="W5" s="147" t="s">
        <v>631</v>
      </c>
      <c r="X5" s="60"/>
      <c r="Z5" s="146" t="s">
        <v>628</v>
      </c>
      <c r="AA5" s="59" t="s">
        <v>630</v>
      </c>
      <c r="AB5" s="59" t="s">
        <v>630</v>
      </c>
      <c r="AC5" s="59" t="s">
        <v>630</v>
      </c>
      <c r="AD5" s="59" t="s">
        <v>630</v>
      </c>
      <c r="AE5" s="59" t="s">
        <v>630</v>
      </c>
      <c r="AF5" s="59" t="s">
        <v>630</v>
      </c>
      <c r="AG5" s="59" t="s">
        <v>630</v>
      </c>
      <c r="AH5" s="59" t="s">
        <v>630</v>
      </c>
      <c r="AI5" s="147" t="s">
        <v>631</v>
      </c>
      <c r="AJ5" s="62"/>
      <c r="AL5" s="146" t="s">
        <v>628</v>
      </c>
      <c r="AM5" s="59" t="s">
        <v>630</v>
      </c>
      <c r="AN5" s="59" t="s">
        <v>630</v>
      </c>
      <c r="AO5" s="59" t="s">
        <v>630</v>
      </c>
      <c r="AP5" s="59" t="s">
        <v>630</v>
      </c>
      <c r="AQ5" s="59" t="s">
        <v>630</v>
      </c>
      <c r="AR5" s="59" t="s">
        <v>630</v>
      </c>
      <c r="AS5" s="59" t="s">
        <v>630</v>
      </c>
      <c r="AT5" s="59" t="s">
        <v>630</v>
      </c>
      <c r="AU5" s="147" t="s">
        <v>631</v>
      </c>
      <c r="AV5" s="60"/>
    </row>
    <row r="6" spans="1:49">
      <c r="A6" s="63" t="s">
        <v>632</v>
      </c>
      <c r="B6" s="146"/>
      <c r="C6" s="64">
        <v>40268</v>
      </c>
      <c r="D6" s="65" t="s">
        <v>633</v>
      </c>
      <c r="E6" s="65" t="s">
        <v>634</v>
      </c>
      <c r="F6" s="65" t="s">
        <v>635</v>
      </c>
      <c r="G6" s="65" t="s">
        <v>636</v>
      </c>
      <c r="H6" s="65" t="s">
        <v>637</v>
      </c>
      <c r="I6" s="65" t="s">
        <v>638</v>
      </c>
      <c r="J6" s="65" t="s">
        <v>639</v>
      </c>
      <c r="K6" s="147"/>
      <c r="L6" s="60" t="s">
        <v>8</v>
      </c>
      <c r="M6" s="61"/>
      <c r="N6" s="146"/>
      <c r="O6" s="65" t="s">
        <v>640</v>
      </c>
      <c r="P6" s="65" t="s">
        <v>633</v>
      </c>
      <c r="Q6" s="65" t="s">
        <v>634</v>
      </c>
      <c r="R6" s="65" t="s">
        <v>635</v>
      </c>
      <c r="S6" s="65" t="s">
        <v>636</v>
      </c>
      <c r="T6" s="65" t="s">
        <v>637</v>
      </c>
      <c r="U6" s="65" t="s">
        <v>638</v>
      </c>
      <c r="V6" s="65" t="s">
        <v>639</v>
      </c>
      <c r="W6" s="147"/>
      <c r="X6" s="60" t="s">
        <v>8</v>
      </c>
      <c r="Y6" s="61"/>
      <c r="Z6" s="146"/>
      <c r="AA6" s="65" t="s">
        <v>640</v>
      </c>
      <c r="AB6" s="65" t="s">
        <v>633</v>
      </c>
      <c r="AC6" s="65" t="s">
        <v>634</v>
      </c>
      <c r="AD6" s="65" t="s">
        <v>635</v>
      </c>
      <c r="AE6" s="65" t="s">
        <v>636</v>
      </c>
      <c r="AF6" s="65" t="s">
        <v>637</v>
      </c>
      <c r="AG6" s="65" t="s">
        <v>638</v>
      </c>
      <c r="AH6" s="65" t="s">
        <v>639</v>
      </c>
      <c r="AI6" s="147"/>
      <c r="AJ6" s="62" t="s">
        <v>8</v>
      </c>
      <c r="AK6" s="66"/>
      <c r="AL6" s="146"/>
      <c r="AM6" s="65" t="s">
        <v>640</v>
      </c>
      <c r="AN6" s="65" t="s">
        <v>633</v>
      </c>
      <c r="AO6" s="65" t="s">
        <v>634</v>
      </c>
      <c r="AP6" s="65" t="s">
        <v>635</v>
      </c>
      <c r="AQ6" s="65" t="s">
        <v>636</v>
      </c>
      <c r="AR6" s="65" t="s">
        <v>637</v>
      </c>
      <c r="AS6" s="65" t="s">
        <v>638</v>
      </c>
      <c r="AT6" s="65" t="s">
        <v>639</v>
      </c>
      <c r="AU6" s="147"/>
      <c r="AV6" s="60" t="s">
        <v>8</v>
      </c>
    </row>
    <row r="7" spans="1:49">
      <c r="B7" s="67"/>
      <c r="L7" s="68"/>
      <c r="N7" s="67"/>
      <c r="O7" s="69"/>
      <c r="P7" s="69"/>
      <c r="Q7" s="69"/>
      <c r="R7" s="69"/>
      <c r="S7" s="69"/>
      <c r="T7" s="69"/>
      <c r="U7" s="69"/>
      <c r="V7" s="69"/>
      <c r="W7" s="69"/>
      <c r="X7" s="70"/>
      <c r="Z7" s="67"/>
      <c r="AA7" s="69"/>
      <c r="AB7" s="69"/>
      <c r="AC7" s="69"/>
      <c r="AD7" s="69"/>
      <c r="AE7" s="69"/>
      <c r="AF7" s="69"/>
      <c r="AG7" s="69"/>
      <c r="AH7" s="69"/>
      <c r="AI7" s="69"/>
      <c r="AJ7" s="70"/>
      <c r="AL7" s="67"/>
      <c r="AM7" s="69"/>
      <c r="AN7" s="69"/>
      <c r="AO7" s="69"/>
      <c r="AP7" s="69"/>
      <c r="AQ7" s="69"/>
      <c r="AR7" s="69"/>
      <c r="AS7" s="69"/>
      <c r="AT7" s="69"/>
      <c r="AU7" s="69"/>
      <c r="AV7" s="70"/>
    </row>
    <row r="8" spans="1:49" s="71" customFormat="1">
      <c r="A8" s="71" t="s">
        <v>11</v>
      </c>
      <c r="B8" s="72">
        <f t="shared" ref="B8:B39" si="0">+N8+Z8+AL8</f>
        <v>34240677.330195829</v>
      </c>
      <c r="C8" s="73">
        <f t="shared" ref="C8:C39" si="1">+O8+AA8+AM8</f>
        <v>21006.720795988909</v>
      </c>
      <c r="D8" s="73">
        <f t="shared" ref="D8:D39" si="2">+P8+AB8+AN8</f>
        <v>19583.869868752852</v>
      </c>
      <c r="E8" s="73">
        <f t="shared" ref="E8:E39" si="3">+Q8+AC8+AO8</f>
        <v>141.25037309665623</v>
      </c>
      <c r="F8" s="73">
        <f t="shared" ref="F8:F39" si="4">+R8+AD8+AP8</f>
        <v>9401.765496488526</v>
      </c>
      <c r="G8" s="73">
        <f t="shared" ref="G8:G39" si="5">+S8+AE8+AQ8</f>
        <v>4532.8190077514937</v>
      </c>
      <c r="H8" s="73">
        <f t="shared" ref="H8:H39" si="6">+T8+AF8+AR8</f>
        <v>5545</v>
      </c>
      <c r="I8" s="73">
        <f t="shared" ref="I8:I39" si="7">+U8+AG8+AS8</f>
        <v>760</v>
      </c>
      <c r="J8" s="73">
        <f t="shared" ref="J8:J39" si="8">+V8+AH8+AT8</f>
        <v>3982</v>
      </c>
      <c r="K8" s="73">
        <f t="shared" ref="K8:K39" si="9">+W8+AI8+AU8</f>
        <v>48945.899322220539</v>
      </c>
      <c r="L8" s="74">
        <f t="shared" ref="L8:L60" si="10">SUM(B8:K8)</f>
        <v>34354576.655060127</v>
      </c>
      <c r="M8" s="75"/>
      <c r="N8" s="76">
        <v>11888658.572942365</v>
      </c>
      <c r="O8" s="73">
        <v>20444.439561067604</v>
      </c>
      <c r="P8" s="73">
        <v>19514.700734177382</v>
      </c>
      <c r="Q8" s="73">
        <v>-48.515768975095753</v>
      </c>
      <c r="R8" s="73">
        <v>9401.765496488526</v>
      </c>
      <c r="S8" s="73">
        <v>4532.8190077514937</v>
      </c>
      <c r="T8" s="73">
        <v>5545</v>
      </c>
      <c r="U8" s="73">
        <v>760</v>
      </c>
      <c r="V8" s="73">
        <v>3982</v>
      </c>
      <c r="W8" s="73">
        <v>48945.899322220539</v>
      </c>
      <c r="X8" s="77">
        <f t="shared" ref="X8:X39" si="11">SUM(N8:W8)</f>
        <v>12001736.681295095</v>
      </c>
      <c r="Y8" s="75"/>
      <c r="Z8" s="76">
        <v>22352018.757253461</v>
      </c>
      <c r="AA8" s="73">
        <v>562.28123492130715</v>
      </c>
      <c r="AB8" s="73">
        <v>69.169134575469755</v>
      </c>
      <c r="AC8" s="73">
        <v>189.766142071752</v>
      </c>
      <c r="AD8" s="73">
        <v>0</v>
      </c>
      <c r="AE8" s="73">
        <v>0</v>
      </c>
      <c r="AF8" s="73">
        <v>0</v>
      </c>
      <c r="AG8" s="73">
        <v>0</v>
      </c>
      <c r="AH8" s="73">
        <v>0</v>
      </c>
      <c r="AI8" s="73">
        <v>0</v>
      </c>
      <c r="AJ8" s="77">
        <f t="shared" ref="AJ8:AJ39" si="12">SUM(Z8:AI8)</f>
        <v>22352839.973765027</v>
      </c>
      <c r="AK8" s="75"/>
      <c r="AL8" s="72">
        <v>0</v>
      </c>
      <c r="AM8" s="73">
        <v>0</v>
      </c>
      <c r="AN8" s="73">
        <v>0</v>
      </c>
      <c r="AO8" s="73">
        <v>0</v>
      </c>
      <c r="AP8" s="73">
        <v>0</v>
      </c>
      <c r="AQ8" s="73">
        <v>0</v>
      </c>
      <c r="AR8" s="73">
        <v>0</v>
      </c>
      <c r="AS8" s="73">
        <v>0</v>
      </c>
      <c r="AT8" s="73">
        <v>0</v>
      </c>
      <c r="AU8" s="73">
        <v>0</v>
      </c>
      <c r="AV8" s="77">
        <f t="shared" ref="AV8:AV39" si="13">SUM(AL8:AU8)</f>
        <v>0</v>
      </c>
      <c r="AW8" s="52"/>
    </row>
    <row r="9" spans="1:49" s="71" customFormat="1">
      <c r="A9" s="71" t="s">
        <v>12</v>
      </c>
      <c r="B9" s="72">
        <f t="shared" si="0"/>
        <v>6469326.6191232223</v>
      </c>
      <c r="C9" s="73">
        <f t="shared" si="1"/>
        <v>566.44378752886826</v>
      </c>
      <c r="D9" s="73">
        <f t="shared" si="2"/>
        <v>0</v>
      </c>
      <c r="E9" s="73">
        <f t="shared" si="3"/>
        <v>0</v>
      </c>
      <c r="F9" s="73">
        <f t="shared" si="4"/>
        <v>0</v>
      </c>
      <c r="G9" s="73">
        <f t="shared" si="5"/>
        <v>0</v>
      </c>
      <c r="H9" s="73">
        <f t="shared" si="6"/>
        <v>0</v>
      </c>
      <c r="I9" s="73">
        <f t="shared" si="7"/>
        <v>0</v>
      </c>
      <c r="J9" s="73">
        <f t="shared" si="8"/>
        <v>0</v>
      </c>
      <c r="K9" s="73">
        <f t="shared" si="9"/>
        <v>0</v>
      </c>
      <c r="L9" s="74">
        <f t="shared" si="10"/>
        <v>6469893.0629107514</v>
      </c>
      <c r="M9" s="75"/>
      <c r="N9" s="76">
        <v>564103.62376291258</v>
      </c>
      <c r="O9" s="73">
        <v>50.322200020770943</v>
      </c>
      <c r="P9" s="73">
        <v>0</v>
      </c>
      <c r="Q9" s="73">
        <v>0</v>
      </c>
      <c r="R9" s="73">
        <v>0</v>
      </c>
      <c r="S9" s="73">
        <v>0</v>
      </c>
      <c r="T9" s="73">
        <v>0</v>
      </c>
      <c r="U9" s="73">
        <v>0</v>
      </c>
      <c r="V9" s="73">
        <v>0</v>
      </c>
      <c r="W9" s="73">
        <v>0</v>
      </c>
      <c r="X9" s="77">
        <f t="shared" si="11"/>
        <v>564153.94596293336</v>
      </c>
      <c r="Y9" s="75"/>
      <c r="Z9" s="76">
        <v>5905222.9953603093</v>
      </c>
      <c r="AA9" s="73">
        <v>516.12158750809726</v>
      </c>
      <c r="AB9" s="73">
        <v>0</v>
      </c>
      <c r="AC9" s="73">
        <v>0</v>
      </c>
      <c r="AD9" s="73">
        <v>0</v>
      </c>
      <c r="AE9" s="73">
        <v>0</v>
      </c>
      <c r="AF9" s="73">
        <v>0</v>
      </c>
      <c r="AG9" s="73">
        <v>0</v>
      </c>
      <c r="AH9" s="73">
        <v>0</v>
      </c>
      <c r="AI9" s="73">
        <v>0</v>
      </c>
      <c r="AJ9" s="77">
        <f t="shared" si="12"/>
        <v>5905739.1169478176</v>
      </c>
      <c r="AK9" s="75"/>
      <c r="AL9" s="72">
        <v>0</v>
      </c>
      <c r="AM9" s="73">
        <v>0</v>
      </c>
      <c r="AN9" s="73">
        <v>0</v>
      </c>
      <c r="AO9" s="73">
        <v>0</v>
      </c>
      <c r="AP9" s="73">
        <v>0</v>
      </c>
      <c r="AQ9" s="73">
        <v>0</v>
      </c>
      <c r="AR9" s="73">
        <v>0</v>
      </c>
      <c r="AS9" s="73">
        <v>0</v>
      </c>
      <c r="AT9" s="73">
        <v>0</v>
      </c>
      <c r="AU9" s="73">
        <v>0</v>
      </c>
      <c r="AV9" s="77">
        <f t="shared" si="13"/>
        <v>0</v>
      </c>
      <c r="AW9" s="52"/>
    </row>
    <row r="10" spans="1:49" s="71" customFormat="1">
      <c r="A10" s="71" t="s">
        <v>13</v>
      </c>
      <c r="B10" s="72">
        <f t="shared" si="0"/>
        <v>43861999.758676305</v>
      </c>
      <c r="C10" s="73">
        <f t="shared" si="1"/>
        <v>16028.970790947</v>
      </c>
      <c r="D10" s="73">
        <f t="shared" si="2"/>
        <v>17993.357084717267</v>
      </c>
      <c r="E10" s="73">
        <f t="shared" si="3"/>
        <v>15487.541811906542</v>
      </c>
      <c r="F10" s="73">
        <f t="shared" si="4"/>
        <v>17715.484842171685</v>
      </c>
      <c r="G10" s="73">
        <f t="shared" si="5"/>
        <v>18629.669862415682</v>
      </c>
      <c r="H10" s="73">
        <f t="shared" si="6"/>
        <v>-8229</v>
      </c>
      <c r="I10" s="73">
        <f t="shared" si="7"/>
        <v>2104</v>
      </c>
      <c r="J10" s="73">
        <f t="shared" si="8"/>
        <v>3624</v>
      </c>
      <c r="K10" s="73">
        <f t="shared" si="9"/>
        <v>49392.069696834478</v>
      </c>
      <c r="L10" s="74">
        <f t="shared" si="10"/>
        <v>43994745.852765299</v>
      </c>
      <c r="M10" s="75"/>
      <c r="N10" s="76">
        <v>19105853.982885767</v>
      </c>
      <c r="O10" s="73">
        <v>15655.95553131479</v>
      </c>
      <c r="P10" s="73">
        <v>17947.470540600574</v>
      </c>
      <c r="Q10" s="73">
        <v>15350.192225227916</v>
      </c>
      <c r="R10" s="73">
        <v>17715.484842171685</v>
      </c>
      <c r="S10" s="73">
        <v>18629.669862415682</v>
      </c>
      <c r="T10" s="73">
        <v>-8229</v>
      </c>
      <c r="U10" s="73">
        <v>2104</v>
      </c>
      <c r="V10" s="73">
        <v>3624</v>
      </c>
      <c r="W10" s="73">
        <v>49392.069696834478</v>
      </c>
      <c r="X10" s="77">
        <f t="shared" si="11"/>
        <v>19238043.825584333</v>
      </c>
      <c r="Y10" s="75"/>
      <c r="Z10" s="76">
        <v>24756145.775790535</v>
      </c>
      <c r="AA10" s="73">
        <v>373.01525963220968</v>
      </c>
      <c r="AB10" s="73">
        <v>45.886544116691084</v>
      </c>
      <c r="AC10" s="73">
        <v>137.34958667862585</v>
      </c>
      <c r="AD10" s="73">
        <v>0</v>
      </c>
      <c r="AE10" s="73">
        <v>0</v>
      </c>
      <c r="AF10" s="73">
        <v>0</v>
      </c>
      <c r="AG10" s="73">
        <v>0</v>
      </c>
      <c r="AH10" s="73">
        <v>0</v>
      </c>
      <c r="AI10" s="73">
        <v>0</v>
      </c>
      <c r="AJ10" s="77">
        <f t="shared" si="12"/>
        <v>24756702.027180959</v>
      </c>
      <c r="AK10" s="75"/>
      <c r="AL10" s="72">
        <v>0</v>
      </c>
      <c r="AM10" s="73">
        <v>0</v>
      </c>
      <c r="AN10" s="73">
        <v>0</v>
      </c>
      <c r="AO10" s="73">
        <v>0</v>
      </c>
      <c r="AP10" s="73">
        <v>0</v>
      </c>
      <c r="AQ10" s="73">
        <v>0</v>
      </c>
      <c r="AR10" s="73">
        <v>0</v>
      </c>
      <c r="AS10" s="73">
        <v>0</v>
      </c>
      <c r="AT10" s="73">
        <v>0</v>
      </c>
      <c r="AU10" s="73">
        <v>0</v>
      </c>
      <c r="AV10" s="77">
        <f t="shared" si="13"/>
        <v>0</v>
      </c>
      <c r="AW10" s="52"/>
    </row>
    <row r="11" spans="1:49" s="71" customFormat="1">
      <c r="A11" s="71" t="s">
        <v>15</v>
      </c>
      <c r="B11" s="72">
        <f t="shared" si="0"/>
        <v>17129433.965304095</v>
      </c>
      <c r="C11" s="73">
        <f t="shared" si="1"/>
        <v>10982.185078347515</v>
      </c>
      <c r="D11" s="73">
        <f t="shared" si="2"/>
        <v>10647.562120810133</v>
      </c>
      <c r="E11" s="73">
        <f t="shared" si="3"/>
        <v>8554.7989976640183</v>
      </c>
      <c r="F11" s="73">
        <f t="shared" si="4"/>
        <v>9988.9609269642096</v>
      </c>
      <c r="G11" s="73">
        <f t="shared" si="5"/>
        <v>5344.5653833290171</v>
      </c>
      <c r="H11" s="73">
        <f t="shared" si="6"/>
        <v>5654</v>
      </c>
      <c r="I11" s="73">
        <f t="shared" si="7"/>
        <v>4191</v>
      </c>
      <c r="J11" s="73">
        <f t="shared" si="8"/>
        <v>-922</v>
      </c>
      <c r="K11" s="73">
        <f t="shared" si="9"/>
        <v>12811.34597144052</v>
      </c>
      <c r="L11" s="74">
        <f t="shared" si="10"/>
        <v>17196686.383782651</v>
      </c>
      <c r="M11" s="75"/>
      <c r="N11" s="76">
        <v>10758788.85807145</v>
      </c>
      <c r="O11" s="73">
        <v>10796.779955574359</v>
      </c>
      <c r="P11" s="73">
        <v>10624.754473868345</v>
      </c>
      <c r="Q11" s="73">
        <v>8491.3109124415732</v>
      </c>
      <c r="R11" s="73">
        <v>9988.9609269642096</v>
      </c>
      <c r="S11" s="73">
        <v>5344.5653833290171</v>
      </c>
      <c r="T11" s="73">
        <v>5654</v>
      </c>
      <c r="U11" s="73">
        <v>4191</v>
      </c>
      <c r="V11" s="73">
        <v>-922</v>
      </c>
      <c r="W11" s="73">
        <v>12811.34597144052</v>
      </c>
      <c r="X11" s="77">
        <f t="shared" si="11"/>
        <v>10825769.57569507</v>
      </c>
      <c r="Y11" s="75"/>
      <c r="Z11" s="76">
        <v>6317356.1072326442</v>
      </c>
      <c r="AA11" s="73">
        <v>185.40512277315699</v>
      </c>
      <c r="AB11" s="73">
        <v>22.807646941788455</v>
      </c>
      <c r="AC11" s="73">
        <v>63.488085222445683</v>
      </c>
      <c r="AD11" s="73">
        <v>0</v>
      </c>
      <c r="AE11" s="73">
        <v>0</v>
      </c>
      <c r="AF11" s="73">
        <v>0</v>
      </c>
      <c r="AG11" s="73">
        <v>0</v>
      </c>
      <c r="AH11" s="73">
        <v>0</v>
      </c>
      <c r="AI11" s="73">
        <v>0</v>
      </c>
      <c r="AJ11" s="77">
        <f t="shared" si="12"/>
        <v>6317627.8080875808</v>
      </c>
      <c r="AK11" s="75"/>
      <c r="AL11" s="72">
        <v>53289</v>
      </c>
      <c r="AM11" s="73">
        <v>0</v>
      </c>
      <c r="AN11" s="73">
        <v>0</v>
      </c>
      <c r="AO11" s="73">
        <v>0</v>
      </c>
      <c r="AP11" s="73">
        <v>0</v>
      </c>
      <c r="AQ11" s="73">
        <v>0</v>
      </c>
      <c r="AR11" s="73">
        <v>0</v>
      </c>
      <c r="AS11" s="73">
        <v>0</v>
      </c>
      <c r="AT11" s="73">
        <v>0</v>
      </c>
      <c r="AU11" s="73">
        <v>0</v>
      </c>
      <c r="AV11" s="77">
        <f t="shared" si="13"/>
        <v>53289</v>
      </c>
      <c r="AW11" s="52"/>
    </row>
    <row r="12" spans="1:49" s="71" customFormat="1">
      <c r="A12" s="71" t="s">
        <v>16</v>
      </c>
      <c r="B12" s="72">
        <f t="shared" si="0"/>
        <v>741347248.91912413</v>
      </c>
      <c r="C12" s="73">
        <f t="shared" si="1"/>
        <v>242825.92953950798</v>
      </c>
      <c r="D12" s="73">
        <f t="shared" si="2"/>
        <v>138644.92881883206</v>
      </c>
      <c r="E12" s="73">
        <f t="shared" si="3"/>
        <v>155976.39213596805</v>
      </c>
      <c r="F12" s="73">
        <f t="shared" si="4"/>
        <v>149450.03412166802</v>
      </c>
      <c r="G12" s="73">
        <f t="shared" si="5"/>
        <v>116642.23807627293</v>
      </c>
      <c r="H12" s="73">
        <f t="shared" si="6"/>
        <v>91283</v>
      </c>
      <c r="I12" s="73">
        <f t="shared" si="7"/>
        <v>80291</v>
      </c>
      <c r="J12" s="73">
        <f t="shared" si="8"/>
        <v>70141</v>
      </c>
      <c r="K12" s="73">
        <f t="shared" si="9"/>
        <v>347716.25223207835</v>
      </c>
      <c r="L12" s="74">
        <f t="shared" si="10"/>
        <v>742740219.69404852</v>
      </c>
      <c r="M12" s="75"/>
      <c r="N12" s="76">
        <v>279184878.41311467</v>
      </c>
      <c r="O12" s="73">
        <v>199814.47123439112</v>
      </c>
      <c r="P12" s="73">
        <v>138001.71236201393</v>
      </c>
      <c r="Q12" s="73">
        <v>154432.82790656263</v>
      </c>
      <c r="R12" s="73">
        <v>149450.03412166802</v>
      </c>
      <c r="S12" s="73">
        <v>116642.23807627293</v>
      </c>
      <c r="T12" s="73">
        <v>91283</v>
      </c>
      <c r="U12" s="73">
        <v>80291</v>
      </c>
      <c r="V12" s="73">
        <v>70141</v>
      </c>
      <c r="W12" s="73">
        <v>347716.25223207835</v>
      </c>
      <c r="X12" s="77">
        <f t="shared" si="11"/>
        <v>280532650.94904763</v>
      </c>
      <c r="Y12" s="75"/>
      <c r="Z12" s="76">
        <v>462162370.5060094</v>
      </c>
      <c r="AA12" s="73">
        <v>43011.458305116867</v>
      </c>
      <c r="AB12" s="73">
        <v>643.21645681813322</v>
      </c>
      <c r="AC12" s="73">
        <v>1543.5642294054276</v>
      </c>
      <c r="AD12" s="73">
        <v>0</v>
      </c>
      <c r="AE12" s="73">
        <v>0</v>
      </c>
      <c r="AF12" s="73">
        <v>0</v>
      </c>
      <c r="AG12" s="73">
        <v>0</v>
      </c>
      <c r="AH12" s="73">
        <v>0</v>
      </c>
      <c r="AI12" s="73">
        <v>0</v>
      </c>
      <c r="AJ12" s="77">
        <f t="shared" si="12"/>
        <v>462207568.74500078</v>
      </c>
      <c r="AK12" s="75"/>
      <c r="AL12" s="72">
        <v>0</v>
      </c>
      <c r="AM12" s="73">
        <v>0</v>
      </c>
      <c r="AN12" s="73">
        <v>0</v>
      </c>
      <c r="AO12" s="73">
        <v>0</v>
      </c>
      <c r="AP12" s="73">
        <v>0</v>
      </c>
      <c r="AQ12" s="73">
        <v>0</v>
      </c>
      <c r="AR12" s="73">
        <v>0</v>
      </c>
      <c r="AS12" s="73">
        <v>0</v>
      </c>
      <c r="AT12" s="73">
        <v>0</v>
      </c>
      <c r="AU12" s="73">
        <v>0</v>
      </c>
      <c r="AV12" s="77">
        <f t="shared" si="13"/>
        <v>0</v>
      </c>
      <c r="AW12" s="52"/>
    </row>
    <row r="13" spans="1:49" s="71" customFormat="1">
      <c r="A13" s="71" t="s">
        <v>18</v>
      </c>
      <c r="B13" s="72">
        <f t="shared" si="0"/>
        <v>0</v>
      </c>
      <c r="C13" s="73">
        <f t="shared" si="1"/>
        <v>0</v>
      </c>
      <c r="D13" s="73">
        <f t="shared" si="2"/>
        <v>0</v>
      </c>
      <c r="E13" s="73">
        <f t="shared" si="3"/>
        <v>0</v>
      </c>
      <c r="F13" s="73">
        <f t="shared" si="4"/>
        <v>0</v>
      </c>
      <c r="G13" s="73">
        <f t="shared" si="5"/>
        <v>0</v>
      </c>
      <c r="H13" s="73">
        <f t="shared" si="6"/>
        <v>0</v>
      </c>
      <c r="I13" s="73">
        <f t="shared" si="7"/>
        <v>0</v>
      </c>
      <c r="J13" s="73">
        <f t="shared" si="8"/>
        <v>0</v>
      </c>
      <c r="K13" s="73">
        <f t="shared" si="9"/>
        <v>0</v>
      </c>
      <c r="L13" s="74">
        <f t="shared" si="10"/>
        <v>0</v>
      </c>
      <c r="M13" s="75"/>
      <c r="N13" s="76">
        <v>0</v>
      </c>
      <c r="O13" s="73">
        <v>0</v>
      </c>
      <c r="P13" s="73">
        <v>0</v>
      </c>
      <c r="Q13" s="73">
        <v>0</v>
      </c>
      <c r="R13" s="73">
        <v>0</v>
      </c>
      <c r="S13" s="73">
        <v>0</v>
      </c>
      <c r="T13" s="73">
        <v>0</v>
      </c>
      <c r="U13" s="73">
        <v>0</v>
      </c>
      <c r="V13" s="73">
        <v>0</v>
      </c>
      <c r="W13" s="73">
        <v>0</v>
      </c>
      <c r="X13" s="77">
        <f t="shared" si="11"/>
        <v>0</v>
      </c>
      <c r="Y13" s="75"/>
      <c r="Z13" s="76">
        <v>0</v>
      </c>
      <c r="AA13" s="73">
        <v>0</v>
      </c>
      <c r="AB13" s="73">
        <v>0</v>
      </c>
      <c r="AC13" s="73">
        <v>0</v>
      </c>
      <c r="AD13" s="73">
        <v>0</v>
      </c>
      <c r="AE13" s="73">
        <v>0</v>
      </c>
      <c r="AF13" s="73">
        <v>0</v>
      </c>
      <c r="AG13" s="73">
        <v>0</v>
      </c>
      <c r="AH13" s="73">
        <v>0</v>
      </c>
      <c r="AI13" s="73">
        <v>0</v>
      </c>
      <c r="AJ13" s="77">
        <f t="shared" si="12"/>
        <v>0</v>
      </c>
      <c r="AK13" s="75"/>
      <c r="AL13" s="72">
        <v>0</v>
      </c>
      <c r="AM13" s="73">
        <v>0</v>
      </c>
      <c r="AN13" s="73">
        <v>0</v>
      </c>
      <c r="AO13" s="73">
        <v>0</v>
      </c>
      <c r="AP13" s="73">
        <v>0</v>
      </c>
      <c r="AQ13" s="73">
        <v>0</v>
      </c>
      <c r="AR13" s="73">
        <v>0</v>
      </c>
      <c r="AS13" s="73">
        <v>0</v>
      </c>
      <c r="AT13" s="73">
        <v>0</v>
      </c>
      <c r="AU13" s="73">
        <v>0</v>
      </c>
      <c r="AV13" s="77">
        <f t="shared" si="13"/>
        <v>0</v>
      </c>
      <c r="AW13" s="52"/>
    </row>
    <row r="14" spans="1:49" s="71" customFormat="1">
      <c r="A14" s="71" t="s">
        <v>19</v>
      </c>
      <c r="B14" s="72">
        <f t="shared" si="0"/>
        <v>0</v>
      </c>
      <c r="C14" s="73">
        <f t="shared" si="1"/>
        <v>0</v>
      </c>
      <c r="D14" s="73">
        <f t="shared" si="2"/>
        <v>0</v>
      </c>
      <c r="E14" s="73">
        <f t="shared" si="3"/>
        <v>0</v>
      </c>
      <c r="F14" s="73">
        <f t="shared" si="4"/>
        <v>0</v>
      </c>
      <c r="G14" s="73">
        <f t="shared" si="5"/>
        <v>0</v>
      </c>
      <c r="H14" s="73">
        <f t="shared" si="6"/>
        <v>0</v>
      </c>
      <c r="I14" s="73">
        <f t="shared" si="7"/>
        <v>0</v>
      </c>
      <c r="J14" s="73">
        <f t="shared" si="8"/>
        <v>0</v>
      </c>
      <c r="K14" s="73">
        <f t="shared" si="9"/>
        <v>0</v>
      </c>
      <c r="L14" s="74">
        <f t="shared" si="10"/>
        <v>0</v>
      </c>
      <c r="M14" s="75"/>
      <c r="N14" s="76">
        <v>0</v>
      </c>
      <c r="O14" s="73">
        <v>0</v>
      </c>
      <c r="P14" s="73">
        <v>0</v>
      </c>
      <c r="Q14" s="73">
        <v>0</v>
      </c>
      <c r="R14" s="73">
        <v>0</v>
      </c>
      <c r="S14" s="73">
        <v>0</v>
      </c>
      <c r="T14" s="73">
        <v>0</v>
      </c>
      <c r="U14" s="73">
        <v>0</v>
      </c>
      <c r="V14" s="73">
        <v>0</v>
      </c>
      <c r="W14" s="73">
        <v>0</v>
      </c>
      <c r="X14" s="77">
        <f t="shared" si="11"/>
        <v>0</v>
      </c>
      <c r="Y14" s="75"/>
      <c r="Z14" s="76">
        <v>0</v>
      </c>
      <c r="AA14" s="73">
        <v>0</v>
      </c>
      <c r="AB14" s="73">
        <v>0</v>
      </c>
      <c r="AC14" s="73">
        <v>0</v>
      </c>
      <c r="AD14" s="73">
        <v>0</v>
      </c>
      <c r="AE14" s="73">
        <v>0</v>
      </c>
      <c r="AF14" s="73">
        <v>0</v>
      </c>
      <c r="AG14" s="73">
        <v>0</v>
      </c>
      <c r="AH14" s="73">
        <v>0</v>
      </c>
      <c r="AI14" s="73">
        <v>0</v>
      </c>
      <c r="AJ14" s="77">
        <f t="shared" si="12"/>
        <v>0</v>
      </c>
      <c r="AK14" s="75"/>
      <c r="AL14" s="72">
        <v>0</v>
      </c>
      <c r="AM14" s="73">
        <v>0</v>
      </c>
      <c r="AN14" s="73">
        <v>0</v>
      </c>
      <c r="AO14" s="73">
        <v>0</v>
      </c>
      <c r="AP14" s="73">
        <v>0</v>
      </c>
      <c r="AQ14" s="73">
        <v>0</v>
      </c>
      <c r="AR14" s="73">
        <v>0</v>
      </c>
      <c r="AS14" s="73">
        <v>0</v>
      </c>
      <c r="AT14" s="73">
        <v>0</v>
      </c>
      <c r="AU14" s="73">
        <v>0</v>
      </c>
      <c r="AV14" s="77">
        <f t="shared" si="13"/>
        <v>0</v>
      </c>
      <c r="AW14" s="52"/>
    </row>
    <row r="15" spans="1:49" s="71" customFormat="1">
      <c r="A15" s="71" t="s">
        <v>21</v>
      </c>
      <c r="B15" s="72">
        <f t="shared" si="0"/>
        <v>8470041.8969619088</v>
      </c>
      <c r="C15" s="73">
        <f t="shared" si="1"/>
        <v>6515.2850654205504</v>
      </c>
      <c r="D15" s="73">
        <f t="shared" si="2"/>
        <v>5857.2268683589045</v>
      </c>
      <c r="E15" s="73">
        <f t="shared" si="3"/>
        <v>6025.9777776949741</v>
      </c>
      <c r="F15" s="73">
        <f t="shared" si="4"/>
        <v>6031.0117307317068</v>
      </c>
      <c r="G15" s="73">
        <f t="shared" si="5"/>
        <v>4989.3827307504225</v>
      </c>
      <c r="H15" s="73">
        <f t="shared" si="6"/>
        <v>5322</v>
      </c>
      <c r="I15" s="73">
        <f t="shared" si="7"/>
        <v>5232</v>
      </c>
      <c r="J15" s="73">
        <f t="shared" si="8"/>
        <v>5040</v>
      </c>
      <c r="K15" s="73">
        <f t="shared" si="9"/>
        <v>10296.868750998477</v>
      </c>
      <c r="L15" s="74">
        <f t="shared" si="10"/>
        <v>8525351.6498858649</v>
      </c>
      <c r="M15" s="75"/>
      <c r="N15" s="76">
        <v>4101504.5706342733</v>
      </c>
      <c r="O15" s="73">
        <v>6034.2877200849634</v>
      </c>
      <c r="P15" s="73">
        <v>5842.4505261712811</v>
      </c>
      <c r="Q15" s="73">
        <v>5982.5728956112753</v>
      </c>
      <c r="R15" s="73">
        <v>6031.0117307317068</v>
      </c>
      <c r="S15" s="73">
        <v>4989.3827307504225</v>
      </c>
      <c r="T15" s="73">
        <v>5322</v>
      </c>
      <c r="U15" s="73">
        <v>5232</v>
      </c>
      <c r="V15" s="73">
        <v>5040</v>
      </c>
      <c r="W15" s="73">
        <v>10296.868750998477</v>
      </c>
      <c r="X15" s="77">
        <f t="shared" si="11"/>
        <v>4156275.1449886216</v>
      </c>
      <c r="Y15" s="75"/>
      <c r="Z15" s="76">
        <v>4264389.326327635</v>
      </c>
      <c r="AA15" s="73">
        <v>480.99734533558666</v>
      </c>
      <c r="AB15" s="73">
        <v>14.776342187623708</v>
      </c>
      <c r="AC15" s="73">
        <v>43.404882083698446</v>
      </c>
      <c r="AD15" s="73">
        <v>0</v>
      </c>
      <c r="AE15" s="73">
        <v>0</v>
      </c>
      <c r="AF15" s="73">
        <v>0</v>
      </c>
      <c r="AG15" s="73">
        <v>0</v>
      </c>
      <c r="AH15" s="73">
        <v>0</v>
      </c>
      <c r="AI15" s="73">
        <v>0</v>
      </c>
      <c r="AJ15" s="77">
        <f t="shared" si="12"/>
        <v>4264928.5048972424</v>
      </c>
      <c r="AK15" s="75"/>
      <c r="AL15" s="72">
        <v>104148</v>
      </c>
      <c r="AM15" s="73">
        <v>0</v>
      </c>
      <c r="AN15" s="73">
        <v>0</v>
      </c>
      <c r="AO15" s="73">
        <v>0</v>
      </c>
      <c r="AP15" s="73">
        <v>0</v>
      </c>
      <c r="AQ15" s="73">
        <v>0</v>
      </c>
      <c r="AR15" s="73">
        <v>0</v>
      </c>
      <c r="AS15" s="73">
        <v>0</v>
      </c>
      <c r="AT15" s="73">
        <v>0</v>
      </c>
      <c r="AU15" s="73">
        <v>0</v>
      </c>
      <c r="AV15" s="77">
        <f t="shared" si="13"/>
        <v>104148</v>
      </c>
      <c r="AW15" s="52"/>
    </row>
    <row r="16" spans="1:49" s="71" customFormat="1">
      <c r="A16" s="71" t="s">
        <v>641</v>
      </c>
      <c r="B16" s="72">
        <f t="shared" si="0"/>
        <v>0</v>
      </c>
      <c r="C16" s="73">
        <f t="shared" si="1"/>
        <v>0</v>
      </c>
      <c r="D16" s="73">
        <f t="shared" si="2"/>
        <v>0</v>
      </c>
      <c r="E16" s="73">
        <f t="shared" si="3"/>
        <v>0</v>
      </c>
      <c r="F16" s="73">
        <f t="shared" si="4"/>
        <v>0</v>
      </c>
      <c r="G16" s="73">
        <f t="shared" si="5"/>
        <v>0</v>
      </c>
      <c r="H16" s="73">
        <f t="shared" si="6"/>
        <v>0</v>
      </c>
      <c r="I16" s="73">
        <f t="shared" si="7"/>
        <v>0</v>
      </c>
      <c r="J16" s="73">
        <f t="shared" si="8"/>
        <v>0</v>
      </c>
      <c r="K16" s="73">
        <f t="shared" si="9"/>
        <v>0</v>
      </c>
      <c r="L16" s="74">
        <f t="shared" si="10"/>
        <v>0</v>
      </c>
      <c r="M16" s="75"/>
      <c r="N16" s="76">
        <v>0</v>
      </c>
      <c r="O16" s="73">
        <v>0</v>
      </c>
      <c r="P16" s="73">
        <v>0</v>
      </c>
      <c r="Q16" s="73">
        <v>0</v>
      </c>
      <c r="R16" s="73">
        <v>0</v>
      </c>
      <c r="S16" s="73">
        <v>0</v>
      </c>
      <c r="T16" s="73">
        <v>0</v>
      </c>
      <c r="U16" s="73">
        <v>0</v>
      </c>
      <c r="V16" s="73">
        <v>0</v>
      </c>
      <c r="W16" s="73">
        <v>0</v>
      </c>
      <c r="X16" s="77">
        <f t="shared" si="11"/>
        <v>0</v>
      </c>
      <c r="Y16" s="75"/>
      <c r="Z16" s="76">
        <v>0</v>
      </c>
      <c r="AA16" s="73">
        <v>0</v>
      </c>
      <c r="AB16" s="73">
        <v>0</v>
      </c>
      <c r="AC16" s="73">
        <v>0</v>
      </c>
      <c r="AD16" s="73">
        <v>0</v>
      </c>
      <c r="AE16" s="73">
        <v>0</v>
      </c>
      <c r="AF16" s="73">
        <v>0</v>
      </c>
      <c r="AG16" s="73">
        <v>0</v>
      </c>
      <c r="AH16" s="73">
        <v>0</v>
      </c>
      <c r="AI16" s="73">
        <v>0</v>
      </c>
      <c r="AJ16" s="77">
        <f t="shared" si="12"/>
        <v>0</v>
      </c>
      <c r="AK16" s="75"/>
      <c r="AL16" s="72">
        <v>0</v>
      </c>
      <c r="AM16" s="73">
        <v>0</v>
      </c>
      <c r="AN16" s="73">
        <v>0</v>
      </c>
      <c r="AO16" s="73">
        <v>0</v>
      </c>
      <c r="AP16" s="73">
        <v>0</v>
      </c>
      <c r="AQ16" s="73">
        <v>0</v>
      </c>
      <c r="AR16" s="73">
        <v>0</v>
      </c>
      <c r="AS16" s="73">
        <v>0</v>
      </c>
      <c r="AT16" s="73">
        <v>0</v>
      </c>
      <c r="AU16" s="73">
        <v>0</v>
      </c>
      <c r="AV16" s="77">
        <f t="shared" si="13"/>
        <v>0</v>
      </c>
      <c r="AW16" s="52"/>
    </row>
    <row r="17" spans="1:49" s="71" customFormat="1">
      <c r="A17" s="71" t="s">
        <v>25</v>
      </c>
      <c r="B17" s="72">
        <f t="shared" si="0"/>
        <v>209987903.23876059</v>
      </c>
      <c r="C17" s="73">
        <f t="shared" si="1"/>
        <v>99306.281995572819</v>
      </c>
      <c r="D17" s="73">
        <f t="shared" si="2"/>
        <v>38069.689778555032</v>
      </c>
      <c r="E17" s="73">
        <f t="shared" si="3"/>
        <v>58127.660625801007</v>
      </c>
      <c r="F17" s="73">
        <f t="shared" si="4"/>
        <v>51631.192588188009</v>
      </c>
      <c r="G17" s="73">
        <f t="shared" si="5"/>
        <v>44452.016409773772</v>
      </c>
      <c r="H17" s="73">
        <f t="shared" si="6"/>
        <v>33278</v>
      </c>
      <c r="I17" s="73">
        <f t="shared" si="7"/>
        <v>38083</v>
      </c>
      <c r="J17" s="73">
        <f t="shared" si="8"/>
        <v>26907</v>
      </c>
      <c r="K17" s="73">
        <f t="shared" si="9"/>
        <v>227454.37331583517</v>
      </c>
      <c r="L17" s="74">
        <f t="shared" si="10"/>
        <v>210605212.45347434</v>
      </c>
      <c r="M17" s="75"/>
      <c r="N17" s="76">
        <v>100839795.01613906</v>
      </c>
      <c r="O17" s="73">
        <v>87955.795118348877</v>
      </c>
      <c r="P17" s="73">
        <v>37858.278932103429</v>
      </c>
      <c r="Q17" s="73">
        <v>57687.591663885105</v>
      </c>
      <c r="R17" s="73">
        <v>51631.192588188009</v>
      </c>
      <c r="S17" s="73">
        <v>44452.016409773772</v>
      </c>
      <c r="T17" s="73">
        <v>33278</v>
      </c>
      <c r="U17" s="73">
        <v>38083</v>
      </c>
      <c r="V17" s="73">
        <v>26907</v>
      </c>
      <c r="W17" s="73">
        <v>227454.37331583517</v>
      </c>
      <c r="X17" s="77">
        <f t="shared" si="11"/>
        <v>101445102.2641672</v>
      </c>
      <c r="Y17" s="75"/>
      <c r="Z17" s="76">
        <v>109148108.22262152</v>
      </c>
      <c r="AA17" s="73">
        <v>11350.486877223948</v>
      </c>
      <c r="AB17" s="73">
        <v>211.41084645160032</v>
      </c>
      <c r="AC17" s="73">
        <v>440.06896191590039</v>
      </c>
      <c r="AD17" s="73">
        <v>0</v>
      </c>
      <c r="AE17" s="73">
        <v>0</v>
      </c>
      <c r="AF17" s="73">
        <v>0</v>
      </c>
      <c r="AG17" s="73">
        <v>0</v>
      </c>
      <c r="AH17" s="73">
        <v>0</v>
      </c>
      <c r="AI17" s="73">
        <v>0</v>
      </c>
      <c r="AJ17" s="77">
        <f t="shared" si="12"/>
        <v>109160110.18930711</v>
      </c>
      <c r="AK17" s="75"/>
      <c r="AL17" s="72">
        <v>0</v>
      </c>
      <c r="AM17" s="73">
        <v>0</v>
      </c>
      <c r="AN17" s="73">
        <v>0</v>
      </c>
      <c r="AO17" s="73">
        <v>0</v>
      </c>
      <c r="AP17" s="73">
        <v>0</v>
      </c>
      <c r="AQ17" s="73">
        <v>0</v>
      </c>
      <c r="AR17" s="73">
        <v>0</v>
      </c>
      <c r="AS17" s="73">
        <v>0</v>
      </c>
      <c r="AT17" s="73">
        <v>0</v>
      </c>
      <c r="AU17" s="73">
        <v>0</v>
      </c>
      <c r="AV17" s="77">
        <f t="shared" si="13"/>
        <v>0</v>
      </c>
      <c r="AW17" s="52"/>
    </row>
    <row r="18" spans="1:49" s="71" customFormat="1">
      <c r="A18" s="71" t="s">
        <v>27</v>
      </c>
      <c r="B18" s="72">
        <f t="shared" si="0"/>
        <v>54261832.186056405</v>
      </c>
      <c r="C18" s="73">
        <f t="shared" si="1"/>
        <v>42226.705959516876</v>
      </c>
      <c r="D18" s="73">
        <f t="shared" si="2"/>
        <v>37164.195459116891</v>
      </c>
      <c r="E18" s="73">
        <f t="shared" si="3"/>
        <v>35085.732334134416</v>
      </c>
      <c r="F18" s="73">
        <f t="shared" si="4"/>
        <v>31050.347242966705</v>
      </c>
      <c r="G18" s="73">
        <f t="shared" si="5"/>
        <v>28912.30115868181</v>
      </c>
      <c r="H18" s="73">
        <f t="shared" si="6"/>
        <v>27720</v>
      </c>
      <c r="I18" s="73">
        <f t="shared" si="7"/>
        <v>20594</v>
      </c>
      <c r="J18" s="73">
        <f t="shared" si="8"/>
        <v>20320</v>
      </c>
      <c r="K18" s="73">
        <f t="shared" si="9"/>
        <v>87224.090666668562</v>
      </c>
      <c r="L18" s="74">
        <f t="shared" si="10"/>
        <v>54592129.55887749</v>
      </c>
      <c r="M18" s="75"/>
      <c r="N18" s="76">
        <v>26888841.443717182</v>
      </c>
      <c r="O18" s="73">
        <v>39268.547444881988</v>
      </c>
      <c r="P18" s="73">
        <v>37072.648275267878</v>
      </c>
      <c r="Q18" s="73">
        <v>34819.798343156981</v>
      </c>
      <c r="R18" s="73">
        <v>31050.347242966705</v>
      </c>
      <c r="S18" s="73">
        <v>28912.30115868181</v>
      </c>
      <c r="T18" s="73">
        <v>27720</v>
      </c>
      <c r="U18" s="73">
        <v>20594</v>
      </c>
      <c r="V18" s="73">
        <v>20320</v>
      </c>
      <c r="W18" s="73">
        <v>87224.090666668562</v>
      </c>
      <c r="X18" s="77">
        <f t="shared" si="11"/>
        <v>27215823.176848806</v>
      </c>
      <c r="Y18" s="75"/>
      <c r="Z18" s="76">
        <v>25038349.742339227</v>
      </c>
      <c r="AA18" s="73">
        <v>2958.1585146348871</v>
      </c>
      <c r="AB18" s="73">
        <v>91.54718384901274</v>
      </c>
      <c r="AC18" s="73">
        <v>265.93399097743855</v>
      </c>
      <c r="AD18" s="73">
        <v>0</v>
      </c>
      <c r="AE18" s="73">
        <v>0</v>
      </c>
      <c r="AF18" s="73">
        <v>0</v>
      </c>
      <c r="AG18" s="73">
        <v>0</v>
      </c>
      <c r="AH18" s="73">
        <v>0</v>
      </c>
      <c r="AI18" s="73">
        <v>0</v>
      </c>
      <c r="AJ18" s="77">
        <f t="shared" si="12"/>
        <v>25041665.382028688</v>
      </c>
      <c r="AK18" s="75"/>
      <c r="AL18" s="72">
        <v>2334641</v>
      </c>
      <c r="AM18" s="73">
        <v>0</v>
      </c>
      <c r="AN18" s="73">
        <v>0</v>
      </c>
      <c r="AO18" s="73">
        <v>0</v>
      </c>
      <c r="AP18" s="73">
        <v>0</v>
      </c>
      <c r="AQ18" s="73">
        <v>0</v>
      </c>
      <c r="AR18" s="73">
        <v>0</v>
      </c>
      <c r="AS18" s="73">
        <v>0</v>
      </c>
      <c r="AT18" s="73">
        <v>0</v>
      </c>
      <c r="AU18" s="73">
        <v>0</v>
      </c>
      <c r="AV18" s="77">
        <f t="shared" si="13"/>
        <v>2334641</v>
      </c>
      <c r="AW18" s="52"/>
    </row>
    <row r="19" spans="1:49" s="71" customFormat="1">
      <c r="A19" s="71" t="s">
        <v>29</v>
      </c>
      <c r="B19" s="72">
        <f t="shared" si="0"/>
        <v>44571278.832996354</v>
      </c>
      <c r="C19" s="73">
        <f t="shared" si="1"/>
        <v>21058.942239161726</v>
      </c>
      <c r="D19" s="73">
        <f t="shared" si="2"/>
        <v>20216.881231170639</v>
      </c>
      <c r="E19" s="73">
        <f t="shared" si="3"/>
        <v>18125.971573111099</v>
      </c>
      <c r="F19" s="73">
        <f t="shared" si="4"/>
        <v>18681.389408970368</v>
      </c>
      <c r="G19" s="73">
        <f t="shared" si="5"/>
        <v>19258.777131253937</v>
      </c>
      <c r="H19" s="73">
        <f t="shared" si="6"/>
        <v>19227</v>
      </c>
      <c r="I19" s="73">
        <f t="shared" si="7"/>
        <v>16756</v>
      </c>
      <c r="J19" s="73">
        <f t="shared" si="8"/>
        <v>14121</v>
      </c>
      <c r="K19" s="73">
        <f t="shared" si="9"/>
        <v>49687.469179513857</v>
      </c>
      <c r="L19" s="74">
        <f t="shared" si="10"/>
        <v>44768412.263759539</v>
      </c>
      <c r="M19" s="75"/>
      <c r="N19" s="76">
        <v>27057818.041033529</v>
      </c>
      <c r="O19" s="73">
        <v>20727.357592773424</v>
      </c>
      <c r="P19" s="73">
        <v>20176.091281933932</v>
      </c>
      <c r="Q19" s="73">
        <v>18010.001976860523</v>
      </c>
      <c r="R19" s="73">
        <v>18681.389408970368</v>
      </c>
      <c r="S19" s="73">
        <v>19258.777131253937</v>
      </c>
      <c r="T19" s="73">
        <v>19227</v>
      </c>
      <c r="U19" s="73">
        <v>16756</v>
      </c>
      <c r="V19" s="73">
        <v>14121</v>
      </c>
      <c r="W19" s="73">
        <v>49687.469179513857</v>
      </c>
      <c r="X19" s="77">
        <f t="shared" si="11"/>
        <v>27254463.127604838</v>
      </c>
      <c r="Y19" s="75"/>
      <c r="Z19" s="76">
        <v>17513460.791962828</v>
      </c>
      <c r="AA19" s="73">
        <v>331.5846463883035</v>
      </c>
      <c r="AB19" s="73">
        <v>40.789949236705354</v>
      </c>
      <c r="AC19" s="73">
        <v>115.96959625057627</v>
      </c>
      <c r="AD19" s="73">
        <v>0</v>
      </c>
      <c r="AE19" s="73">
        <v>0</v>
      </c>
      <c r="AF19" s="73">
        <v>0</v>
      </c>
      <c r="AG19" s="73">
        <v>0</v>
      </c>
      <c r="AH19" s="73">
        <v>0</v>
      </c>
      <c r="AI19" s="73">
        <v>0</v>
      </c>
      <c r="AJ19" s="77">
        <f t="shared" si="12"/>
        <v>17513949.136154708</v>
      </c>
      <c r="AK19" s="75"/>
      <c r="AL19" s="72">
        <v>0</v>
      </c>
      <c r="AM19" s="73">
        <v>0</v>
      </c>
      <c r="AN19" s="73">
        <v>0</v>
      </c>
      <c r="AO19" s="73">
        <v>0</v>
      </c>
      <c r="AP19" s="73">
        <v>0</v>
      </c>
      <c r="AQ19" s="73">
        <v>0</v>
      </c>
      <c r="AR19" s="73">
        <v>0</v>
      </c>
      <c r="AS19" s="73">
        <v>0</v>
      </c>
      <c r="AT19" s="73">
        <v>0</v>
      </c>
      <c r="AU19" s="73">
        <v>0</v>
      </c>
      <c r="AV19" s="77">
        <f t="shared" si="13"/>
        <v>0</v>
      </c>
      <c r="AW19" s="52"/>
    </row>
    <row r="20" spans="1:49" s="71" customFormat="1">
      <c r="A20" s="71" t="s">
        <v>30</v>
      </c>
      <c r="B20" s="72">
        <f t="shared" si="0"/>
        <v>16434731.142787673</v>
      </c>
      <c r="C20" s="73">
        <f t="shared" si="1"/>
        <v>607.11414801773162</v>
      </c>
      <c r="D20" s="73">
        <f t="shared" si="2"/>
        <v>2255.4954932106475</v>
      </c>
      <c r="E20" s="73">
        <f t="shared" si="3"/>
        <v>2395.5618326185872</v>
      </c>
      <c r="F20" s="73">
        <f t="shared" si="4"/>
        <v>1400.4076076127208</v>
      </c>
      <c r="G20" s="73">
        <f t="shared" si="5"/>
        <v>1910.0097284909016</v>
      </c>
      <c r="H20" s="73">
        <f t="shared" si="6"/>
        <v>-1461</v>
      </c>
      <c r="I20" s="73">
        <f t="shared" si="7"/>
        <v>-40</v>
      </c>
      <c r="J20" s="73">
        <f t="shared" si="8"/>
        <v>-76</v>
      </c>
      <c r="K20" s="73">
        <f t="shared" si="9"/>
        <v>5313.7152631216632</v>
      </c>
      <c r="L20" s="74">
        <f t="shared" si="10"/>
        <v>16447036.446860744</v>
      </c>
      <c r="M20" s="75"/>
      <c r="N20" s="76">
        <v>7945514.1150552072</v>
      </c>
      <c r="O20" s="73">
        <v>-191.99689537632753</v>
      </c>
      <c r="P20" s="73">
        <v>2249.8632422904207</v>
      </c>
      <c r="Q20" s="73">
        <v>2379.161277977169</v>
      </c>
      <c r="R20" s="73">
        <v>1400.4076076127208</v>
      </c>
      <c r="S20" s="73">
        <v>1910.0097284909016</v>
      </c>
      <c r="T20" s="73">
        <v>-1461</v>
      </c>
      <c r="U20" s="73">
        <v>-40</v>
      </c>
      <c r="V20" s="73">
        <v>-76</v>
      </c>
      <c r="W20" s="73">
        <v>5313.7152631216632</v>
      </c>
      <c r="X20" s="77">
        <f t="shared" si="11"/>
        <v>7956998.2752793236</v>
      </c>
      <c r="Y20" s="75"/>
      <c r="Z20" s="76">
        <v>8489217.0277324654</v>
      </c>
      <c r="AA20" s="73">
        <v>799.11104339405915</v>
      </c>
      <c r="AB20" s="73">
        <v>5.6322509202270021</v>
      </c>
      <c r="AC20" s="73">
        <v>16.400554641418442</v>
      </c>
      <c r="AD20" s="73">
        <v>0</v>
      </c>
      <c r="AE20" s="73">
        <v>0</v>
      </c>
      <c r="AF20" s="73">
        <v>0</v>
      </c>
      <c r="AG20" s="73">
        <v>0</v>
      </c>
      <c r="AH20" s="73">
        <v>0</v>
      </c>
      <c r="AI20" s="73">
        <v>0</v>
      </c>
      <c r="AJ20" s="77">
        <f t="shared" si="12"/>
        <v>8490038.171581421</v>
      </c>
      <c r="AK20" s="75"/>
      <c r="AL20" s="72">
        <v>0</v>
      </c>
      <c r="AM20" s="73">
        <v>0</v>
      </c>
      <c r="AN20" s="73">
        <v>0</v>
      </c>
      <c r="AO20" s="73">
        <v>0</v>
      </c>
      <c r="AP20" s="73">
        <v>0</v>
      </c>
      <c r="AQ20" s="73">
        <v>0</v>
      </c>
      <c r="AR20" s="73">
        <v>0</v>
      </c>
      <c r="AS20" s="73">
        <v>0</v>
      </c>
      <c r="AT20" s="73">
        <v>0</v>
      </c>
      <c r="AU20" s="73">
        <v>0</v>
      </c>
      <c r="AV20" s="77">
        <f t="shared" si="13"/>
        <v>0</v>
      </c>
      <c r="AW20" s="52"/>
    </row>
    <row r="21" spans="1:49" s="71" customFormat="1">
      <c r="A21" s="71" t="s">
        <v>32</v>
      </c>
      <c r="B21" s="72">
        <f t="shared" si="0"/>
        <v>192477660.1082024</v>
      </c>
      <c r="C21" s="73">
        <f t="shared" si="1"/>
        <v>76259.877501742245</v>
      </c>
      <c r="D21" s="73">
        <f t="shared" si="2"/>
        <v>70147.601791205729</v>
      </c>
      <c r="E21" s="73">
        <f t="shared" si="3"/>
        <v>45707.397364314136</v>
      </c>
      <c r="F21" s="73">
        <f t="shared" si="4"/>
        <v>55410.267297489976</v>
      </c>
      <c r="G21" s="73">
        <f t="shared" si="5"/>
        <v>45297.064030012451</v>
      </c>
      <c r="H21" s="73">
        <f t="shared" si="6"/>
        <v>20730</v>
      </c>
      <c r="I21" s="73">
        <f t="shared" si="7"/>
        <v>12629</v>
      </c>
      <c r="J21" s="73">
        <f t="shared" si="8"/>
        <v>19369</v>
      </c>
      <c r="K21" s="73">
        <f t="shared" si="9"/>
        <v>159780.54887707083</v>
      </c>
      <c r="L21" s="74">
        <f t="shared" si="10"/>
        <v>192982990.86506423</v>
      </c>
      <c r="M21" s="75"/>
      <c r="N21" s="76">
        <v>76706856.631576598</v>
      </c>
      <c r="O21" s="73">
        <v>74278.061583075803</v>
      </c>
      <c r="P21" s="73">
        <v>69903.808323687233</v>
      </c>
      <c r="Q21" s="73">
        <v>45071.172405534278</v>
      </c>
      <c r="R21" s="73">
        <v>55410.267297489976</v>
      </c>
      <c r="S21" s="73">
        <v>45297.064030012451</v>
      </c>
      <c r="T21" s="73">
        <v>20730</v>
      </c>
      <c r="U21" s="73">
        <v>12629</v>
      </c>
      <c r="V21" s="73">
        <v>19369</v>
      </c>
      <c r="W21" s="73">
        <v>159780.54887707083</v>
      </c>
      <c r="X21" s="77">
        <f t="shared" si="11"/>
        <v>77209325.554093465</v>
      </c>
      <c r="Y21" s="75"/>
      <c r="Z21" s="76">
        <v>109225337.4766258</v>
      </c>
      <c r="AA21" s="73">
        <v>1981.8159186664407</v>
      </c>
      <c r="AB21" s="73">
        <v>243.79346751849556</v>
      </c>
      <c r="AC21" s="73">
        <v>636.22495877986069</v>
      </c>
      <c r="AD21" s="73">
        <v>0</v>
      </c>
      <c r="AE21" s="73">
        <v>0</v>
      </c>
      <c r="AF21" s="73">
        <v>0</v>
      </c>
      <c r="AG21" s="73">
        <v>0</v>
      </c>
      <c r="AH21" s="73">
        <v>0</v>
      </c>
      <c r="AI21" s="73">
        <v>0</v>
      </c>
      <c r="AJ21" s="77">
        <f t="shared" si="12"/>
        <v>109228199.31097077</v>
      </c>
      <c r="AK21" s="75"/>
      <c r="AL21" s="72">
        <v>6545466</v>
      </c>
      <c r="AM21" s="73">
        <v>0</v>
      </c>
      <c r="AN21" s="73">
        <v>0</v>
      </c>
      <c r="AO21" s="73">
        <v>0</v>
      </c>
      <c r="AP21" s="73">
        <v>0</v>
      </c>
      <c r="AQ21" s="73">
        <v>0</v>
      </c>
      <c r="AR21" s="73">
        <v>0</v>
      </c>
      <c r="AS21" s="73">
        <v>0</v>
      </c>
      <c r="AT21" s="73">
        <v>0</v>
      </c>
      <c r="AU21" s="73">
        <v>0</v>
      </c>
      <c r="AV21" s="77">
        <f t="shared" si="13"/>
        <v>6545466</v>
      </c>
      <c r="AW21" s="52"/>
    </row>
    <row r="22" spans="1:49" s="71" customFormat="1">
      <c r="A22" s="71" t="s">
        <v>34</v>
      </c>
      <c r="B22" s="72">
        <f t="shared" si="0"/>
        <v>42814293.06517534</v>
      </c>
      <c r="C22" s="73">
        <f t="shared" si="1"/>
        <v>10577.646113329867</v>
      </c>
      <c r="D22" s="73">
        <f t="shared" si="2"/>
        <v>10144.912500873714</v>
      </c>
      <c r="E22" s="73">
        <f t="shared" si="3"/>
        <v>6306.4219792563053</v>
      </c>
      <c r="F22" s="73">
        <f t="shared" si="4"/>
        <v>8002.7146309773798</v>
      </c>
      <c r="G22" s="73">
        <f t="shared" si="5"/>
        <v>6143.8926009524421</v>
      </c>
      <c r="H22" s="73">
        <f t="shared" si="6"/>
        <v>6906</v>
      </c>
      <c r="I22" s="73">
        <f t="shared" si="7"/>
        <v>5620</v>
      </c>
      <c r="J22" s="73">
        <f t="shared" si="8"/>
        <v>6517</v>
      </c>
      <c r="K22" s="73">
        <f t="shared" si="9"/>
        <v>26865.122295961053</v>
      </c>
      <c r="L22" s="74">
        <f t="shared" si="10"/>
        <v>42901376.775296688</v>
      </c>
      <c r="M22" s="75"/>
      <c r="N22" s="76">
        <v>14903738.178883675</v>
      </c>
      <c r="O22" s="73">
        <v>10266.10600005336</v>
      </c>
      <c r="P22" s="73">
        <v>10106.588333744259</v>
      </c>
      <c r="Q22" s="73">
        <v>6204.4563100096102</v>
      </c>
      <c r="R22" s="73">
        <v>8002.7146309773798</v>
      </c>
      <c r="S22" s="73">
        <v>6143.8926009524421</v>
      </c>
      <c r="T22" s="73">
        <v>6906</v>
      </c>
      <c r="U22" s="73">
        <v>5620</v>
      </c>
      <c r="V22" s="73">
        <v>6517</v>
      </c>
      <c r="W22" s="73">
        <v>26865.122295961053</v>
      </c>
      <c r="X22" s="77">
        <f t="shared" si="11"/>
        <v>14990370.059055373</v>
      </c>
      <c r="Y22" s="75"/>
      <c r="Z22" s="76">
        <v>27897243.886291668</v>
      </c>
      <c r="AA22" s="73">
        <v>311.54011327650755</v>
      </c>
      <c r="AB22" s="73">
        <v>38.324167129453784</v>
      </c>
      <c r="AC22" s="73">
        <v>101.96566924669503</v>
      </c>
      <c r="AD22" s="73">
        <v>0</v>
      </c>
      <c r="AE22" s="73">
        <v>0</v>
      </c>
      <c r="AF22" s="73">
        <v>0</v>
      </c>
      <c r="AG22" s="73">
        <v>0</v>
      </c>
      <c r="AH22" s="73">
        <v>0</v>
      </c>
      <c r="AI22" s="73">
        <v>0</v>
      </c>
      <c r="AJ22" s="77">
        <f t="shared" si="12"/>
        <v>27897695.716241322</v>
      </c>
      <c r="AK22" s="75"/>
      <c r="AL22" s="72">
        <v>13311</v>
      </c>
      <c r="AM22" s="73">
        <v>0</v>
      </c>
      <c r="AN22" s="73">
        <v>0</v>
      </c>
      <c r="AO22" s="73">
        <v>0</v>
      </c>
      <c r="AP22" s="73">
        <v>0</v>
      </c>
      <c r="AQ22" s="73">
        <v>0</v>
      </c>
      <c r="AR22" s="73">
        <v>0</v>
      </c>
      <c r="AS22" s="73">
        <v>0</v>
      </c>
      <c r="AT22" s="73">
        <v>0</v>
      </c>
      <c r="AU22" s="73">
        <v>0</v>
      </c>
      <c r="AV22" s="77">
        <f t="shared" si="13"/>
        <v>13311</v>
      </c>
      <c r="AW22" s="52"/>
    </row>
    <row r="23" spans="1:49" s="71" customFormat="1">
      <c r="A23" s="71" t="s">
        <v>36</v>
      </c>
      <c r="B23" s="72">
        <f t="shared" si="0"/>
        <v>34959769.316723295</v>
      </c>
      <c r="C23" s="73">
        <f t="shared" si="1"/>
        <v>29342.54630304666</v>
      </c>
      <c r="D23" s="73">
        <f t="shared" si="2"/>
        <v>30967.252704253176</v>
      </c>
      <c r="E23" s="73">
        <f t="shared" si="3"/>
        <v>9380.9543540155792</v>
      </c>
      <c r="F23" s="73">
        <f t="shared" si="4"/>
        <v>17466.559902866833</v>
      </c>
      <c r="G23" s="73">
        <f t="shared" si="5"/>
        <v>-3470.1178689425888</v>
      </c>
      <c r="H23" s="73">
        <f t="shared" si="6"/>
        <v>6201</v>
      </c>
      <c r="I23" s="73">
        <f t="shared" si="7"/>
        <v>7179</v>
      </c>
      <c r="J23" s="73">
        <f t="shared" si="8"/>
        <v>3164</v>
      </c>
      <c r="K23" s="73">
        <f t="shared" si="9"/>
        <v>90605.148194848778</v>
      </c>
      <c r="L23" s="74">
        <f t="shared" si="10"/>
        <v>35150605.66031339</v>
      </c>
      <c r="M23" s="75"/>
      <c r="N23" s="76">
        <v>12815240.483540323</v>
      </c>
      <c r="O23" s="73">
        <v>28330.141377427073</v>
      </c>
      <c r="P23" s="73">
        <v>30842.711517039541</v>
      </c>
      <c r="Q23" s="73">
        <v>9052.9807017046696</v>
      </c>
      <c r="R23" s="73">
        <v>17466.559902866833</v>
      </c>
      <c r="S23" s="73">
        <v>-3470.1178689425888</v>
      </c>
      <c r="T23" s="73">
        <v>6201</v>
      </c>
      <c r="U23" s="73">
        <v>7179</v>
      </c>
      <c r="V23" s="73">
        <v>3164</v>
      </c>
      <c r="W23" s="73">
        <v>90605.148194848778</v>
      </c>
      <c r="X23" s="77">
        <f t="shared" si="11"/>
        <v>13004611.907365268</v>
      </c>
      <c r="Y23" s="75"/>
      <c r="Z23" s="76">
        <v>22103706.833182972</v>
      </c>
      <c r="AA23" s="73">
        <v>1012.4049256195868</v>
      </c>
      <c r="AB23" s="73">
        <v>124.54118721363723</v>
      </c>
      <c r="AC23" s="73">
        <v>327.97365231090902</v>
      </c>
      <c r="AD23" s="73">
        <v>0</v>
      </c>
      <c r="AE23" s="73">
        <v>0</v>
      </c>
      <c r="AF23" s="73">
        <v>0</v>
      </c>
      <c r="AG23" s="73">
        <v>0</v>
      </c>
      <c r="AH23" s="73">
        <v>0</v>
      </c>
      <c r="AI23" s="73">
        <v>0</v>
      </c>
      <c r="AJ23" s="77">
        <f t="shared" si="12"/>
        <v>22105171.752948113</v>
      </c>
      <c r="AK23" s="75"/>
      <c r="AL23" s="72">
        <v>40822</v>
      </c>
      <c r="AM23" s="73">
        <v>0</v>
      </c>
      <c r="AN23" s="73">
        <v>0</v>
      </c>
      <c r="AO23" s="73">
        <v>0</v>
      </c>
      <c r="AP23" s="73">
        <v>0</v>
      </c>
      <c r="AQ23" s="73">
        <v>0</v>
      </c>
      <c r="AR23" s="73">
        <v>0</v>
      </c>
      <c r="AS23" s="73">
        <v>0</v>
      </c>
      <c r="AT23" s="73">
        <v>0</v>
      </c>
      <c r="AU23" s="73">
        <v>0</v>
      </c>
      <c r="AV23" s="77">
        <f t="shared" si="13"/>
        <v>40822</v>
      </c>
      <c r="AW23" s="52"/>
    </row>
    <row r="24" spans="1:49" s="71" customFormat="1">
      <c r="A24" s="71" t="s">
        <v>38</v>
      </c>
      <c r="B24" s="72">
        <f t="shared" si="0"/>
        <v>35907937.701360762</v>
      </c>
      <c r="C24" s="73">
        <f t="shared" si="1"/>
        <v>11144.898379574568</v>
      </c>
      <c r="D24" s="73">
        <f t="shared" si="2"/>
        <v>10960.181538916697</v>
      </c>
      <c r="E24" s="73">
        <f t="shared" si="3"/>
        <v>15485.85319361626</v>
      </c>
      <c r="F24" s="73">
        <f t="shared" si="4"/>
        <v>3288.0074986780965</v>
      </c>
      <c r="G24" s="73">
        <f t="shared" si="5"/>
        <v>1976.3398877735858</v>
      </c>
      <c r="H24" s="73">
        <f t="shared" si="6"/>
        <v>4777</v>
      </c>
      <c r="I24" s="73">
        <f t="shared" si="7"/>
        <v>5283</v>
      </c>
      <c r="J24" s="73">
        <f t="shared" si="8"/>
        <v>4841</v>
      </c>
      <c r="K24" s="73">
        <f t="shared" si="9"/>
        <v>30846.926539767319</v>
      </c>
      <c r="L24" s="74">
        <f t="shared" si="10"/>
        <v>35996540.90839909</v>
      </c>
      <c r="M24" s="75"/>
      <c r="N24" s="76">
        <v>24885392.023761224</v>
      </c>
      <c r="O24" s="73">
        <v>10952.380302211415</v>
      </c>
      <c r="P24" s="73">
        <v>10936.498890493962</v>
      </c>
      <c r="Q24" s="73">
        <v>15430.562526376791</v>
      </c>
      <c r="R24" s="73">
        <v>3288.0074986780965</v>
      </c>
      <c r="S24" s="73">
        <v>1976.3398877735858</v>
      </c>
      <c r="T24" s="73">
        <v>4777</v>
      </c>
      <c r="U24" s="73">
        <v>5283</v>
      </c>
      <c r="V24" s="73">
        <v>4841</v>
      </c>
      <c r="W24" s="73">
        <v>30846.926539767319</v>
      </c>
      <c r="X24" s="77">
        <f t="shared" si="11"/>
        <v>24973723.739406522</v>
      </c>
      <c r="Y24" s="75"/>
      <c r="Z24" s="76">
        <v>11022545.67759954</v>
      </c>
      <c r="AA24" s="73">
        <v>192.51807736315274</v>
      </c>
      <c r="AB24" s="73">
        <v>23.682648422735046</v>
      </c>
      <c r="AC24" s="73">
        <v>55.290667239468952</v>
      </c>
      <c r="AD24" s="73">
        <v>0</v>
      </c>
      <c r="AE24" s="73">
        <v>0</v>
      </c>
      <c r="AF24" s="73">
        <v>0</v>
      </c>
      <c r="AG24" s="73">
        <v>0</v>
      </c>
      <c r="AH24" s="73">
        <v>0</v>
      </c>
      <c r="AI24" s="73">
        <v>0</v>
      </c>
      <c r="AJ24" s="77">
        <f t="shared" si="12"/>
        <v>11022817.168992564</v>
      </c>
      <c r="AK24" s="75"/>
      <c r="AL24" s="72">
        <v>0</v>
      </c>
      <c r="AM24" s="73">
        <v>0</v>
      </c>
      <c r="AN24" s="73">
        <v>0</v>
      </c>
      <c r="AO24" s="73">
        <v>0</v>
      </c>
      <c r="AP24" s="73">
        <v>0</v>
      </c>
      <c r="AQ24" s="73">
        <v>0</v>
      </c>
      <c r="AR24" s="73">
        <v>0</v>
      </c>
      <c r="AS24" s="73">
        <v>0</v>
      </c>
      <c r="AT24" s="73">
        <v>0</v>
      </c>
      <c r="AU24" s="73">
        <v>0</v>
      </c>
      <c r="AV24" s="77">
        <f t="shared" si="13"/>
        <v>0</v>
      </c>
      <c r="AW24" s="52"/>
    </row>
    <row r="25" spans="1:49" s="71" customFormat="1">
      <c r="A25" s="71" t="s">
        <v>40</v>
      </c>
      <c r="B25" s="72">
        <f t="shared" si="0"/>
        <v>36573995.60584642</v>
      </c>
      <c r="C25" s="73">
        <f t="shared" si="1"/>
        <v>4840.544449904577</v>
      </c>
      <c r="D25" s="73">
        <f t="shared" si="2"/>
        <v>4483.3763484328756</v>
      </c>
      <c r="E25" s="73">
        <f t="shared" si="3"/>
        <v>5093.8731640169435</v>
      </c>
      <c r="F25" s="73">
        <f t="shared" si="4"/>
        <v>4756.005270703663</v>
      </c>
      <c r="G25" s="73">
        <f t="shared" si="5"/>
        <v>4212.4317799585024</v>
      </c>
      <c r="H25" s="73">
        <f t="shared" si="6"/>
        <v>4149</v>
      </c>
      <c r="I25" s="73">
        <f t="shared" si="7"/>
        <v>103</v>
      </c>
      <c r="J25" s="73">
        <f t="shared" si="8"/>
        <v>2290</v>
      </c>
      <c r="K25" s="73">
        <f t="shared" si="9"/>
        <v>13387.446958684963</v>
      </c>
      <c r="L25" s="74">
        <f t="shared" si="10"/>
        <v>36617311.283818126</v>
      </c>
      <c r="M25" s="75"/>
      <c r="N25" s="76">
        <v>13240836.497414678</v>
      </c>
      <c r="O25" s="73">
        <v>4693.043621039852</v>
      </c>
      <c r="P25" s="73">
        <v>4465.2315055178078</v>
      </c>
      <c r="Q25" s="73">
        <v>5044.247780157858</v>
      </c>
      <c r="R25" s="73">
        <v>4756.005270703663</v>
      </c>
      <c r="S25" s="73">
        <v>4212.4317799585024</v>
      </c>
      <c r="T25" s="73">
        <v>4149</v>
      </c>
      <c r="U25" s="73">
        <v>103</v>
      </c>
      <c r="V25" s="73">
        <v>2290</v>
      </c>
      <c r="W25" s="73">
        <v>13387.446958684963</v>
      </c>
      <c r="X25" s="77">
        <f t="shared" si="11"/>
        <v>13283936.904330738</v>
      </c>
      <c r="Y25" s="75"/>
      <c r="Z25" s="76">
        <v>23333159.108431738</v>
      </c>
      <c r="AA25" s="73">
        <v>147.50082886472475</v>
      </c>
      <c r="AB25" s="73">
        <v>18.144842915067851</v>
      </c>
      <c r="AC25" s="73">
        <v>49.625383859085403</v>
      </c>
      <c r="AD25" s="73">
        <v>0</v>
      </c>
      <c r="AE25" s="73">
        <v>0</v>
      </c>
      <c r="AF25" s="73">
        <v>0</v>
      </c>
      <c r="AG25" s="73">
        <v>0</v>
      </c>
      <c r="AH25" s="73">
        <v>0</v>
      </c>
      <c r="AI25" s="73">
        <v>0</v>
      </c>
      <c r="AJ25" s="77">
        <f t="shared" si="12"/>
        <v>23333374.379487377</v>
      </c>
      <c r="AK25" s="75"/>
      <c r="AL25" s="72">
        <v>0</v>
      </c>
      <c r="AM25" s="73">
        <v>0</v>
      </c>
      <c r="AN25" s="73">
        <v>0</v>
      </c>
      <c r="AO25" s="73">
        <v>0</v>
      </c>
      <c r="AP25" s="73">
        <v>0</v>
      </c>
      <c r="AQ25" s="73">
        <v>0</v>
      </c>
      <c r="AR25" s="73">
        <v>0</v>
      </c>
      <c r="AS25" s="73">
        <v>0</v>
      </c>
      <c r="AT25" s="73">
        <v>0</v>
      </c>
      <c r="AU25" s="73">
        <v>0</v>
      </c>
      <c r="AV25" s="77">
        <f t="shared" si="13"/>
        <v>0</v>
      </c>
      <c r="AW25" s="52"/>
    </row>
    <row r="26" spans="1:49" s="71" customFormat="1">
      <c r="A26" s="71" t="s">
        <v>42</v>
      </c>
      <c r="B26" s="72">
        <f t="shared" si="0"/>
        <v>0</v>
      </c>
      <c r="C26" s="73">
        <f t="shared" si="1"/>
        <v>0</v>
      </c>
      <c r="D26" s="73">
        <f t="shared" si="2"/>
        <v>0</v>
      </c>
      <c r="E26" s="73">
        <f t="shared" si="3"/>
        <v>0</v>
      </c>
      <c r="F26" s="73">
        <f t="shared" si="4"/>
        <v>0</v>
      </c>
      <c r="G26" s="73">
        <f t="shared" si="5"/>
        <v>0</v>
      </c>
      <c r="H26" s="73">
        <f t="shared" si="6"/>
        <v>0</v>
      </c>
      <c r="I26" s="73">
        <f t="shared" si="7"/>
        <v>0</v>
      </c>
      <c r="J26" s="73">
        <f t="shared" si="8"/>
        <v>0</v>
      </c>
      <c r="K26" s="73">
        <f t="shared" si="9"/>
        <v>0</v>
      </c>
      <c r="L26" s="74">
        <f t="shared" si="10"/>
        <v>0</v>
      </c>
      <c r="M26" s="75"/>
      <c r="N26" s="76">
        <v>0</v>
      </c>
      <c r="O26" s="73">
        <v>0</v>
      </c>
      <c r="P26" s="73">
        <v>0</v>
      </c>
      <c r="Q26" s="73">
        <v>0</v>
      </c>
      <c r="R26" s="73">
        <v>0</v>
      </c>
      <c r="S26" s="73">
        <v>0</v>
      </c>
      <c r="T26" s="73">
        <v>0</v>
      </c>
      <c r="U26" s="73">
        <v>0</v>
      </c>
      <c r="V26" s="73">
        <v>0</v>
      </c>
      <c r="W26" s="73">
        <v>0</v>
      </c>
      <c r="X26" s="77">
        <f t="shared" si="11"/>
        <v>0</v>
      </c>
      <c r="Y26" s="75"/>
      <c r="Z26" s="76">
        <v>0</v>
      </c>
      <c r="AA26" s="73">
        <v>0</v>
      </c>
      <c r="AB26" s="73">
        <v>0</v>
      </c>
      <c r="AC26" s="73">
        <v>0</v>
      </c>
      <c r="AD26" s="73">
        <v>0</v>
      </c>
      <c r="AE26" s="73">
        <v>0</v>
      </c>
      <c r="AF26" s="73">
        <v>0</v>
      </c>
      <c r="AG26" s="73">
        <v>0</v>
      </c>
      <c r="AH26" s="73">
        <v>0</v>
      </c>
      <c r="AI26" s="73">
        <v>0</v>
      </c>
      <c r="AJ26" s="77">
        <f t="shared" si="12"/>
        <v>0</v>
      </c>
      <c r="AK26" s="75"/>
      <c r="AL26" s="72">
        <v>0</v>
      </c>
      <c r="AM26" s="73">
        <v>0</v>
      </c>
      <c r="AN26" s="73">
        <v>0</v>
      </c>
      <c r="AO26" s="73">
        <v>0</v>
      </c>
      <c r="AP26" s="73">
        <v>0</v>
      </c>
      <c r="AQ26" s="73">
        <v>0</v>
      </c>
      <c r="AR26" s="73">
        <v>0</v>
      </c>
      <c r="AS26" s="73">
        <v>0</v>
      </c>
      <c r="AT26" s="73">
        <v>0</v>
      </c>
      <c r="AU26" s="73">
        <v>0</v>
      </c>
      <c r="AV26" s="77">
        <f t="shared" si="13"/>
        <v>0</v>
      </c>
      <c r="AW26" s="52"/>
    </row>
    <row r="27" spans="1:49" s="71" customFormat="1">
      <c r="A27" s="71" t="s">
        <v>44</v>
      </c>
      <c r="B27" s="72">
        <f t="shared" si="0"/>
        <v>0</v>
      </c>
      <c r="C27" s="73">
        <f t="shared" si="1"/>
        <v>0</v>
      </c>
      <c r="D27" s="73">
        <f t="shared" si="2"/>
        <v>0</v>
      </c>
      <c r="E27" s="73">
        <f t="shared" si="3"/>
        <v>0</v>
      </c>
      <c r="F27" s="73">
        <f t="shared" si="4"/>
        <v>0</v>
      </c>
      <c r="G27" s="73">
        <v>0</v>
      </c>
      <c r="H27" s="73">
        <f t="shared" si="6"/>
        <v>0</v>
      </c>
      <c r="I27" s="73">
        <f t="shared" si="7"/>
        <v>0</v>
      </c>
      <c r="J27" s="73">
        <f t="shared" si="8"/>
        <v>0</v>
      </c>
      <c r="K27" s="73">
        <f t="shared" si="9"/>
        <v>0</v>
      </c>
      <c r="L27" s="74">
        <f t="shared" si="10"/>
        <v>0</v>
      </c>
      <c r="M27" s="75"/>
      <c r="N27" s="76">
        <v>0</v>
      </c>
      <c r="O27" s="73">
        <v>0</v>
      </c>
      <c r="P27" s="73">
        <v>0</v>
      </c>
      <c r="Q27" s="73">
        <v>0</v>
      </c>
      <c r="R27" s="73">
        <v>0</v>
      </c>
      <c r="S27" s="73">
        <v>0</v>
      </c>
      <c r="T27" s="73">
        <v>0</v>
      </c>
      <c r="U27" s="73">
        <v>0</v>
      </c>
      <c r="V27" s="73">
        <v>0</v>
      </c>
      <c r="W27" s="73">
        <v>0</v>
      </c>
      <c r="X27" s="77">
        <f t="shared" si="11"/>
        <v>0</v>
      </c>
      <c r="Y27" s="75"/>
      <c r="Z27" s="76">
        <v>0</v>
      </c>
      <c r="AA27" s="73">
        <v>0</v>
      </c>
      <c r="AB27" s="73">
        <v>0</v>
      </c>
      <c r="AC27" s="73">
        <v>0</v>
      </c>
      <c r="AD27" s="73">
        <v>0</v>
      </c>
      <c r="AE27" s="73">
        <v>0</v>
      </c>
      <c r="AF27" s="73">
        <v>0</v>
      </c>
      <c r="AG27" s="73">
        <v>0</v>
      </c>
      <c r="AH27" s="73">
        <v>0</v>
      </c>
      <c r="AI27" s="73">
        <v>0</v>
      </c>
      <c r="AJ27" s="77">
        <f t="shared" si="12"/>
        <v>0</v>
      </c>
      <c r="AK27" s="75"/>
      <c r="AL27" s="72">
        <v>0</v>
      </c>
      <c r="AM27" s="73">
        <v>0</v>
      </c>
      <c r="AN27" s="73">
        <v>0</v>
      </c>
      <c r="AO27" s="73">
        <v>0</v>
      </c>
      <c r="AP27" s="73">
        <v>0</v>
      </c>
      <c r="AQ27" s="73">
        <v>0</v>
      </c>
      <c r="AR27" s="73">
        <v>0</v>
      </c>
      <c r="AS27" s="73">
        <v>0</v>
      </c>
      <c r="AT27" s="73">
        <v>0</v>
      </c>
      <c r="AU27" s="73">
        <v>0</v>
      </c>
      <c r="AV27" s="77">
        <f t="shared" si="13"/>
        <v>0</v>
      </c>
      <c r="AW27" s="52"/>
    </row>
    <row r="28" spans="1:49" s="71" customFormat="1">
      <c r="A28" s="71" t="s">
        <v>45</v>
      </c>
      <c r="B28" s="72">
        <f t="shared" si="0"/>
        <v>39762526.947994106</v>
      </c>
      <c r="C28" s="73">
        <f t="shared" si="1"/>
        <v>5811231.2838887498</v>
      </c>
      <c r="D28" s="73">
        <f t="shared" si="2"/>
        <v>25689.506606020219</v>
      </c>
      <c r="E28" s="73">
        <f t="shared" si="3"/>
        <v>18907.305581235505</v>
      </c>
      <c r="F28" s="73">
        <f t="shared" si="4"/>
        <v>-8986.2370403844034</v>
      </c>
      <c r="G28" s="73">
        <f t="shared" si="5"/>
        <v>4914.180034304095</v>
      </c>
      <c r="H28" s="73">
        <f t="shared" si="6"/>
        <v>4950</v>
      </c>
      <c r="I28" s="73">
        <f t="shared" si="7"/>
        <v>2739</v>
      </c>
      <c r="J28" s="73">
        <f t="shared" si="8"/>
        <v>4128</v>
      </c>
      <c r="K28" s="73">
        <f t="shared" si="9"/>
        <v>50996.987510588442</v>
      </c>
      <c r="L28" s="74">
        <f t="shared" si="10"/>
        <v>45677096.974574618</v>
      </c>
      <c r="M28" s="75"/>
      <c r="N28" s="76">
        <v>15953193.800902065</v>
      </c>
      <c r="O28" s="73">
        <v>2724604.7633928526</v>
      </c>
      <c r="P28" s="73">
        <v>21954.573472113021</v>
      </c>
      <c r="Q28" s="73">
        <v>20332.842964216379</v>
      </c>
      <c r="R28" s="73">
        <v>-8986.2370403844034</v>
      </c>
      <c r="S28" s="73">
        <v>4914.180034304095</v>
      </c>
      <c r="T28" s="73">
        <v>4950</v>
      </c>
      <c r="U28" s="73">
        <v>2739</v>
      </c>
      <c r="V28" s="73">
        <v>4128</v>
      </c>
      <c r="W28" s="73">
        <v>50996.987510588442</v>
      </c>
      <c r="X28" s="77">
        <f t="shared" si="11"/>
        <v>18778827.911235757</v>
      </c>
      <c r="Y28" s="75"/>
      <c r="Z28" s="76">
        <v>18078463.147092041</v>
      </c>
      <c r="AA28" s="73">
        <v>3086626.5204958972</v>
      </c>
      <c r="AB28" s="73">
        <v>3734.9331339071964</v>
      </c>
      <c r="AC28" s="73">
        <v>-1425.5373829808734</v>
      </c>
      <c r="AD28" s="73">
        <v>0</v>
      </c>
      <c r="AE28" s="73">
        <v>0</v>
      </c>
      <c r="AF28" s="73">
        <v>0</v>
      </c>
      <c r="AG28" s="73">
        <v>0</v>
      </c>
      <c r="AH28" s="73">
        <v>0</v>
      </c>
      <c r="AI28" s="73">
        <v>0</v>
      </c>
      <c r="AJ28" s="77">
        <f t="shared" si="12"/>
        <v>21167399.063338861</v>
      </c>
      <c r="AK28" s="75"/>
      <c r="AL28" s="72">
        <v>5730870</v>
      </c>
      <c r="AM28" s="73">
        <v>0</v>
      </c>
      <c r="AN28" s="73">
        <v>0</v>
      </c>
      <c r="AO28" s="73">
        <v>0</v>
      </c>
      <c r="AP28" s="73">
        <v>0</v>
      </c>
      <c r="AQ28" s="73">
        <v>0</v>
      </c>
      <c r="AR28" s="73">
        <v>0</v>
      </c>
      <c r="AS28" s="73">
        <v>0</v>
      </c>
      <c r="AT28" s="73">
        <v>0</v>
      </c>
      <c r="AU28" s="73">
        <v>0</v>
      </c>
      <c r="AV28" s="77">
        <f t="shared" si="13"/>
        <v>5730870</v>
      </c>
      <c r="AW28" s="52"/>
    </row>
    <row r="29" spans="1:49" s="71" customFormat="1">
      <c r="A29" s="71" t="s">
        <v>47</v>
      </c>
      <c r="B29" s="72">
        <f t="shared" si="0"/>
        <v>86560138.658119261</v>
      </c>
      <c r="C29" s="73">
        <f t="shared" si="1"/>
        <v>52106.911433044312</v>
      </c>
      <c r="D29" s="73">
        <f t="shared" si="2"/>
        <v>34343.57891867507</v>
      </c>
      <c r="E29" s="73">
        <f t="shared" si="3"/>
        <v>28447.636932794376</v>
      </c>
      <c r="F29" s="73">
        <f t="shared" si="4"/>
        <v>32081.265347660064</v>
      </c>
      <c r="G29" s="73">
        <f t="shared" si="5"/>
        <v>30554.03373978833</v>
      </c>
      <c r="H29" s="73">
        <f t="shared" si="6"/>
        <v>5741</v>
      </c>
      <c r="I29" s="73">
        <f t="shared" si="7"/>
        <v>16383</v>
      </c>
      <c r="J29" s="73">
        <f t="shared" si="8"/>
        <v>14446</v>
      </c>
      <c r="K29" s="73">
        <f t="shared" si="9"/>
        <v>32697.260549767838</v>
      </c>
      <c r="L29" s="74">
        <f t="shared" si="10"/>
        <v>86806939.345040992</v>
      </c>
      <c r="M29" s="75"/>
      <c r="N29" s="76">
        <v>42516159.212992013</v>
      </c>
      <c r="O29" s="73">
        <v>47298.680110202178</v>
      </c>
      <c r="P29" s="73">
        <v>34219.944077678316</v>
      </c>
      <c r="Q29" s="73">
        <v>28140.55808294833</v>
      </c>
      <c r="R29" s="73">
        <v>32081.265347660064</v>
      </c>
      <c r="S29" s="73">
        <v>30554.03373978833</v>
      </c>
      <c r="T29" s="73">
        <v>5741</v>
      </c>
      <c r="U29" s="73">
        <v>16383</v>
      </c>
      <c r="V29" s="73">
        <v>14446</v>
      </c>
      <c r="W29" s="73">
        <v>32697.260549767838</v>
      </c>
      <c r="X29" s="77">
        <f t="shared" si="11"/>
        <v>42757720.954900056</v>
      </c>
      <c r="Y29" s="75"/>
      <c r="Z29" s="76">
        <v>44043979.445127256</v>
      </c>
      <c r="AA29" s="73">
        <v>4808.2313228421308</v>
      </c>
      <c r="AB29" s="73">
        <v>123.63484099675746</v>
      </c>
      <c r="AC29" s="73">
        <v>307.07884984604527</v>
      </c>
      <c r="AD29" s="73">
        <v>0</v>
      </c>
      <c r="AE29" s="73">
        <v>0</v>
      </c>
      <c r="AF29" s="73">
        <v>0</v>
      </c>
      <c r="AG29" s="73">
        <v>0</v>
      </c>
      <c r="AH29" s="73">
        <v>0</v>
      </c>
      <c r="AI29" s="73">
        <v>0</v>
      </c>
      <c r="AJ29" s="77">
        <f t="shared" si="12"/>
        <v>44049218.390140936</v>
      </c>
      <c r="AK29" s="75"/>
      <c r="AL29" s="72">
        <v>0</v>
      </c>
      <c r="AM29" s="73">
        <v>0</v>
      </c>
      <c r="AN29" s="73">
        <v>0</v>
      </c>
      <c r="AO29" s="73">
        <v>0</v>
      </c>
      <c r="AP29" s="73">
        <v>0</v>
      </c>
      <c r="AQ29" s="73">
        <v>0</v>
      </c>
      <c r="AR29" s="73">
        <v>0</v>
      </c>
      <c r="AS29" s="73">
        <v>0</v>
      </c>
      <c r="AT29" s="73">
        <v>0</v>
      </c>
      <c r="AU29" s="73">
        <v>0</v>
      </c>
      <c r="AV29" s="77">
        <f t="shared" si="13"/>
        <v>0</v>
      </c>
      <c r="AW29" s="52"/>
    </row>
    <row r="30" spans="1:49" s="71" customFormat="1">
      <c r="A30" s="71" t="s">
        <v>49</v>
      </c>
      <c r="B30" s="72">
        <f t="shared" si="0"/>
        <v>0</v>
      </c>
      <c r="C30" s="73">
        <f t="shared" si="1"/>
        <v>0</v>
      </c>
      <c r="D30" s="73">
        <f t="shared" si="2"/>
        <v>0</v>
      </c>
      <c r="E30" s="73">
        <f t="shared" si="3"/>
        <v>0</v>
      </c>
      <c r="F30" s="73">
        <f t="shared" si="4"/>
        <v>0</v>
      </c>
      <c r="G30" s="73">
        <f t="shared" si="5"/>
        <v>0</v>
      </c>
      <c r="H30" s="73">
        <f t="shared" si="6"/>
        <v>0</v>
      </c>
      <c r="I30" s="73">
        <f t="shared" si="7"/>
        <v>0</v>
      </c>
      <c r="J30" s="73">
        <f t="shared" si="8"/>
        <v>0</v>
      </c>
      <c r="K30" s="73">
        <f t="shared" si="9"/>
        <v>0</v>
      </c>
      <c r="L30" s="74">
        <f t="shared" si="10"/>
        <v>0</v>
      </c>
      <c r="M30" s="75"/>
      <c r="N30" s="76">
        <v>0</v>
      </c>
      <c r="O30" s="73">
        <v>0</v>
      </c>
      <c r="P30" s="73">
        <v>0</v>
      </c>
      <c r="Q30" s="73">
        <v>0</v>
      </c>
      <c r="R30" s="73">
        <v>0</v>
      </c>
      <c r="S30" s="73">
        <v>0</v>
      </c>
      <c r="T30" s="73">
        <v>0</v>
      </c>
      <c r="U30" s="73">
        <v>0</v>
      </c>
      <c r="V30" s="73">
        <v>0</v>
      </c>
      <c r="W30" s="73">
        <v>0</v>
      </c>
      <c r="X30" s="77">
        <f t="shared" si="11"/>
        <v>0</v>
      </c>
      <c r="Y30" s="75"/>
      <c r="Z30" s="76">
        <v>0</v>
      </c>
      <c r="AA30" s="73">
        <v>0</v>
      </c>
      <c r="AB30" s="73">
        <v>0</v>
      </c>
      <c r="AC30" s="73">
        <v>0</v>
      </c>
      <c r="AD30" s="73">
        <v>0</v>
      </c>
      <c r="AE30" s="73">
        <v>0</v>
      </c>
      <c r="AF30" s="73">
        <v>0</v>
      </c>
      <c r="AG30" s="73">
        <v>0</v>
      </c>
      <c r="AH30" s="73">
        <v>0</v>
      </c>
      <c r="AI30" s="73">
        <v>0</v>
      </c>
      <c r="AJ30" s="77">
        <f t="shared" si="12"/>
        <v>0</v>
      </c>
      <c r="AK30" s="75"/>
      <c r="AL30" s="72">
        <v>0</v>
      </c>
      <c r="AM30" s="73">
        <v>0</v>
      </c>
      <c r="AN30" s="73">
        <v>0</v>
      </c>
      <c r="AO30" s="73">
        <v>0</v>
      </c>
      <c r="AP30" s="73">
        <v>0</v>
      </c>
      <c r="AQ30" s="73">
        <v>0</v>
      </c>
      <c r="AR30" s="73">
        <v>0</v>
      </c>
      <c r="AS30" s="73">
        <v>0</v>
      </c>
      <c r="AT30" s="73">
        <v>0</v>
      </c>
      <c r="AU30" s="73">
        <v>0</v>
      </c>
      <c r="AV30" s="77">
        <f t="shared" si="13"/>
        <v>0</v>
      </c>
      <c r="AW30" s="52"/>
    </row>
    <row r="31" spans="1:49" s="71" customFormat="1">
      <c r="A31" s="71" t="s">
        <v>50</v>
      </c>
      <c r="B31" s="72">
        <f t="shared" si="0"/>
        <v>50607761.411740676</v>
      </c>
      <c r="C31" s="73">
        <f t="shared" si="1"/>
        <v>25377.901626291445</v>
      </c>
      <c r="D31" s="73">
        <f t="shared" si="2"/>
        <v>20959.586410485761</v>
      </c>
      <c r="E31" s="73">
        <f t="shared" si="3"/>
        <v>24022.510096721631</v>
      </c>
      <c r="F31" s="73">
        <f t="shared" si="4"/>
        <v>17610.342640326409</v>
      </c>
      <c r="G31" s="73">
        <f t="shared" si="5"/>
        <v>15917.326079426255</v>
      </c>
      <c r="H31" s="73">
        <f t="shared" si="6"/>
        <v>16313</v>
      </c>
      <c r="I31" s="73">
        <f t="shared" si="7"/>
        <v>-5948</v>
      </c>
      <c r="J31" s="73">
        <f t="shared" si="8"/>
        <v>3679</v>
      </c>
      <c r="K31" s="73">
        <f t="shared" si="9"/>
        <v>60704.664275929223</v>
      </c>
      <c r="L31" s="74">
        <f t="shared" si="10"/>
        <v>50786397.742869854</v>
      </c>
      <c r="M31" s="75"/>
      <c r="N31" s="76">
        <v>14378966.577053685</v>
      </c>
      <c r="O31" s="73">
        <v>24612.879772769189</v>
      </c>
      <c r="P31" s="73">
        <v>20865.477099605305</v>
      </c>
      <c r="Q31" s="73">
        <v>23778.586166030291</v>
      </c>
      <c r="R31" s="73">
        <v>17610.342640326409</v>
      </c>
      <c r="S31" s="73">
        <v>15917.326079426255</v>
      </c>
      <c r="T31" s="73">
        <v>16313</v>
      </c>
      <c r="U31" s="73">
        <v>-5948</v>
      </c>
      <c r="V31" s="73">
        <v>3679</v>
      </c>
      <c r="W31" s="73">
        <v>60704.664275929223</v>
      </c>
      <c r="X31" s="77">
        <f t="shared" si="11"/>
        <v>14556499.853087772</v>
      </c>
      <c r="Y31" s="75"/>
      <c r="Z31" s="76">
        <v>36218185.834686995</v>
      </c>
      <c r="AA31" s="73">
        <v>765.02185352225706</v>
      </c>
      <c r="AB31" s="73">
        <v>94.109310880456547</v>
      </c>
      <c r="AC31" s="73">
        <v>243.92393069133999</v>
      </c>
      <c r="AD31" s="73">
        <v>0</v>
      </c>
      <c r="AE31" s="73">
        <v>0</v>
      </c>
      <c r="AF31" s="73">
        <v>0</v>
      </c>
      <c r="AG31" s="73">
        <v>0</v>
      </c>
      <c r="AH31" s="73">
        <v>0</v>
      </c>
      <c r="AI31" s="73">
        <v>0</v>
      </c>
      <c r="AJ31" s="77">
        <f t="shared" si="12"/>
        <v>36219288.889782086</v>
      </c>
      <c r="AK31" s="75"/>
      <c r="AL31" s="72">
        <v>10609</v>
      </c>
      <c r="AM31" s="73">
        <v>0</v>
      </c>
      <c r="AN31" s="73">
        <v>0</v>
      </c>
      <c r="AO31" s="73">
        <v>0</v>
      </c>
      <c r="AP31" s="73">
        <v>0</v>
      </c>
      <c r="AQ31" s="73">
        <v>0</v>
      </c>
      <c r="AR31" s="73">
        <v>0</v>
      </c>
      <c r="AS31" s="73">
        <v>0</v>
      </c>
      <c r="AT31" s="73">
        <v>0</v>
      </c>
      <c r="AU31" s="73">
        <v>0</v>
      </c>
      <c r="AV31" s="77">
        <f t="shared" si="13"/>
        <v>10609</v>
      </c>
      <c r="AW31" s="52"/>
    </row>
    <row r="32" spans="1:49" s="71" customFormat="1">
      <c r="A32" s="71" t="s">
        <v>51</v>
      </c>
      <c r="B32" s="72">
        <f t="shared" si="0"/>
        <v>25351222.75944113</v>
      </c>
      <c r="C32" s="73">
        <f t="shared" si="1"/>
        <v>32086.954887699059</v>
      </c>
      <c r="D32" s="73">
        <f t="shared" si="2"/>
        <v>24277.993593550163</v>
      </c>
      <c r="E32" s="73">
        <f t="shared" si="3"/>
        <v>28928.688795577313</v>
      </c>
      <c r="F32" s="73">
        <f t="shared" si="4"/>
        <v>23311.501287581439</v>
      </c>
      <c r="G32" s="73">
        <f t="shared" si="5"/>
        <v>21568.229009511462</v>
      </c>
      <c r="H32" s="73">
        <f t="shared" si="6"/>
        <v>17050</v>
      </c>
      <c r="I32" s="73">
        <f t="shared" si="7"/>
        <v>4960</v>
      </c>
      <c r="J32" s="73">
        <f t="shared" si="8"/>
        <v>10461</v>
      </c>
      <c r="K32" s="73">
        <f t="shared" si="9"/>
        <v>72410.985685835127</v>
      </c>
      <c r="L32" s="74">
        <f t="shared" si="10"/>
        <v>25586278.112700891</v>
      </c>
      <c r="M32" s="75"/>
      <c r="N32" s="76">
        <v>19419159.121907085</v>
      </c>
      <c r="O32" s="73">
        <v>31771.659708824242</v>
      </c>
      <c r="P32" s="73">
        <v>24239.207496301799</v>
      </c>
      <c r="Q32" s="73">
        <v>28830.921570029346</v>
      </c>
      <c r="R32" s="73">
        <v>23311.501287581439</v>
      </c>
      <c r="S32" s="73">
        <v>21568.229009511462</v>
      </c>
      <c r="T32" s="73">
        <v>17050</v>
      </c>
      <c r="U32" s="73">
        <v>4960</v>
      </c>
      <c r="V32" s="73">
        <v>10461</v>
      </c>
      <c r="W32" s="73">
        <v>72410.985685835127</v>
      </c>
      <c r="X32" s="77">
        <f t="shared" si="11"/>
        <v>19653762.626665171</v>
      </c>
      <c r="Y32" s="75"/>
      <c r="Z32" s="76">
        <v>5836250.6375340447</v>
      </c>
      <c r="AA32" s="73">
        <v>315.29517887481643</v>
      </c>
      <c r="AB32" s="73">
        <v>38.786097248365714</v>
      </c>
      <c r="AC32" s="73">
        <v>97.767225547965111</v>
      </c>
      <c r="AD32" s="73">
        <v>0</v>
      </c>
      <c r="AE32" s="73">
        <v>0</v>
      </c>
      <c r="AF32" s="73">
        <v>0</v>
      </c>
      <c r="AG32" s="73">
        <v>0</v>
      </c>
      <c r="AH32" s="73">
        <v>0</v>
      </c>
      <c r="AI32" s="73">
        <v>0</v>
      </c>
      <c r="AJ32" s="77">
        <f t="shared" si="12"/>
        <v>5836702.4860357149</v>
      </c>
      <c r="AK32" s="75"/>
      <c r="AL32" s="72">
        <v>95813</v>
      </c>
      <c r="AM32" s="73">
        <v>0</v>
      </c>
      <c r="AN32" s="73">
        <v>0</v>
      </c>
      <c r="AO32" s="73">
        <v>0</v>
      </c>
      <c r="AP32" s="73">
        <v>0</v>
      </c>
      <c r="AQ32" s="73">
        <v>0</v>
      </c>
      <c r="AR32" s="73">
        <v>0</v>
      </c>
      <c r="AS32" s="73">
        <v>0</v>
      </c>
      <c r="AT32" s="73">
        <v>0</v>
      </c>
      <c r="AU32" s="73">
        <v>0</v>
      </c>
      <c r="AV32" s="77">
        <f t="shared" si="13"/>
        <v>95813</v>
      </c>
      <c r="AW32" s="52"/>
    </row>
    <row r="33" spans="1:49" s="71" customFormat="1">
      <c r="A33" s="71" t="s">
        <v>52</v>
      </c>
      <c r="B33" s="72">
        <f t="shared" si="0"/>
        <v>84376646.580261111</v>
      </c>
      <c r="C33" s="73">
        <f t="shared" si="1"/>
        <v>52597.172959736636</v>
      </c>
      <c r="D33" s="73">
        <f t="shared" si="2"/>
        <v>48227.341315761252</v>
      </c>
      <c r="E33" s="73">
        <f t="shared" si="3"/>
        <v>46485.477171422877</v>
      </c>
      <c r="F33" s="73">
        <f t="shared" si="4"/>
        <v>49118.336697534891</v>
      </c>
      <c r="G33" s="73">
        <f t="shared" si="5"/>
        <v>30348.951937071866</v>
      </c>
      <c r="H33" s="73">
        <f t="shared" si="6"/>
        <v>33158</v>
      </c>
      <c r="I33" s="73">
        <f t="shared" si="7"/>
        <v>15469</v>
      </c>
      <c r="J33" s="73">
        <f t="shared" si="8"/>
        <v>17051</v>
      </c>
      <c r="K33" s="73">
        <f t="shared" si="9"/>
        <v>126670.60556415925</v>
      </c>
      <c r="L33" s="74">
        <f t="shared" si="10"/>
        <v>84795772.465906784</v>
      </c>
      <c r="M33" s="75"/>
      <c r="N33" s="76">
        <v>57916954.212974548</v>
      </c>
      <c r="O33" s="73">
        <v>51919.714790960184</v>
      </c>
      <c r="P33" s="73">
        <v>48144.003668450459</v>
      </c>
      <c r="Q33" s="73">
        <v>46258.1923950278</v>
      </c>
      <c r="R33" s="73">
        <v>49118.336697534891</v>
      </c>
      <c r="S33" s="73">
        <v>30348.951937071866</v>
      </c>
      <c r="T33" s="73">
        <v>33158</v>
      </c>
      <c r="U33" s="73">
        <v>15469</v>
      </c>
      <c r="V33" s="73">
        <v>17051</v>
      </c>
      <c r="W33" s="73">
        <v>126670.60556415925</v>
      </c>
      <c r="X33" s="77">
        <f t="shared" si="11"/>
        <v>58335092.01802776</v>
      </c>
      <c r="Y33" s="75"/>
      <c r="Z33" s="76">
        <v>26459692.367286563</v>
      </c>
      <c r="AA33" s="73">
        <v>677.45816877645188</v>
      </c>
      <c r="AB33" s="73">
        <v>83.337647310794196</v>
      </c>
      <c r="AC33" s="73">
        <v>227.28477639507551</v>
      </c>
      <c r="AD33" s="73">
        <v>0</v>
      </c>
      <c r="AE33" s="73">
        <v>0</v>
      </c>
      <c r="AF33" s="73">
        <v>0</v>
      </c>
      <c r="AG33" s="73">
        <v>0</v>
      </c>
      <c r="AH33" s="73">
        <v>0</v>
      </c>
      <c r="AI33" s="73">
        <v>0</v>
      </c>
      <c r="AJ33" s="77">
        <f t="shared" si="12"/>
        <v>26460680.447879042</v>
      </c>
      <c r="AK33" s="75"/>
      <c r="AL33" s="72">
        <v>0</v>
      </c>
      <c r="AM33" s="73">
        <v>0</v>
      </c>
      <c r="AN33" s="73">
        <v>0</v>
      </c>
      <c r="AO33" s="73">
        <v>0</v>
      </c>
      <c r="AP33" s="73">
        <v>0</v>
      </c>
      <c r="AQ33" s="73">
        <v>0</v>
      </c>
      <c r="AR33" s="73">
        <v>0</v>
      </c>
      <c r="AS33" s="73">
        <v>0</v>
      </c>
      <c r="AT33" s="73">
        <v>0</v>
      </c>
      <c r="AU33" s="73">
        <v>0</v>
      </c>
      <c r="AV33" s="77">
        <f t="shared" si="13"/>
        <v>0</v>
      </c>
      <c r="AW33" s="52"/>
    </row>
    <row r="34" spans="1:49" s="71" customFormat="1">
      <c r="A34" s="71" t="s">
        <v>53</v>
      </c>
      <c r="B34" s="72">
        <f t="shared" si="0"/>
        <v>7425074.6285086237</v>
      </c>
      <c r="C34" s="73">
        <f t="shared" si="1"/>
        <v>7742.9987651632546</v>
      </c>
      <c r="D34" s="73">
        <f t="shared" si="2"/>
        <v>6969.7972692289641</v>
      </c>
      <c r="E34" s="73">
        <f t="shared" si="3"/>
        <v>6756.5408580846988</v>
      </c>
      <c r="F34" s="73">
        <f t="shared" si="4"/>
        <v>6996.8512994901039</v>
      </c>
      <c r="G34" s="73">
        <f t="shared" si="5"/>
        <v>6961.798827509323</v>
      </c>
      <c r="H34" s="73">
        <f t="shared" si="6"/>
        <v>6028</v>
      </c>
      <c r="I34" s="73">
        <f t="shared" si="7"/>
        <v>5557</v>
      </c>
      <c r="J34" s="73">
        <f t="shared" si="8"/>
        <v>5996</v>
      </c>
      <c r="K34" s="73">
        <f t="shared" si="9"/>
        <v>33526.611859753531</v>
      </c>
      <c r="L34" s="74">
        <f t="shared" si="10"/>
        <v>7511610.227387853</v>
      </c>
      <c r="M34" s="75"/>
      <c r="N34" s="76">
        <v>3638970.1797102923</v>
      </c>
      <c r="O34" s="73">
        <v>7585.6292178578742</v>
      </c>
      <c r="P34" s="73">
        <v>6950.4384240112859</v>
      </c>
      <c r="Q34" s="73">
        <v>6702.7100462378166</v>
      </c>
      <c r="R34" s="73">
        <v>6996.8512994901039</v>
      </c>
      <c r="S34" s="73">
        <v>6961.798827509323</v>
      </c>
      <c r="T34" s="73">
        <v>6028</v>
      </c>
      <c r="U34" s="73">
        <v>5557</v>
      </c>
      <c r="V34" s="73">
        <v>5996</v>
      </c>
      <c r="W34" s="73">
        <v>33526.611859753531</v>
      </c>
      <c r="X34" s="77">
        <f t="shared" si="11"/>
        <v>3725275.2193851527</v>
      </c>
      <c r="Y34" s="75"/>
      <c r="Z34" s="76">
        <v>3786104.4487983319</v>
      </c>
      <c r="AA34" s="73">
        <v>157.36954730538017</v>
      </c>
      <c r="AB34" s="73">
        <v>19.358845217678301</v>
      </c>
      <c r="AC34" s="73">
        <v>53.830811846882177</v>
      </c>
      <c r="AD34" s="73">
        <v>0</v>
      </c>
      <c r="AE34" s="73">
        <v>0</v>
      </c>
      <c r="AF34" s="73">
        <v>0</v>
      </c>
      <c r="AG34" s="73">
        <v>0</v>
      </c>
      <c r="AH34" s="73">
        <v>0</v>
      </c>
      <c r="AI34" s="73">
        <v>0</v>
      </c>
      <c r="AJ34" s="77">
        <f t="shared" si="12"/>
        <v>3786335.0080027017</v>
      </c>
      <c r="AK34" s="75"/>
      <c r="AL34" s="72">
        <v>0</v>
      </c>
      <c r="AM34" s="73">
        <v>0</v>
      </c>
      <c r="AN34" s="73">
        <v>0</v>
      </c>
      <c r="AO34" s="73">
        <v>0</v>
      </c>
      <c r="AP34" s="73">
        <v>0</v>
      </c>
      <c r="AQ34" s="73">
        <v>0</v>
      </c>
      <c r="AR34" s="73">
        <v>0</v>
      </c>
      <c r="AS34" s="73">
        <v>0</v>
      </c>
      <c r="AT34" s="73">
        <v>0</v>
      </c>
      <c r="AU34" s="73">
        <v>0</v>
      </c>
      <c r="AV34" s="77">
        <f t="shared" si="13"/>
        <v>0</v>
      </c>
      <c r="AW34" s="52"/>
    </row>
    <row r="35" spans="1:49" s="71" customFormat="1">
      <c r="A35" s="71" t="s">
        <v>54</v>
      </c>
      <c r="B35" s="72">
        <f t="shared" si="0"/>
        <v>17521911.239349537</v>
      </c>
      <c r="C35" s="73">
        <f t="shared" si="1"/>
        <v>8957.7532285255274</v>
      </c>
      <c r="D35" s="73">
        <f t="shared" si="2"/>
        <v>8765.7154166598284</v>
      </c>
      <c r="E35" s="73">
        <f t="shared" si="3"/>
        <v>9363.3604000217965</v>
      </c>
      <c r="F35" s="73">
        <f t="shared" si="4"/>
        <v>1655.8704363329596</v>
      </c>
      <c r="G35" s="73">
        <f t="shared" si="5"/>
        <v>5318.1488598954802</v>
      </c>
      <c r="H35" s="73">
        <f t="shared" si="6"/>
        <v>4202</v>
      </c>
      <c r="I35" s="73">
        <f t="shared" si="7"/>
        <v>3446</v>
      </c>
      <c r="J35" s="73">
        <f t="shared" si="8"/>
        <v>4141</v>
      </c>
      <c r="K35" s="73">
        <f t="shared" si="9"/>
        <v>22125.613217173792</v>
      </c>
      <c r="L35" s="74">
        <f t="shared" si="10"/>
        <v>17589886.700908147</v>
      </c>
      <c r="M35" s="75"/>
      <c r="N35" s="76">
        <v>10479620.6947653</v>
      </c>
      <c r="O35" s="73">
        <v>8798.0620298011163</v>
      </c>
      <c r="P35" s="73">
        <v>8746.0709730450017</v>
      </c>
      <c r="Q35" s="73">
        <v>9307.2806078248068</v>
      </c>
      <c r="R35" s="73">
        <v>1655.8704363329596</v>
      </c>
      <c r="S35" s="73">
        <v>5318.1488598954802</v>
      </c>
      <c r="T35" s="73">
        <v>4202</v>
      </c>
      <c r="U35" s="73">
        <v>3446</v>
      </c>
      <c r="V35" s="73">
        <v>4141</v>
      </c>
      <c r="W35" s="73">
        <v>22125.613217173792</v>
      </c>
      <c r="X35" s="77">
        <f t="shared" si="11"/>
        <v>10547360.740889372</v>
      </c>
      <c r="Y35" s="75"/>
      <c r="Z35" s="76">
        <v>7042290.5445842361</v>
      </c>
      <c r="AA35" s="73">
        <v>159.69119872441161</v>
      </c>
      <c r="AB35" s="73">
        <v>19.644443614827001</v>
      </c>
      <c r="AC35" s="73">
        <v>56.079792196990439</v>
      </c>
      <c r="AD35" s="73">
        <v>0</v>
      </c>
      <c r="AE35" s="73">
        <v>0</v>
      </c>
      <c r="AF35" s="73">
        <v>0</v>
      </c>
      <c r="AG35" s="73">
        <v>0</v>
      </c>
      <c r="AH35" s="73">
        <v>0</v>
      </c>
      <c r="AI35" s="73">
        <v>0</v>
      </c>
      <c r="AJ35" s="77">
        <f t="shared" si="12"/>
        <v>7042525.9600187717</v>
      </c>
      <c r="AK35" s="75"/>
      <c r="AL35" s="72">
        <v>0</v>
      </c>
      <c r="AM35" s="73">
        <v>0</v>
      </c>
      <c r="AN35" s="73">
        <v>0</v>
      </c>
      <c r="AO35" s="73">
        <v>0</v>
      </c>
      <c r="AP35" s="73">
        <v>0</v>
      </c>
      <c r="AQ35" s="73">
        <v>0</v>
      </c>
      <c r="AR35" s="73">
        <v>0</v>
      </c>
      <c r="AS35" s="73">
        <v>0</v>
      </c>
      <c r="AT35" s="73">
        <v>0</v>
      </c>
      <c r="AU35" s="73">
        <v>0</v>
      </c>
      <c r="AV35" s="77">
        <f t="shared" si="13"/>
        <v>0</v>
      </c>
      <c r="AW35" s="52"/>
    </row>
    <row r="36" spans="1:49" s="71" customFormat="1">
      <c r="A36" s="71" t="s">
        <v>55</v>
      </c>
      <c r="B36" s="72">
        <f t="shared" si="0"/>
        <v>19983677.956120819</v>
      </c>
      <c r="C36" s="73">
        <f t="shared" si="1"/>
        <v>861.97873642619993</v>
      </c>
      <c r="D36" s="73">
        <f t="shared" si="2"/>
        <v>740.30291600871647</v>
      </c>
      <c r="E36" s="73">
        <f t="shared" si="3"/>
        <v>629.26070156218918</v>
      </c>
      <c r="F36" s="73">
        <f t="shared" si="4"/>
        <v>466.59385195971612</v>
      </c>
      <c r="G36" s="73">
        <f t="shared" si="5"/>
        <v>251.14647630502685</v>
      </c>
      <c r="H36" s="73">
        <f t="shared" si="6"/>
        <v>118</v>
      </c>
      <c r="I36" s="73">
        <f t="shared" si="7"/>
        <v>352</v>
      </c>
      <c r="J36" s="73">
        <f t="shared" si="8"/>
        <v>388</v>
      </c>
      <c r="K36" s="73">
        <f t="shared" si="9"/>
        <v>589.67948013532737</v>
      </c>
      <c r="L36" s="74">
        <f t="shared" si="10"/>
        <v>19988074.91828322</v>
      </c>
      <c r="M36" s="75"/>
      <c r="N36" s="76">
        <v>12643817.12731592</v>
      </c>
      <c r="O36" s="73">
        <v>848.84634255990773</v>
      </c>
      <c r="P36" s="73">
        <v>738.68743204407235</v>
      </c>
      <c r="Q36" s="73">
        <v>625.03299115196762</v>
      </c>
      <c r="R36" s="73">
        <v>466.59385195971612</v>
      </c>
      <c r="S36" s="73">
        <v>251.14647630502685</v>
      </c>
      <c r="T36" s="73">
        <v>118</v>
      </c>
      <c r="U36" s="73">
        <v>352</v>
      </c>
      <c r="V36" s="73">
        <v>388</v>
      </c>
      <c r="W36" s="73">
        <v>589.67948013532737</v>
      </c>
      <c r="X36" s="77">
        <f t="shared" si="11"/>
        <v>12648195.113890074</v>
      </c>
      <c r="Y36" s="75"/>
      <c r="Z36" s="76">
        <v>7339860.828804899</v>
      </c>
      <c r="AA36" s="73">
        <v>13.132393866292235</v>
      </c>
      <c r="AB36" s="73">
        <v>1.6154839646440775</v>
      </c>
      <c r="AC36" s="73">
        <v>4.2277104102215137</v>
      </c>
      <c r="AD36" s="73">
        <v>0</v>
      </c>
      <c r="AE36" s="73">
        <v>0</v>
      </c>
      <c r="AF36" s="73">
        <v>0</v>
      </c>
      <c r="AG36" s="73">
        <v>0</v>
      </c>
      <c r="AH36" s="73">
        <v>0</v>
      </c>
      <c r="AI36" s="73">
        <v>0</v>
      </c>
      <c r="AJ36" s="77">
        <f t="shared" si="12"/>
        <v>7339879.8043931397</v>
      </c>
      <c r="AK36" s="75"/>
      <c r="AL36" s="72">
        <v>0</v>
      </c>
      <c r="AM36" s="73">
        <v>0</v>
      </c>
      <c r="AN36" s="73">
        <v>0</v>
      </c>
      <c r="AO36" s="73">
        <v>0</v>
      </c>
      <c r="AP36" s="73">
        <v>0</v>
      </c>
      <c r="AQ36" s="73">
        <v>0</v>
      </c>
      <c r="AR36" s="73">
        <v>0</v>
      </c>
      <c r="AS36" s="73">
        <v>0</v>
      </c>
      <c r="AT36" s="73">
        <v>0</v>
      </c>
      <c r="AU36" s="73">
        <v>0</v>
      </c>
      <c r="AV36" s="77">
        <f t="shared" si="13"/>
        <v>0</v>
      </c>
      <c r="AW36" s="52"/>
    </row>
    <row r="37" spans="1:49" s="71" customFormat="1">
      <c r="A37" s="71" t="s">
        <v>56</v>
      </c>
      <c r="B37" s="72">
        <f t="shared" si="0"/>
        <v>0</v>
      </c>
      <c r="C37" s="73">
        <f t="shared" si="1"/>
        <v>0</v>
      </c>
      <c r="D37" s="73">
        <f t="shared" si="2"/>
        <v>0</v>
      </c>
      <c r="E37" s="73">
        <f t="shared" si="3"/>
        <v>0</v>
      </c>
      <c r="F37" s="73">
        <f t="shared" si="4"/>
        <v>0</v>
      </c>
      <c r="G37" s="73">
        <f t="shared" si="5"/>
        <v>0</v>
      </c>
      <c r="H37" s="73">
        <f t="shared" si="6"/>
        <v>0</v>
      </c>
      <c r="I37" s="73">
        <f t="shared" si="7"/>
        <v>0</v>
      </c>
      <c r="J37" s="73">
        <f t="shared" si="8"/>
        <v>0</v>
      </c>
      <c r="K37" s="73">
        <f t="shared" si="9"/>
        <v>0</v>
      </c>
      <c r="L37" s="74">
        <f t="shared" si="10"/>
        <v>0</v>
      </c>
      <c r="M37" s="75"/>
      <c r="N37" s="76">
        <v>0</v>
      </c>
      <c r="O37" s="73">
        <v>0</v>
      </c>
      <c r="P37" s="73">
        <v>0</v>
      </c>
      <c r="Q37" s="73">
        <v>0</v>
      </c>
      <c r="R37" s="73">
        <v>0</v>
      </c>
      <c r="S37" s="73">
        <v>0</v>
      </c>
      <c r="T37" s="73">
        <v>0</v>
      </c>
      <c r="U37" s="73">
        <v>0</v>
      </c>
      <c r="V37" s="73">
        <v>0</v>
      </c>
      <c r="W37" s="73">
        <v>0</v>
      </c>
      <c r="X37" s="77">
        <f t="shared" si="11"/>
        <v>0</v>
      </c>
      <c r="Y37" s="75"/>
      <c r="Z37" s="76">
        <v>0</v>
      </c>
      <c r="AA37" s="73">
        <v>0</v>
      </c>
      <c r="AB37" s="73">
        <v>0</v>
      </c>
      <c r="AC37" s="73">
        <v>0</v>
      </c>
      <c r="AD37" s="73">
        <v>0</v>
      </c>
      <c r="AE37" s="73">
        <v>0</v>
      </c>
      <c r="AF37" s="73">
        <v>0</v>
      </c>
      <c r="AG37" s="73">
        <v>0</v>
      </c>
      <c r="AH37" s="73">
        <v>0</v>
      </c>
      <c r="AI37" s="73">
        <v>0</v>
      </c>
      <c r="AJ37" s="77">
        <f t="shared" si="12"/>
        <v>0</v>
      </c>
      <c r="AK37" s="75"/>
      <c r="AL37" s="72">
        <v>0</v>
      </c>
      <c r="AM37" s="73">
        <v>0</v>
      </c>
      <c r="AN37" s="73">
        <v>0</v>
      </c>
      <c r="AO37" s="73">
        <v>0</v>
      </c>
      <c r="AP37" s="73">
        <v>0</v>
      </c>
      <c r="AQ37" s="73">
        <v>0</v>
      </c>
      <c r="AR37" s="73">
        <v>0</v>
      </c>
      <c r="AS37" s="73">
        <v>0</v>
      </c>
      <c r="AT37" s="73">
        <v>0</v>
      </c>
      <c r="AU37" s="73">
        <v>0</v>
      </c>
      <c r="AV37" s="77">
        <f t="shared" si="13"/>
        <v>0</v>
      </c>
      <c r="AW37" s="52"/>
    </row>
    <row r="38" spans="1:49" s="71" customFormat="1">
      <c r="A38" s="71" t="s">
        <v>57</v>
      </c>
      <c r="B38" s="72">
        <f t="shared" si="0"/>
        <v>74489821.493481562</v>
      </c>
      <c r="C38" s="73">
        <f t="shared" si="1"/>
        <v>53861.596976844361</v>
      </c>
      <c r="D38" s="73">
        <f t="shared" si="2"/>
        <v>34198.574308476615</v>
      </c>
      <c r="E38" s="73">
        <f t="shared" si="3"/>
        <v>36954.207350136865</v>
      </c>
      <c r="F38" s="73">
        <f t="shared" si="4"/>
        <v>35098.171049700242</v>
      </c>
      <c r="G38" s="73">
        <f t="shared" si="5"/>
        <v>31022.737403783187</v>
      </c>
      <c r="H38" s="73">
        <f t="shared" si="6"/>
        <v>32251</v>
      </c>
      <c r="I38" s="73">
        <f t="shared" si="7"/>
        <v>32381</v>
      </c>
      <c r="J38" s="73">
        <f t="shared" si="8"/>
        <v>22175</v>
      </c>
      <c r="K38" s="73">
        <f t="shared" si="9"/>
        <v>87040.166109191559</v>
      </c>
      <c r="L38" s="74">
        <f t="shared" si="10"/>
        <v>74854803.946679682</v>
      </c>
      <c r="M38" s="75"/>
      <c r="N38" s="76">
        <v>20445979.380940113</v>
      </c>
      <c r="O38" s="73">
        <v>47821.131291991514</v>
      </c>
      <c r="P38" s="73">
        <v>34025.201936235411</v>
      </c>
      <c r="Q38" s="73">
        <v>36534.919948085146</v>
      </c>
      <c r="R38" s="73">
        <v>35098.171049700242</v>
      </c>
      <c r="S38" s="73">
        <v>31022.737403783187</v>
      </c>
      <c r="T38" s="73">
        <v>32251</v>
      </c>
      <c r="U38" s="73">
        <v>32381</v>
      </c>
      <c r="V38" s="73">
        <v>22175</v>
      </c>
      <c r="W38" s="73">
        <v>87040.166109191559</v>
      </c>
      <c r="X38" s="77">
        <f t="shared" si="11"/>
        <v>20804328.708679102</v>
      </c>
      <c r="Y38" s="75"/>
      <c r="Z38" s="76">
        <v>52905879.112541445</v>
      </c>
      <c r="AA38" s="73">
        <v>6040.4656848528439</v>
      </c>
      <c r="AB38" s="73">
        <v>173.37237224119971</v>
      </c>
      <c r="AC38" s="73">
        <v>419.28740205171999</v>
      </c>
      <c r="AD38" s="73">
        <v>0</v>
      </c>
      <c r="AE38" s="73">
        <v>0</v>
      </c>
      <c r="AF38" s="73">
        <v>0</v>
      </c>
      <c r="AG38" s="73">
        <v>0</v>
      </c>
      <c r="AH38" s="73">
        <v>0</v>
      </c>
      <c r="AI38" s="73">
        <v>0</v>
      </c>
      <c r="AJ38" s="77">
        <f t="shared" si="12"/>
        <v>52912512.238000587</v>
      </c>
      <c r="AK38" s="75"/>
      <c r="AL38" s="72">
        <v>1137963</v>
      </c>
      <c r="AM38" s="73">
        <v>0</v>
      </c>
      <c r="AN38" s="73">
        <v>0</v>
      </c>
      <c r="AO38" s="73">
        <v>0</v>
      </c>
      <c r="AP38" s="73">
        <v>0</v>
      </c>
      <c r="AQ38" s="73">
        <v>0</v>
      </c>
      <c r="AR38" s="73">
        <v>0</v>
      </c>
      <c r="AS38" s="73">
        <v>0</v>
      </c>
      <c r="AT38" s="73">
        <v>0</v>
      </c>
      <c r="AU38" s="73">
        <v>0</v>
      </c>
      <c r="AV38" s="77">
        <f t="shared" si="13"/>
        <v>1137963</v>
      </c>
      <c r="AW38" s="52"/>
    </row>
    <row r="39" spans="1:49" s="71" customFormat="1">
      <c r="A39" s="71" t="s">
        <v>58</v>
      </c>
      <c r="B39" s="72">
        <f t="shared" si="0"/>
        <v>12948803.666344415</v>
      </c>
      <c r="C39" s="73">
        <f t="shared" si="1"/>
        <v>10934.795684271963</v>
      </c>
      <c r="D39" s="73">
        <f t="shared" si="2"/>
        <v>9960.6747006749811</v>
      </c>
      <c r="E39" s="73">
        <f t="shared" si="3"/>
        <v>9585.0455280172901</v>
      </c>
      <c r="F39" s="73">
        <f t="shared" si="4"/>
        <v>9909.8417889750126</v>
      </c>
      <c r="G39" s="73">
        <f t="shared" si="5"/>
        <v>9753.02159782538</v>
      </c>
      <c r="H39" s="73">
        <f t="shared" si="6"/>
        <v>-5367</v>
      </c>
      <c r="I39" s="73">
        <f t="shared" si="7"/>
        <v>1489</v>
      </c>
      <c r="J39" s="73">
        <f t="shared" si="8"/>
        <v>1547</v>
      </c>
      <c r="K39" s="73">
        <f t="shared" si="9"/>
        <v>17003.740081020984</v>
      </c>
      <c r="L39" s="74">
        <f t="shared" si="10"/>
        <v>13013619.785725202</v>
      </c>
      <c r="M39" s="75"/>
      <c r="N39" s="76">
        <v>4653620.3207416581</v>
      </c>
      <c r="O39" s="73">
        <v>9960.9535684625298</v>
      </c>
      <c r="P39" s="73">
        <v>9930.6040379674341</v>
      </c>
      <c r="Q39" s="73">
        <v>9496.1653234483638</v>
      </c>
      <c r="R39" s="73">
        <v>9909.8417889750126</v>
      </c>
      <c r="S39" s="73">
        <v>9753.02159782538</v>
      </c>
      <c r="T39" s="73">
        <v>-5367</v>
      </c>
      <c r="U39" s="73">
        <v>1489</v>
      </c>
      <c r="V39" s="73">
        <v>1547</v>
      </c>
      <c r="W39" s="73">
        <v>17003.740081020984</v>
      </c>
      <c r="X39" s="77">
        <f t="shared" si="11"/>
        <v>4717343.6471393565</v>
      </c>
      <c r="Y39" s="75"/>
      <c r="Z39" s="76">
        <v>8295183.3456027582</v>
      </c>
      <c r="AA39" s="73">
        <v>973.84211580943304</v>
      </c>
      <c r="AB39" s="73">
        <v>30.070662707546379</v>
      </c>
      <c r="AC39" s="73">
        <v>88.880204568927013</v>
      </c>
      <c r="AD39" s="73">
        <v>0</v>
      </c>
      <c r="AE39" s="73">
        <v>0</v>
      </c>
      <c r="AF39" s="73">
        <v>0</v>
      </c>
      <c r="AG39" s="73">
        <v>0</v>
      </c>
      <c r="AH39" s="73">
        <v>0</v>
      </c>
      <c r="AI39" s="73">
        <v>0</v>
      </c>
      <c r="AJ39" s="77">
        <f t="shared" si="12"/>
        <v>8296276.1385858431</v>
      </c>
      <c r="AK39" s="75"/>
      <c r="AL39" s="72">
        <v>0</v>
      </c>
      <c r="AM39" s="73">
        <v>0</v>
      </c>
      <c r="AN39" s="73">
        <v>0</v>
      </c>
      <c r="AO39" s="73">
        <v>0</v>
      </c>
      <c r="AP39" s="73">
        <v>0</v>
      </c>
      <c r="AQ39" s="73">
        <v>0</v>
      </c>
      <c r="AR39" s="73">
        <v>0</v>
      </c>
      <c r="AS39" s="73">
        <v>0</v>
      </c>
      <c r="AT39" s="73">
        <v>0</v>
      </c>
      <c r="AU39" s="73">
        <v>0</v>
      </c>
      <c r="AV39" s="77">
        <f t="shared" si="13"/>
        <v>0</v>
      </c>
      <c r="AW39" s="52"/>
    </row>
    <row r="40" spans="1:49" s="71" customFormat="1">
      <c r="A40" s="71" t="s">
        <v>59</v>
      </c>
      <c r="B40" s="72">
        <f t="shared" ref="B40:B60" si="14">+N40+Z40+AL40</f>
        <v>0</v>
      </c>
      <c r="C40" s="73">
        <f t="shared" ref="C40:C60" si="15">+O40+AA40+AM40</f>
        <v>0</v>
      </c>
      <c r="D40" s="73">
        <f t="shared" ref="D40:D60" si="16">+P40+AB40+AN40</f>
        <v>0</v>
      </c>
      <c r="E40" s="73">
        <f t="shared" ref="E40:E60" si="17">+Q40+AC40+AO40</f>
        <v>0</v>
      </c>
      <c r="F40" s="73">
        <f t="shared" ref="F40:F60" si="18">+R40+AD40+AP40</f>
        <v>0</v>
      </c>
      <c r="G40" s="73">
        <f t="shared" ref="G40:G60" si="19">+S40+AE40+AQ40</f>
        <v>0</v>
      </c>
      <c r="H40" s="73">
        <f t="shared" ref="H40:H60" si="20">+T40+AF40+AR40</f>
        <v>0</v>
      </c>
      <c r="I40" s="73">
        <f t="shared" ref="I40:I60" si="21">+U40+AG40+AS40</f>
        <v>0</v>
      </c>
      <c r="J40" s="73">
        <f t="shared" ref="J40:J60" si="22">+V40+AH40+AT40</f>
        <v>0</v>
      </c>
      <c r="K40" s="73">
        <f t="shared" ref="K40:K60" si="23">+W40+AI40+AU40</f>
        <v>0</v>
      </c>
      <c r="L40" s="74">
        <f t="shared" si="10"/>
        <v>0</v>
      </c>
      <c r="M40" s="75"/>
      <c r="N40" s="76">
        <v>0</v>
      </c>
      <c r="O40" s="73">
        <v>0</v>
      </c>
      <c r="P40" s="73">
        <v>0</v>
      </c>
      <c r="Q40" s="73">
        <v>0</v>
      </c>
      <c r="R40" s="73">
        <v>0</v>
      </c>
      <c r="S40" s="73">
        <v>0</v>
      </c>
      <c r="T40" s="73">
        <v>0</v>
      </c>
      <c r="U40" s="73">
        <v>0</v>
      </c>
      <c r="V40" s="73">
        <v>0</v>
      </c>
      <c r="W40" s="73">
        <v>0</v>
      </c>
      <c r="X40" s="77">
        <f t="shared" ref="X40:X60" si="24">SUM(N40:W40)</f>
        <v>0</v>
      </c>
      <c r="Y40" s="75"/>
      <c r="Z40" s="76">
        <v>0</v>
      </c>
      <c r="AA40" s="73">
        <v>0</v>
      </c>
      <c r="AB40" s="73">
        <v>0</v>
      </c>
      <c r="AC40" s="73">
        <v>0</v>
      </c>
      <c r="AD40" s="73">
        <v>0</v>
      </c>
      <c r="AE40" s="73">
        <v>0</v>
      </c>
      <c r="AF40" s="73">
        <v>0</v>
      </c>
      <c r="AG40" s="73">
        <v>0</v>
      </c>
      <c r="AH40" s="73">
        <v>0</v>
      </c>
      <c r="AI40" s="73">
        <v>0</v>
      </c>
      <c r="AJ40" s="77">
        <f t="shared" ref="AJ40:AJ60" si="25">SUM(Z40:AI40)</f>
        <v>0</v>
      </c>
      <c r="AK40" s="75"/>
      <c r="AL40" s="72">
        <v>0</v>
      </c>
      <c r="AM40" s="73">
        <v>0</v>
      </c>
      <c r="AN40" s="73">
        <v>0</v>
      </c>
      <c r="AO40" s="73">
        <v>0</v>
      </c>
      <c r="AP40" s="73">
        <v>0</v>
      </c>
      <c r="AQ40" s="73">
        <v>0</v>
      </c>
      <c r="AR40" s="73">
        <v>0</v>
      </c>
      <c r="AS40" s="73">
        <v>0</v>
      </c>
      <c r="AT40" s="73">
        <v>0</v>
      </c>
      <c r="AU40" s="73">
        <v>0</v>
      </c>
      <c r="AV40" s="77">
        <f t="shared" ref="AV40:AV60" si="26">SUM(AL40:AU40)</f>
        <v>0</v>
      </c>
      <c r="AW40" s="52"/>
    </row>
    <row r="41" spans="1:49" s="71" customFormat="1">
      <c r="A41" s="71" t="s">
        <v>60</v>
      </c>
      <c r="B41" s="72">
        <f t="shared" si="14"/>
        <v>87059863.681236491</v>
      </c>
      <c r="C41" s="73">
        <f t="shared" si="15"/>
        <v>15036295.605554778</v>
      </c>
      <c r="D41" s="73">
        <f t="shared" si="16"/>
        <v>52559.806923568438</v>
      </c>
      <c r="E41" s="73">
        <f t="shared" si="17"/>
        <v>34145.709993682882</v>
      </c>
      <c r="F41" s="73">
        <f t="shared" si="18"/>
        <v>33251.486653012522</v>
      </c>
      <c r="G41" s="73">
        <f t="shared" si="19"/>
        <v>28884.815478965505</v>
      </c>
      <c r="H41" s="73">
        <f t="shared" si="20"/>
        <v>26757</v>
      </c>
      <c r="I41" s="73">
        <f t="shared" si="21"/>
        <v>25541</v>
      </c>
      <c r="J41" s="73">
        <f t="shared" si="22"/>
        <v>12532</v>
      </c>
      <c r="K41" s="73">
        <f t="shared" si="23"/>
        <v>66882.923040661088</v>
      </c>
      <c r="L41" s="74">
        <f t="shared" si="10"/>
        <v>102376714.02888116</v>
      </c>
      <c r="M41" s="75"/>
      <c r="N41" s="76">
        <v>27402550.134522337</v>
      </c>
      <c r="O41" s="73">
        <v>4297284.0928589711</v>
      </c>
      <c r="P41" s="73">
        <v>39710.024829487236</v>
      </c>
      <c r="Q41" s="73">
        <v>33757.501347888778</v>
      </c>
      <c r="R41" s="73">
        <v>33251.486653012522</v>
      </c>
      <c r="S41" s="73">
        <v>28884.815478965505</v>
      </c>
      <c r="T41" s="73">
        <v>26757</v>
      </c>
      <c r="U41" s="73">
        <v>25541</v>
      </c>
      <c r="V41" s="73">
        <v>12532</v>
      </c>
      <c r="W41" s="73">
        <v>66882.923040661088</v>
      </c>
      <c r="X41" s="77">
        <f t="shared" si="24"/>
        <v>31967150.978731323</v>
      </c>
      <c r="Y41" s="75"/>
      <c r="Z41" s="76">
        <v>59657313.546714157</v>
      </c>
      <c r="AA41" s="73">
        <v>10739011.512695808</v>
      </c>
      <c r="AB41" s="73">
        <v>12849.782094081198</v>
      </c>
      <c r="AC41" s="73">
        <v>388.20864579410522</v>
      </c>
      <c r="AD41" s="73">
        <v>0</v>
      </c>
      <c r="AE41" s="73">
        <v>0</v>
      </c>
      <c r="AF41" s="73">
        <v>0</v>
      </c>
      <c r="AG41" s="73">
        <v>0</v>
      </c>
      <c r="AH41" s="73">
        <v>0</v>
      </c>
      <c r="AI41" s="73">
        <v>0</v>
      </c>
      <c r="AJ41" s="77">
        <f t="shared" si="25"/>
        <v>70409563.050149828</v>
      </c>
      <c r="AK41" s="75"/>
      <c r="AL41" s="72">
        <v>0</v>
      </c>
      <c r="AM41" s="73">
        <v>0</v>
      </c>
      <c r="AN41" s="73">
        <v>0</v>
      </c>
      <c r="AO41" s="73">
        <v>0</v>
      </c>
      <c r="AP41" s="73">
        <v>0</v>
      </c>
      <c r="AQ41" s="73">
        <v>0</v>
      </c>
      <c r="AR41" s="73">
        <v>0</v>
      </c>
      <c r="AS41" s="73">
        <v>0</v>
      </c>
      <c r="AT41" s="73">
        <v>0</v>
      </c>
      <c r="AU41" s="73">
        <v>0</v>
      </c>
      <c r="AV41" s="77">
        <f t="shared" si="26"/>
        <v>0</v>
      </c>
      <c r="AW41" s="52"/>
    </row>
    <row r="42" spans="1:49" s="71" customFormat="1">
      <c r="A42" s="71" t="s">
        <v>61</v>
      </c>
      <c r="B42" s="72">
        <f t="shared" si="14"/>
        <v>8611174.48081664</v>
      </c>
      <c r="C42" s="73">
        <f t="shared" si="15"/>
        <v>2777.7056380754552</v>
      </c>
      <c r="D42" s="73">
        <f t="shared" si="16"/>
        <v>2153.2868974058206</v>
      </c>
      <c r="E42" s="73">
        <f t="shared" si="17"/>
        <v>-72.730753294870169</v>
      </c>
      <c r="F42" s="73">
        <f t="shared" si="18"/>
        <v>799.4566814765343</v>
      </c>
      <c r="G42" s="73">
        <f t="shared" si="19"/>
        <v>838.94540710422552</v>
      </c>
      <c r="H42" s="73">
        <f t="shared" si="20"/>
        <v>856</v>
      </c>
      <c r="I42" s="73">
        <f t="shared" si="21"/>
        <v>889</v>
      </c>
      <c r="J42" s="73">
        <f t="shared" si="22"/>
        <v>949</v>
      </c>
      <c r="K42" s="73">
        <f t="shared" si="23"/>
        <v>8397.9378486673686</v>
      </c>
      <c r="L42" s="74">
        <f t="shared" si="10"/>
        <v>8628763.0825360734</v>
      </c>
      <c r="M42" s="75"/>
      <c r="N42" s="76">
        <v>3395971.1445221216</v>
      </c>
      <c r="O42" s="73">
        <v>2287.6618019513649</v>
      </c>
      <c r="P42" s="73">
        <v>2147.5240072718079</v>
      </c>
      <c r="Q42" s="73">
        <v>-90.272948046677769</v>
      </c>
      <c r="R42" s="73">
        <v>799.4566814765343</v>
      </c>
      <c r="S42" s="73">
        <v>838.94540710422552</v>
      </c>
      <c r="T42" s="73">
        <v>856</v>
      </c>
      <c r="U42" s="73">
        <v>889</v>
      </c>
      <c r="V42" s="73">
        <v>949</v>
      </c>
      <c r="W42" s="73">
        <v>8397.9378486673686</v>
      </c>
      <c r="X42" s="77">
        <f t="shared" si="24"/>
        <v>3413046.3973205462</v>
      </c>
      <c r="Y42" s="75"/>
      <c r="Z42" s="76">
        <v>5185672.3362945188</v>
      </c>
      <c r="AA42" s="73">
        <v>490.04383612409032</v>
      </c>
      <c r="AB42" s="73">
        <v>5.7628901340126575</v>
      </c>
      <c r="AC42" s="73">
        <v>17.542194751807596</v>
      </c>
      <c r="AD42" s="73">
        <v>0</v>
      </c>
      <c r="AE42" s="73">
        <v>0</v>
      </c>
      <c r="AF42" s="73">
        <v>0</v>
      </c>
      <c r="AG42" s="73">
        <v>0</v>
      </c>
      <c r="AH42" s="73">
        <v>0</v>
      </c>
      <c r="AI42" s="73">
        <v>0</v>
      </c>
      <c r="AJ42" s="77">
        <f t="shared" si="25"/>
        <v>5186185.6852155291</v>
      </c>
      <c r="AK42" s="75"/>
      <c r="AL42" s="72">
        <v>29531</v>
      </c>
      <c r="AM42" s="73">
        <v>0</v>
      </c>
      <c r="AN42" s="73">
        <v>0</v>
      </c>
      <c r="AO42" s="73">
        <v>0</v>
      </c>
      <c r="AP42" s="73">
        <v>0</v>
      </c>
      <c r="AQ42" s="73">
        <v>0</v>
      </c>
      <c r="AR42" s="73">
        <v>0</v>
      </c>
      <c r="AS42" s="73">
        <v>0</v>
      </c>
      <c r="AT42" s="73">
        <v>0</v>
      </c>
      <c r="AU42" s="73">
        <v>0</v>
      </c>
      <c r="AV42" s="77">
        <f t="shared" si="26"/>
        <v>29531</v>
      </c>
      <c r="AW42" s="52"/>
    </row>
    <row r="43" spans="1:49" s="71" customFormat="1">
      <c r="A43" s="71" t="s">
        <v>62</v>
      </c>
      <c r="B43" s="72">
        <f t="shared" si="14"/>
        <v>69301037.873304367</v>
      </c>
      <c r="C43" s="73">
        <f t="shared" si="15"/>
        <v>37158.052482585852</v>
      </c>
      <c r="D43" s="73">
        <f t="shared" si="16"/>
        <v>35200.155307965841</v>
      </c>
      <c r="E43" s="73">
        <f t="shared" si="17"/>
        <v>36270.670266937981</v>
      </c>
      <c r="F43" s="73">
        <f t="shared" si="18"/>
        <v>36515.179629620136</v>
      </c>
      <c r="G43" s="73">
        <f t="shared" si="19"/>
        <v>23583.531148789676</v>
      </c>
      <c r="H43" s="73">
        <f t="shared" si="20"/>
        <v>28530</v>
      </c>
      <c r="I43" s="73">
        <f t="shared" si="21"/>
        <v>1639</v>
      </c>
      <c r="J43" s="73">
        <f t="shared" si="22"/>
        <v>9976</v>
      </c>
      <c r="K43" s="73">
        <f t="shared" si="23"/>
        <v>105247.81721619297</v>
      </c>
      <c r="L43" s="74">
        <f t="shared" si="10"/>
        <v>69615158.279356465</v>
      </c>
      <c r="M43" s="75"/>
      <c r="N43" s="76">
        <v>29080260.984114606</v>
      </c>
      <c r="O43" s="73">
        <v>32928.043600197016</v>
      </c>
      <c r="P43" s="73">
        <v>35090.426909811511</v>
      </c>
      <c r="Q43" s="73">
        <v>35958.831266485242</v>
      </c>
      <c r="R43" s="73">
        <v>36515.179629620136</v>
      </c>
      <c r="S43" s="73">
        <v>23583.531148789676</v>
      </c>
      <c r="T43" s="73">
        <v>28530</v>
      </c>
      <c r="U43" s="73">
        <v>1639</v>
      </c>
      <c r="V43" s="73">
        <v>9976</v>
      </c>
      <c r="W43" s="73">
        <v>105247.81721619297</v>
      </c>
      <c r="X43" s="77">
        <f t="shared" si="24"/>
        <v>29389729.813885704</v>
      </c>
      <c r="Y43" s="75"/>
      <c r="Z43" s="76">
        <v>38351328.889189757</v>
      </c>
      <c r="AA43" s="73">
        <v>4230.0088823888364</v>
      </c>
      <c r="AB43" s="73">
        <v>109.7283981543315</v>
      </c>
      <c r="AC43" s="73">
        <v>311.83900045274072</v>
      </c>
      <c r="AD43" s="73">
        <v>0</v>
      </c>
      <c r="AE43" s="73">
        <v>0</v>
      </c>
      <c r="AF43" s="73">
        <v>0</v>
      </c>
      <c r="AG43" s="73">
        <v>0</v>
      </c>
      <c r="AH43" s="73">
        <v>0</v>
      </c>
      <c r="AI43" s="73">
        <v>0</v>
      </c>
      <c r="AJ43" s="77">
        <f t="shared" si="25"/>
        <v>38355980.465470754</v>
      </c>
      <c r="AK43" s="75"/>
      <c r="AL43" s="72">
        <v>1869448</v>
      </c>
      <c r="AM43" s="73">
        <v>0</v>
      </c>
      <c r="AN43" s="73">
        <v>0</v>
      </c>
      <c r="AO43" s="73">
        <v>0</v>
      </c>
      <c r="AP43" s="73">
        <v>0</v>
      </c>
      <c r="AQ43" s="73">
        <v>0</v>
      </c>
      <c r="AR43" s="73">
        <v>0</v>
      </c>
      <c r="AS43" s="73">
        <v>0</v>
      </c>
      <c r="AT43" s="73">
        <v>0</v>
      </c>
      <c r="AU43" s="73">
        <v>0</v>
      </c>
      <c r="AV43" s="77">
        <f t="shared" si="26"/>
        <v>1869448</v>
      </c>
      <c r="AW43" s="52"/>
    </row>
    <row r="44" spans="1:49" s="71" customFormat="1">
      <c r="A44" s="71" t="s">
        <v>63</v>
      </c>
      <c r="B44" s="72">
        <f t="shared" si="14"/>
        <v>29813826.549104646</v>
      </c>
      <c r="C44" s="73">
        <f t="shared" si="15"/>
        <v>29548.598687829868</v>
      </c>
      <c r="D44" s="73">
        <f t="shared" si="16"/>
        <v>30106.011866893739</v>
      </c>
      <c r="E44" s="73">
        <f t="shared" si="17"/>
        <v>28883.152598387547</v>
      </c>
      <c r="F44" s="73">
        <f t="shared" si="18"/>
        <v>28080.565540382264</v>
      </c>
      <c r="G44" s="73">
        <f t="shared" si="19"/>
        <v>26890.910184026045</v>
      </c>
      <c r="H44" s="73">
        <f t="shared" si="20"/>
        <v>24237</v>
      </c>
      <c r="I44" s="73">
        <f t="shared" si="21"/>
        <v>23617</v>
      </c>
      <c r="J44" s="73">
        <f t="shared" si="22"/>
        <v>-8915</v>
      </c>
      <c r="K44" s="73">
        <f t="shared" si="23"/>
        <v>78347.601614521613</v>
      </c>
      <c r="L44" s="74">
        <f t="shared" si="10"/>
        <v>30074622.389596686</v>
      </c>
      <c r="M44" s="75"/>
      <c r="N44" s="76">
        <v>10807720.327076402</v>
      </c>
      <c r="O44" s="73">
        <v>27086.670918467455</v>
      </c>
      <c r="P44" s="73">
        <v>30006.40883708153</v>
      </c>
      <c r="Q44" s="73">
        <v>28598.786834663511</v>
      </c>
      <c r="R44" s="73">
        <v>28080.565540382264</v>
      </c>
      <c r="S44" s="73">
        <v>26890.910184026045</v>
      </c>
      <c r="T44" s="73">
        <v>24237</v>
      </c>
      <c r="U44" s="73">
        <v>23617</v>
      </c>
      <c r="V44" s="73">
        <v>-8915</v>
      </c>
      <c r="W44" s="73">
        <v>78347.601614521613</v>
      </c>
      <c r="X44" s="77">
        <f t="shared" si="24"/>
        <v>11065670.271005545</v>
      </c>
      <c r="Y44" s="75"/>
      <c r="Z44" s="76">
        <v>19006106.222028244</v>
      </c>
      <c r="AA44" s="73">
        <v>2461.9277693624135</v>
      </c>
      <c r="AB44" s="73">
        <v>99.603029812207794</v>
      </c>
      <c r="AC44" s="73">
        <v>284.36576372403425</v>
      </c>
      <c r="AD44" s="73">
        <v>0</v>
      </c>
      <c r="AE44" s="73">
        <v>0</v>
      </c>
      <c r="AF44" s="73">
        <v>0</v>
      </c>
      <c r="AG44" s="73">
        <v>0</v>
      </c>
      <c r="AH44" s="73">
        <v>0</v>
      </c>
      <c r="AI44" s="73">
        <v>0</v>
      </c>
      <c r="AJ44" s="77">
        <f t="shared" si="25"/>
        <v>19008952.118591145</v>
      </c>
      <c r="AK44" s="75"/>
      <c r="AL44" s="72">
        <v>0</v>
      </c>
      <c r="AM44" s="73">
        <v>0</v>
      </c>
      <c r="AN44" s="73">
        <v>0</v>
      </c>
      <c r="AO44" s="73">
        <v>0</v>
      </c>
      <c r="AP44" s="73">
        <v>0</v>
      </c>
      <c r="AQ44" s="73">
        <v>0</v>
      </c>
      <c r="AR44" s="73">
        <v>0</v>
      </c>
      <c r="AS44" s="73">
        <v>0</v>
      </c>
      <c r="AT44" s="73">
        <v>0</v>
      </c>
      <c r="AU44" s="73">
        <v>0</v>
      </c>
      <c r="AV44" s="77">
        <f t="shared" si="26"/>
        <v>0</v>
      </c>
      <c r="AW44" s="52"/>
    </row>
    <row r="45" spans="1:49" s="71" customFormat="1">
      <c r="A45" s="71" t="s">
        <v>64</v>
      </c>
      <c r="B45" s="72">
        <f t="shared" si="14"/>
        <v>33402078.637224488</v>
      </c>
      <c r="C45" s="73">
        <f t="shared" si="15"/>
        <v>31616.602623803388</v>
      </c>
      <c r="D45" s="73">
        <f t="shared" si="16"/>
        <v>24493.79566892689</v>
      </c>
      <c r="E45" s="73">
        <f t="shared" si="17"/>
        <v>23853.162611442986</v>
      </c>
      <c r="F45" s="73">
        <f t="shared" si="18"/>
        <v>13484.559165357459</v>
      </c>
      <c r="G45" s="73">
        <f t="shared" si="19"/>
        <v>1997.1418215412964</v>
      </c>
      <c r="H45" s="73">
        <f t="shared" si="20"/>
        <v>10441</v>
      </c>
      <c r="I45" s="73">
        <f t="shared" si="21"/>
        <v>6764</v>
      </c>
      <c r="J45" s="73">
        <f t="shared" si="22"/>
        <v>6344</v>
      </c>
      <c r="K45" s="73">
        <f t="shared" si="23"/>
        <v>19858.209787781881</v>
      </c>
      <c r="L45" s="74">
        <f t="shared" si="10"/>
        <v>33540931.108903341</v>
      </c>
      <c r="M45" s="75"/>
      <c r="N45" s="76">
        <v>15609664.949989498</v>
      </c>
      <c r="O45" s="73">
        <v>29428.169111027593</v>
      </c>
      <c r="P45" s="73">
        <v>24414.534655461703</v>
      </c>
      <c r="Q45" s="73">
        <v>23644.268987573669</v>
      </c>
      <c r="R45" s="73">
        <v>13484.559165357459</v>
      </c>
      <c r="S45" s="73">
        <v>1997.1418215412964</v>
      </c>
      <c r="T45" s="73">
        <v>10441</v>
      </c>
      <c r="U45" s="73">
        <v>6764</v>
      </c>
      <c r="V45" s="73">
        <v>6344</v>
      </c>
      <c r="W45" s="73">
        <v>19858.209787781881</v>
      </c>
      <c r="X45" s="77">
        <f t="shared" si="24"/>
        <v>15746040.833518241</v>
      </c>
      <c r="Y45" s="75"/>
      <c r="Z45" s="76">
        <v>17792413.68723499</v>
      </c>
      <c r="AA45" s="73">
        <v>2188.4335127757963</v>
      </c>
      <c r="AB45" s="73">
        <v>79.26101346518675</v>
      </c>
      <c r="AC45" s="73">
        <v>208.89362386931734</v>
      </c>
      <c r="AD45" s="73">
        <v>0</v>
      </c>
      <c r="AE45" s="73">
        <v>0</v>
      </c>
      <c r="AF45" s="73">
        <v>0</v>
      </c>
      <c r="AG45" s="73">
        <v>0</v>
      </c>
      <c r="AH45" s="73">
        <v>0</v>
      </c>
      <c r="AI45" s="73">
        <v>0</v>
      </c>
      <c r="AJ45" s="77">
        <f t="shared" si="25"/>
        <v>17794890.275385104</v>
      </c>
      <c r="AK45" s="75"/>
      <c r="AL45" s="72">
        <v>0</v>
      </c>
      <c r="AM45" s="73">
        <v>0</v>
      </c>
      <c r="AN45" s="73">
        <v>0</v>
      </c>
      <c r="AO45" s="73">
        <v>0</v>
      </c>
      <c r="AP45" s="73">
        <v>0</v>
      </c>
      <c r="AQ45" s="73">
        <v>0</v>
      </c>
      <c r="AR45" s="73">
        <v>0</v>
      </c>
      <c r="AS45" s="73">
        <v>0</v>
      </c>
      <c r="AT45" s="73">
        <v>0</v>
      </c>
      <c r="AU45" s="73">
        <v>0</v>
      </c>
      <c r="AV45" s="77">
        <f t="shared" si="26"/>
        <v>0</v>
      </c>
      <c r="AW45" s="52"/>
    </row>
    <row r="46" spans="1:49" s="71" customFormat="1">
      <c r="A46" s="71" t="s">
        <v>65</v>
      </c>
      <c r="B46" s="72">
        <f t="shared" si="14"/>
        <v>220032729.06461713</v>
      </c>
      <c r="C46" s="73">
        <f t="shared" si="15"/>
        <v>72018.566341007638</v>
      </c>
      <c r="D46" s="73">
        <f t="shared" si="16"/>
        <v>15726.067783255145</v>
      </c>
      <c r="E46" s="73">
        <f t="shared" si="17"/>
        <v>43815.588971693542</v>
      </c>
      <c r="F46" s="73">
        <f t="shared" si="18"/>
        <v>25692.398108477853</v>
      </c>
      <c r="G46" s="73">
        <f t="shared" si="19"/>
        <v>32579.61334556825</v>
      </c>
      <c r="H46" s="73">
        <f t="shared" si="20"/>
        <v>19786</v>
      </c>
      <c r="I46" s="73">
        <f t="shared" si="21"/>
        <v>21437</v>
      </c>
      <c r="J46" s="73">
        <f t="shared" si="22"/>
        <v>22668</v>
      </c>
      <c r="K46" s="73">
        <f t="shared" si="23"/>
        <v>89129.350228365249</v>
      </c>
      <c r="L46" s="74">
        <f t="shared" si="10"/>
        <v>220375581.64939553</v>
      </c>
      <c r="M46" s="75"/>
      <c r="N46" s="76">
        <v>46279941.012186944</v>
      </c>
      <c r="O46" s="73">
        <v>69784.868312061066</v>
      </c>
      <c r="P46" s="73">
        <v>15451.288989353565</v>
      </c>
      <c r="Q46" s="73">
        <v>43326.089309085539</v>
      </c>
      <c r="R46" s="73">
        <v>25692.398108477853</v>
      </c>
      <c r="S46" s="73">
        <v>32579.61334556825</v>
      </c>
      <c r="T46" s="73">
        <v>19786</v>
      </c>
      <c r="U46" s="73">
        <v>21437</v>
      </c>
      <c r="V46" s="73">
        <v>22668</v>
      </c>
      <c r="W46" s="73">
        <v>89129.350228365249</v>
      </c>
      <c r="X46" s="77">
        <f t="shared" si="24"/>
        <v>46619795.620479852</v>
      </c>
      <c r="Y46" s="75"/>
      <c r="Z46" s="76">
        <v>173752788.05243018</v>
      </c>
      <c r="AA46" s="73">
        <v>2233.6980289465764</v>
      </c>
      <c r="AB46" s="73">
        <v>274.77879390157921</v>
      </c>
      <c r="AC46" s="73">
        <v>489.49966260800392</v>
      </c>
      <c r="AD46" s="73">
        <v>0</v>
      </c>
      <c r="AE46" s="73">
        <v>0</v>
      </c>
      <c r="AF46" s="73">
        <v>0</v>
      </c>
      <c r="AG46" s="73">
        <v>0</v>
      </c>
      <c r="AH46" s="73">
        <v>0</v>
      </c>
      <c r="AI46" s="73">
        <v>0</v>
      </c>
      <c r="AJ46" s="77">
        <f t="shared" si="25"/>
        <v>173755786.02891564</v>
      </c>
      <c r="AK46" s="75"/>
      <c r="AL46" s="72">
        <v>0</v>
      </c>
      <c r="AM46" s="73">
        <v>0</v>
      </c>
      <c r="AN46" s="73">
        <v>0</v>
      </c>
      <c r="AO46" s="73">
        <v>0</v>
      </c>
      <c r="AP46" s="73">
        <v>0</v>
      </c>
      <c r="AQ46" s="73">
        <v>0</v>
      </c>
      <c r="AR46" s="73">
        <v>0</v>
      </c>
      <c r="AS46" s="73">
        <v>0</v>
      </c>
      <c r="AT46" s="73">
        <v>0</v>
      </c>
      <c r="AU46" s="73">
        <v>0</v>
      </c>
      <c r="AV46" s="77">
        <f t="shared" si="26"/>
        <v>0</v>
      </c>
      <c r="AW46" s="52"/>
    </row>
    <row r="47" spans="1:49" s="71" customFormat="1">
      <c r="A47" s="71" t="s">
        <v>66</v>
      </c>
      <c r="B47" s="72">
        <f t="shared" si="14"/>
        <v>1030864.5232010824</v>
      </c>
      <c r="C47" s="73">
        <f t="shared" si="15"/>
        <v>19832.480763048501</v>
      </c>
      <c r="D47" s="73">
        <f t="shared" si="16"/>
        <v>205.29863692688974</v>
      </c>
      <c r="E47" s="73">
        <f t="shared" si="17"/>
        <v>0</v>
      </c>
      <c r="F47" s="73">
        <f t="shared" si="18"/>
        <v>0</v>
      </c>
      <c r="G47" s="73">
        <f t="shared" si="19"/>
        <v>0</v>
      </c>
      <c r="H47" s="73">
        <f t="shared" si="20"/>
        <v>0</v>
      </c>
      <c r="I47" s="73">
        <f t="shared" si="21"/>
        <v>0</v>
      </c>
      <c r="J47" s="73">
        <f t="shared" si="22"/>
        <v>0</v>
      </c>
      <c r="K47" s="73">
        <f t="shared" si="23"/>
        <v>0</v>
      </c>
      <c r="L47" s="74">
        <f t="shared" si="10"/>
        <v>1050902.3026010576</v>
      </c>
      <c r="M47" s="75"/>
      <c r="N47" s="76">
        <v>578015.0115333423</v>
      </c>
      <c r="O47" s="73">
        <v>10601.334006143437</v>
      </c>
      <c r="P47" s="73">
        <v>109.74115881272057</v>
      </c>
      <c r="Q47" s="73">
        <v>0</v>
      </c>
      <c r="R47" s="73">
        <v>0</v>
      </c>
      <c r="S47" s="73">
        <v>0</v>
      </c>
      <c r="T47" s="73">
        <v>0</v>
      </c>
      <c r="U47" s="73">
        <v>0</v>
      </c>
      <c r="V47" s="73">
        <v>0</v>
      </c>
      <c r="W47" s="73">
        <v>0</v>
      </c>
      <c r="X47" s="77">
        <f t="shared" si="24"/>
        <v>588726.08669829846</v>
      </c>
      <c r="Y47" s="75"/>
      <c r="Z47" s="76">
        <v>452849.51166774001</v>
      </c>
      <c r="AA47" s="73">
        <v>9231.1467569050637</v>
      </c>
      <c r="AB47" s="73">
        <v>95.557478114169186</v>
      </c>
      <c r="AC47" s="73">
        <v>0</v>
      </c>
      <c r="AD47" s="73">
        <v>0</v>
      </c>
      <c r="AE47" s="73">
        <v>0</v>
      </c>
      <c r="AF47" s="73">
        <v>0</v>
      </c>
      <c r="AG47" s="73">
        <v>0</v>
      </c>
      <c r="AH47" s="73">
        <v>0</v>
      </c>
      <c r="AI47" s="73">
        <v>0</v>
      </c>
      <c r="AJ47" s="77">
        <f t="shared" si="25"/>
        <v>462176.21590275923</v>
      </c>
      <c r="AK47" s="75"/>
      <c r="AL47" s="72">
        <v>0</v>
      </c>
      <c r="AM47" s="73">
        <v>0</v>
      </c>
      <c r="AN47" s="73">
        <v>0</v>
      </c>
      <c r="AO47" s="73">
        <v>0</v>
      </c>
      <c r="AP47" s="73">
        <v>0</v>
      </c>
      <c r="AQ47" s="73">
        <v>0</v>
      </c>
      <c r="AR47" s="73">
        <v>0</v>
      </c>
      <c r="AS47" s="73">
        <v>0</v>
      </c>
      <c r="AT47" s="73">
        <v>0</v>
      </c>
      <c r="AU47" s="73">
        <v>0</v>
      </c>
      <c r="AV47" s="77">
        <f t="shared" si="26"/>
        <v>0</v>
      </c>
      <c r="AW47" s="52"/>
    </row>
    <row r="48" spans="1:49" s="71" customFormat="1">
      <c r="A48" s="71" t="s">
        <v>67</v>
      </c>
      <c r="B48" s="72">
        <f t="shared" si="14"/>
        <v>25779239.654325455</v>
      </c>
      <c r="C48" s="73">
        <f t="shared" si="15"/>
        <v>2351.7686182947755</v>
      </c>
      <c r="D48" s="73">
        <f t="shared" si="16"/>
        <v>2305.8401446213861</v>
      </c>
      <c r="E48" s="73">
        <f t="shared" si="17"/>
        <v>2117.6505172077668</v>
      </c>
      <c r="F48" s="73">
        <f t="shared" si="18"/>
        <v>1560.228039542128</v>
      </c>
      <c r="G48" s="73">
        <f t="shared" si="19"/>
        <v>-578.51423585041698</v>
      </c>
      <c r="H48" s="73">
        <f t="shared" si="20"/>
        <v>490</v>
      </c>
      <c r="I48" s="73">
        <f t="shared" si="21"/>
        <v>603</v>
      </c>
      <c r="J48" s="73">
        <f t="shared" si="22"/>
        <v>614</v>
      </c>
      <c r="K48" s="73">
        <f t="shared" si="23"/>
        <v>8140.804519607047</v>
      </c>
      <c r="L48" s="74">
        <f t="shared" si="10"/>
        <v>25796844.431928877</v>
      </c>
      <c r="M48" s="75"/>
      <c r="N48" s="76">
        <v>3271071.4000319112</v>
      </c>
      <c r="O48" s="73">
        <v>291.9352659951852</v>
      </c>
      <c r="P48" s="73">
        <v>2295.2948939662801</v>
      </c>
      <c r="Q48" s="73">
        <v>2087.6801790086106</v>
      </c>
      <c r="R48" s="73">
        <v>1560.228039542128</v>
      </c>
      <c r="S48" s="73">
        <v>-578.51423585041698</v>
      </c>
      <c r="T48" s="73">
        <v>490</v>
      </c>
      <c r="U48" s="73">
        <v>603</v>
      </c>
      <c r="V48" s="73">
        <v>614</v>
      </c>
      <c r="W48" s="73">
        <v>8140.804519607047</v>
      </c>
      <c r="X48" s="77">
        <f t="shared" si="24"/>
        <v>3286575.8286941801</v>
      </c>
      <c r="Y48" s="75"/>
      <c r="Z48" s="76">
        <v>22508168.254293542</v>
      </c>
      <c r="AA48" s="73">
        <v>2059.8333522995904</v>
      </c>
      <c r="AB48" s="73">
        <v>10.545250655106097</v>
      </c>
      <c r="AC48" s="73">
        <v>29.970338199156458</v>
      </c>
      <c r="AD48" s="73">
        <v>0</v>
      </c>
      <c r="AE48" s="73">
        <v>0</v>
      </c>
      <c r="AF48" s="73">
        <v>0</v>
      </c>
      <c r="AG48" s="73">
        <v>0</v>
      </c>
      <c r="AH48" s="73">
        <v>0</v>
      </c>
      <c r="AI48" s="73">
        <v>0</v>
      </c>
      <c r="AJ48" s="77">
        <f t="shared" si="25"/>
        <v>22510268.603234697</v>
      </c>
      <c r="AK48" s="75"/>
      <c r="AL48" s="72">
        <v>0</v>
      </c>
      <c r="AM48" s="73">
        <v>0</v>
      </c>
      <c r="AN48" s="73">
        <v>0</v>
      </c>
      <c r="AO48" s="73">
        <v>0</v>
      </c>
      <c r="AP48" s="73">
        <v>0</v>
      </c>
      <c r="AQ48" s="73">
        <v>0</v>
      </c>
      <c r="AR48" s="73">
        <v>0</v>
      </c>
      <c r="AS48" s="73">
        <v>0</v>
      </c>
      <c r="AT48" s="73">
        <v>0</v>
      </c>
      <c r="AU48" s="73">
        <v>0</v>
      </c>
      <c r="AV48" s="77">
        <f t="shared" si="26"/>
        <v>0</v>
      </c>
      <c r="AW48" s="52"/>
    </row>
    <row r="49" spans="1:49" s="71" customFormat="1">
      <c r="A49" s="71" t="s">
        <v>68</v>
      </c>
      <c r="B49" s="72">
        <f t="shared" si="14"/>
        <v>40149881.560643472</v>
      </c>
      <c r="C49" s="73">
        <f t="shared" si="15"/>
        <v>5745.1166677503252</v>
      </c>
      <c r="D49" s="73">
        <f t="shared" si="16"/>
        <v>2406.3735068771762</v>
      </c>
      <c r="E49" s="73">
        <f t="shared" si="17"/>
        <v>2622.6506386949122</v>
      </c>
      <c r="F49" s="73">
        <f t="shared" si="18"/>
        <v>2803.8267220480257</v>
      </c>
      <c r="G49" s="73">
        <f t="shared" si="19"/>
        <v>2903.6185867458757</v>
      </c>
      <c r="H49" s="73">
        <f t="shared" si="20"/>
        <v>-1571</v>
      </c>
      <c r="I49" s="73">
        <f t="shared" si="21"/>
        <v>783</v>
      </c>
      <c r="J49" s="73">
        <f t="shared" si="22"/>
        <v>-1379</v>
      </c>
      <c r="K49" s="73">
        <f t="shared" si="23"/>
        <v>893.06861700138302</v>
      </c>
      <c r="L49" s="74">
        <f t="shared" si="10"/>
        <v>40165089.215382583</v>
      </c>
      <c r="M49" s="75"/>
      <c r="N49" s="76">
        <v>17538709.375745963</v>
      </c>
      <c r="O49" s="73">
        <v>3732.48262638187</v>
      </c>
      <c r="P49" s="73">
        <v>2401.0202678086043</v>
      </c>
      <c r="Q49" s="73">
        <v>2606.2881694066468</v>
      </c>
      <c r="R49" s="73">
        <v>2803.8267220480257</v>
      </c>
      <c r="S49" s="73">
        <v>2903.6185867458757</v>
      </c>
      <c r="T49" s="73">
        <v>-1571</v>
      </c>
      <c r="U49" s="73">
        <v>783</v>
      </c>
      <c r="V49" s="73">
        <v>-1379</v>
      </c>
      <c r="W49" s="73">
        <v>893.06861700138302</v>
      </c>
      <c r="X49" s="77">
        <f t="shared" si="24"/>
        <v>17551882.680735353</v>
      </c>
      <c r="Y49" s="75"/>
      <c r="Z49" s="76">
        <v>22611172.184897508</v>
      </c>
      <c r="AA49" s="73">
        <v>2012.6340413684552</v>
      </c>
      <c r="AB49" s="73">
        <v>5.3532390685718827</v>
      </c>
      <c r="AC49" s="73">
        <v>16.362469288265409</v>
      </c>
      <c r="AD49" s="73">
        <v>0</v>
      </c>
      <c r="AE49" s="73">
        <v>0</v>
      </c>
      <c r="AF49" s="73">
        <v>0</v>
      </c>
      <c r="AG49" s="73">
        <v>0</v>
      </c>
      <c r="AH49" s="73">
        <v>0</v>
      </c>
      <c r="AI49" s="73">
        <v>0</v>
      </c>
      <c r="AJ49" s="77">
        <f t="shared" si="25"/>
        <v>22613206.534647234</v>
      </c>
      <c r="AK49" s="75"/>
      <c r="AL49" s="72">
        <v>0</v>
      </c>
      <c r="AM49" s="73">
        <v>0</v>
      </c>
      <c r="AN49" s="73">
        <v>0</v>
      </c>
      <c r="AO49" s="73">
        <v>0</v>
      </c>
      <c r="AP49" s="73">
        <v>0</v>
      </c>
      <c r="AQ49" s="73">
        <v>0</v>
      </c>
      <c r="AR49" s="73">
        <v>0</v>
      </c>
      <c r="AS49" s="73">
        <v>0</v>
      </c>
      <c r="AT49" s="73">
        <v>0</v>
      </c>
      <c r="AU49" s="73">
        <v>0</v>
      </c>
      <c r="AV49" s="77">
        <f t="shared" si="26"/>
        <v>0</v>
      </c>
      <c r="AW49" s="52"/>
    </row>
    <row r="50" spans="1:49" s="71" customFormat="1">
      <c r="A50" s="71" t="s">
        <v>69</v>
      </c>
      <c r="B50" s="72">
        <f t="shared" si="14"/>
        <v>9733381.3605925385</v>
      </c>
      <c r="C50" s="73">
        <f t="shared" si="15"/>
        <v>7751.2418229891973</v>
      </c>
      <c r="D50" s="73">
        <f t="shared" si="16"/>
        <v>1978.5098641892091</v>
      </c>
      <c r="E50" s="73">
        <f t="shared" si="17"/>
        <v>3868.4766510679483</v>
      </c>
      <c r="F50" s="73">
        <f t="shared" si="18"/>
        <v>-443.69404233377054</v>
      </c>
      <c r="G50" s="73">
        <f t="shared" si="19"/>
        <v>1310.4070220358824</v>
      </c>
      <c r="H50" s="73">
        <f t="shared" si="20"/>
        <v>1077</v>
      </c>
      <c r="I50" s="73">
        <f t="shared" si="21"/>
        <v>-1329</v>
      </c>
      <c r="J50" s="73">
        <f t="shared" si="22"/>
        <v>278</v>
      </c>
      <c r="K50" s="73">
        <f t="shared" si="23"/>
        <v>8344.093931622454</v>
      </c>
      <c r="L50" s="74">
        <f t="shared" si="10"/>
        <v>9756216.3958421107</v>
      </c>
      <c r="M50" s="75"/>
      <c r="N50" s="76">
        <v>6823150.0923324367</v>
      </c>
      <c r="O50" s="73">
        <v>7429.2872666206022</v>
      </c>
      <c r="P50" s="73">
        <v>1968.7949264009183</v>
      </c>
      <c r="Q50" s="73">
        <v>3850.4474706252327</v>
      </c>
      <c r="R50" s="73">
        <v>-443.69404233377054</v>
      </c>
      <c r="S50" s="73">
        <v>1310.4070220358824</v>
      </c>
      <c r="T50" s="73">
        <v>1077</v>
      </c>
      <c r="U50" s="73">
        <v>-1329</v>
      </c>
      <c r="V50" s="73">
        <v>278</v>
      </c>
      <c r="W50" s="73">
        <v>8344.093931622454</v>
      </c>
      <c r="X50" s="77">
        <f t="shared" si="24"/>
        <v>6845635.4289074084</v>
      </c>
      <c r="Y50" s="75"/>
      <c r="Z50" s="76">
        <v>2910231.2682601013</v>
      </c>
      <c r="AA50" s="73">
        <v>321.95455636859549</v>
      </c>
      <c r="AB50" s="73">
        <v>9.7149377882908521</v>
      </c>
      <c r="AC50" s="73">
        <v>18.02918044271545</v>
      </c>
      <c r="AD50" s="73">
        <v>0</v>
      </c>
      <c r="AE50" s="73">
        <v>0</v>
      </c>
      <c r="AF50" s="73">
        <v>0</v>
      </c>
      <c r="AG50" s="73">
        <v>0</v>
      </c>
      <c r="AH50" s="73">
        <v>0</v>
      </c>
      <c r="AI50" s="73">
        <v>0</v>
      </c>
      <c r="AJ50" s="77">
        <f t="shared" si="25"/>
        <v>2910580.9669347014</v>
      </c>
      <c r="AK50" s="75"/>
      <c r="AL50" s="72">
        <v>0</v>
      </c>
      <c r="AM50" s="73">
        <v>0</v>
      </c>
      <c r="AN50" s="73">
        <v>0</v>
      </c>
      <c r="AO50" s="73">
        <v>0</v>
      </c>
      <c r="AP50" s="73">
        <v>0</v>
      </c>
      <c r="AQ50" s="73">
        <v>0</v>
      </c>
      <c r="AR50" s="73">
        <v>0</v>
      </c>
      <c r="AS50" s="73">
        <v>0</v>
      </c>
      <c r="AT50" s="73">
        <v>0</v>
      </c>
      <c r="AU50" s="73">
        <v>0</v>
      </c>
      <c r="AV50" s="77">
        <f t="shared" si="26"/>
        <v>0</v>
      </c>
      <c r="AW50" s="52"/>
    </row>
    <row r="51" spans="1:49" s="71" customFormat="1">
      <c r="A51" s="71" t="s">
        <v>70</v>
      </c>
      <c r="B51" s="72">
        <f t="shared" si="14"/>
        <v>40658812.316166937</v>
      </c>
      <c r="C51" s="73">
        <f t="shared" si="15"/>
        <v>37158.529435713208</v>
      </c>
      <c r="D51" s="73">
        <f t="shared" si="16"/>
        <v>36192.532257685853</v>
      </c>
      <c r="E51" s="73">
        <f t="shared" si="17"/>
        <v>28473.773414030798</v>
      </c>
      <c r="F51" s="73">
        <f t="shared" si="18"/>
        <v>31133.862852485243</v>
      </c>
      <c r="G51" s="73">
        <f t="shared" si="19"/>
        <v>27412.333680709115</v>
      </c>
      <c r="H51" s="73">
        <f t="shared" si="20"/>
        <v>25316</v>
      </c>
      <c r="I51" s="73">
        <f t="shared" si="21"/>
        <v>15737</v>
      </c>
      <c r="J51" s="73">
        <f t="shared" si="22"/>
        <v>13851</v>
      </c>
      <c r="K51" s="73">
        <f t="shared" si="23"/>
        <v>45519.582406239213</v>
      </c>
      <c r="L51" s="74">
        <f t="shared" si="10"/>
        <v>40919606.930213802</v>
      </c>
      <c r="M51" s="75"/>
      <c r="N51" s="76">
        <v>24448112.450218029</v>
      </c>
      <c r="O51" s="73">
        <v>36450.793684227181</v>
      </c>
      <c r="P51" s="73">
        <v>36105.470007697622</v>
      </c>
      <c r="Q51" s="73">
        <v>28246.303869714626</v>
      </c>
      <c r="R51" s="73">
        <v>31133.862852485243</v>
      </c>
      <c r="S51" s="73">
        <v>27412.333680709115</v>
      </c>
      <c r="T51" s="73">
        <v>25316</v>
      </c>
      <c r="U51" s="73">
        <v>15737</v>
      </c>
      <c r="V51" s="73">
        <v>13851</v>
      </c>
      <c r="W51" s="73">
        <v>45519.582406239213</v>
      </c>
      <c r="X51" s="77">
        <f t="shared" si="24"/>
        <v>24707884.796719097</v>
      </c>
      <c r="Y51" s="75"/>
      <c r="Z51" s="76">
        <v>16210699.865948904</v>
      </c>
      <c r="AA51" s="73">
        <v>707.73575148602959</v>
      </c>
      <c r="AB51" s="73">
        <v>87.062249988228004</v>
      </c>
      <c r="AC51" s="73">
        <v>227.46954431617294</v>
      </c>
      <c r="AD51" s="73">
        <v>0</v>
      </c>
      <c r="AE51" s="73">
        <v>0</v>
      </c>
      <c r="AF51" s="73">
        <v>0</v>
      </c>
      <c r="AG51" s="73">
        <v>0</v>
      </c>
      <c r="AH51" s="73">
        <v>0</v>
      </c>
      <c r="AI51" s="73">
        <v>0</v>
      </c>
      <c r="AJ51" s="77">
        <f t="shared" si="25"/>
        <v>16211722.133494694</v>
      </c>
      <c r="AK51" s="75"/>
      <c r="AL51" s="72">
        <v>0</v>
      </c>
      <c r="AM51" s="73">
        <v>0</v>
      </c>
      <c r="AN51" s="73">
        <v>0</v>
      </c>
      <c r="AO51" s="73">
        <v>0</v>
      </c>
      <c r="AP51" s="73">
        <v>0</v>
      </c>
      <c r="AQ51" s="73">
        <v>0</v>
      </c>
      <c r="AR51" s="73">
        <v>0</v>
      </c>
      <c r="AS51" s="73">
        <v>0</v>
      </c>
      <c r="AT51" s="73">
        <v>0</v>
      </c>
      <c r="AU51" s="73">
        <v>0</v>
      </c>
      <c r="AV51" s="77">
        <f t="shared" si="26"/>
        <v>0</v>
      </c>
      <c r="AW51" s="52"/>
    </row>
    <row r="52" spans="1:49" s="71" customFormat="1">
      <c r="A52" s="71" t="s">
        <v>71</v>
      </c>
      <c r="B52" s="72">
        <f t="shared" si="14"/>
        <v>258232233.98212045</v>
      </c>
      <c r="C52" s="73">
        <f t="shared" si="15"/>
        <v>163234.33339179907</v>
      </c>
      <c r="D52" s="73">
        <f t="shared" si="16"/>
        <v>147668.74271896243</v>
      </c>
      <c r="E52" s="73">
        <f t="shared" si="17"/>
        <v>101736.28514013664</v>
      </c>
      <c r="F52" s="73">
        <f t="shared" si="18"/>
        <v>71403.563999234888</v>
      </c>
      <c r="G52" s="73">
        <f t="shared" si="19"/>
        <v>92416.488596103474</v>
      </c>
      <c r="H52" s="73">
        <f t="shared" si="20"/>
        <v>90348</v>
      </c>
      <c r="I52" s="73">
        <f t="shared" si="21"/>
        <v>50006</v>
      </c>
      <c r="J52" s="73">
        <f t="shared" si="22"/>
        <v>56168</v>
      </c>
      <c r="K52" s="73">
        <f t="shared" si="23"/>
        <v>327296.26073061995</v>
      </c>
      <c r="L52" s="74">
        <f t="shared" si="10"/>
        <v>259332511.6566973</v>
      </c>
      <c r="M52" s="75"/>
      <c r="N52" s="76">
        <v>109043282.98515052</v>
      </c>
      <c r="O52" s="73">
        <v>159324.80231878831</v>
      </c>
      <c r="P52" s="73">
        <v>147187.81099988433</v>
      </c>
      <c r="Q52" s="73">
        <v>100472.71657173819</v>
      </c>
      <c r="R52" s="73">
        <v>71403.563999234888</v>
      </c>
      <c r="S52" s="73">
        <v>92416.488596103474</v>
      </c>
      <c r="T52" s="73">
        <v>90348</v>
      </c>
      <c r="U52" s="73">
        <v>50006</v>
      </c>
      <c r="V52" s="73">
        <v>56168</v>
      </c>
      <c r="W52" s="73">
        <v>327296.26073061995</v>
      </c>
      <c r="X52" s="77">
        <f t="shared" si="24"/>
        <v>110137906.62836687</v>
      </c>
      <c r="Y52" s="75"/>
      <c r="Z52" s="76">
        <v>137332681.99696994</v>
      </c>
      <c r="AA52" s="73">
        <v>3909.5310730107653</v>
      </c>
      <c r="AB52" s="73">
        <v>480.93171907810188</v>
      </c>
      <c r="AC52" s="73">
        <v>1263.5685683984475</v>
      </c>
      <c r="AD52" s="73">
        <v>0</v>
      </c>
      <c r="AE52" s="73">
        <v>0</v>
      </c>
      <c r="AF52" s="73">
        <v>0</v>
      </c>
      <c r="AG52" s="73">
        <v>0</v>
      </c>
      <c r="AH52" s="73">
        <v>0</v>
      </c>
      <c r="AI52" s="73">
        <v>0</v>
      </c>
      <c r="AJ52" s="77">
        <f t="shared" si="25"/>
        <v>137338336.02833042</v>
      </c>
      <c r="AK52" s="75"/>
      <c r="AL52" s="72">
        <v>11856269</v>
      </c>
      <c r="AM52" s="73">
        <v>0</v>
      </c>
      <c r="AN52" s="73">
        <v>0</v>
      </c>
      <c r="AO52" s="73">
        <v>0</v>
      </c>
      <c r="AP52" s="73">
        <v>0</v>
      </c>
      <c r="AQ52" s="73">
        <v>0</v>
      </c>
      <c r="AR52" s="73">
        <v>0</v>
      </c>
      <c r="AS52" s="73">
        <v>0</v>
      </c>
      <c r="AT52" s="73">
        <v>0</v>
      </c>
      <c r="AU52" s="73">
        <v>0</v>
      </c>
      <c r="AV52" s="77">
        <f t="shared" si="26"/>
        <v>11856269</v>
      </c>
    </row>
    <row r="53" spans="1:49" s="71" customFormat="1">
      <c r="A53" s="71" t="s">
        <v>72</v>
      </c>
      <c r="B53" s="72">
        <f t="shared" si="14"/>
        <v>16098255.375482652</v>
      </c>
      <c r="C53" s="73">
        <f t="shared" si="15"/>
        <v>8222.927431475202</v>
      </c>
      <c r="D53" s="73">
        <f t="shared" si="16"/>
        <v>7115.3250710716893</v>
      </c>
      <c r="E53" s="73">
        <f t="shared" si="17"/>
        <v>7435.3633754726006</v>
      </c>
      <c r="F53" s="73">
        <f t="shared" si="18"/>
        <v>-2897.9709781279289</v>
      </c>
      <c r="G53" s="73">
        <f t="shared" si="19"/>
        <v>1574.8012456100012</v>
      </c>
      <c r="H53" s="73">
        <f t="shared" si="20"/>
        <v>1593</v>
      </c>
      <c r="I53" s="73">
        <f t="shared" si="21"/>
        <v>1606</v>
      </c>
      <c r="J53" s="73">
        <f t="shared" si="22"/>
        <v>1607</v>
      </c>
      <c r="K53" s="73">
        <f t="shared" si="23"/>
        <v>7021.5538941019786</v>
      </c>
      <c r="L53" s="74">
        <f t="shared" si="10"/>
        <v>16131533.375522256</v>
      </c>
      <c r="M53" s="75"/>
      <c r="N53" s="76">
        <v>8773513.9982085489</v>
      </c>
      <c r="O53" s="73">
        <v>7490.1512733726267</v>
      </c>
      <c r="P53" s="73">
        <v>7100.6101139723742</v>
      </c>
      <c r="Q53" s="73">
        <v>7391.0361648926755</v>
      </c>
      <c r="R53" s="73">
        <v>-2897.9709781279289</v>
      </c>
      <c r="S53" s="73">
        <v>1574.8012456100012</v>
      </c>
      <c r="T53" s="73">
        <v>1593</v>
      </c>
      <c r="U53" s="73">
        <v>1606</v>
      </c>
      <c r="V53" s="73">
        <v>1607</v>
      </c>
      <c r="W53" s="73">
        <v>7021.5538941019786</v>
      </c>
      <c r="X53" s="77">
        <f t="shared" si="24"/>
        <v>8806000.1799223721</v>
      </c>
      <c r="Y53" s="75"/>
      <c r="Z53" s="76">
        <v>7077956.3772741044</v>
      </c>
      <c r="AA53" s="73">
        <v>732.77615810257475</v>
      </c>
      <c r="AB53" s="73">
        <v>14.714957099315189</v>
      </c>
      <c r="AC53" s="73">
        <v>44.32721057992476</v>
      </c>
      <c r="AD53" s="73">
        <v>0</v>
      </c>
      <c r="AE53" s="73">
        <v>0</v>
      </c>
      <c r="AF53" s="73">
        <v>0</v>
      </c>
      <c r="AG53" s="73">
        <v>0</v>
      </c>
      <c r="AH53" s="73">
        <v>0</v>
      </c>
      <c r="AI53" s="73">
        <v>0</v>
      </c>
      <c r="AJ53" s="77">
        <f t="shared" si="25"/>
        <v>7078748.1955998866</v>
      </c>
      <c r="AK53" s="75"/>
      <c r="AL53" s="72">
        <v>246785</v>
      </c>
      <c r="AM53" s="73">
        <v>0</v>
      </c>
      <c r="AN53" s="73">
        <v>0</v>
      </c>
      <c r="AO53" s="73">
        <v>0</v>
      </c>
      <c r="AP53" s="73">
        <v>0</v>
      </c>
      <c r="AQ53" s="73">
        <v>0</v>
      </c>
      <c r="AR53" s="73">
        <v>0</v>
      </c>
      <c r="AS53" s="73">
        <v>0</v>
      </c>
      <c r="AT53" s="73">
        <v>0</v>
      </c>
      <c r="AU53" s="73">
        <v>0</v>
      </c>
      <c r="AV53" s="77">
        <f t="shared" si="26"/>
        <v>246785</v>
      </c>
    </row>
    <row r="54" spans="1:49" s="71" customFormat="1">
      <c r="A54" s="71" t="s">
        <v>73</v>
      </c>
      <c r="B54" s="72">
        <f t="shared" si="14"/>
        <v>0</v>
      </c>
      <c r="C54" s="73">
        <f t="shared" si="15"/>
        <v>0</v>
      </c>
      <c r="D54" s="73">
        <f t="shared" si="16"/>
        <v>0</v>
      </c>
      <c r="E54" s="73">
        <f t="shared" si="17"/>
        <v>0</v>
      </c>
      <c r="F54" s="73">
        <f t="shared" si="18"/>
        <v>0</v>
      </c>
      <c r="G54" s="73">
        <f t="shared" si="19"/>
        <v>0</v>
      </c>
      <c r="H54" s="73">
        <f t="shared" si="20"/>
        <v>0</v>
      </c>
      <c r="I54" s="73">
        <f t="shared" si="21"/>
        <v>0</v>
      </c>
      <c r="J54" s="73">
        <f t="shared" si="22"/>
        <v>0</v>
      </c>
      <c r="K54" s="73">
        <f t="shared" si="23"/>
        <v>0</v>
      </c>
      <c r="L54" s="74">
        <f t="shared" si="10"/>
        <v>0</v>
      </c>
      <c r="M54" s="75"/>
      <c r="N54" s="76">
        <v>0</v>
      </c>
      <c r="O54" s="73">
        <v>0</v>
      </c>
      <c r="P54" s="73">
        <v>0</v>
      </c>
      <c r="Q54" s="73">
        <v>0</v>
      </c>
      <c r="R54" s="73">
        <v>0</v>
      </c>
      <c r="S54" s="73">
        <v>0</v>
      </c>
      <c r="T54" s="73">
        <v>0</v>
      </c>
      <c r="U54" s="73">
        <v>0</v>
      </c>
      <c r="V54" s="73">
        <v>0</v>
      </c>
      <c r="W54" s="73">
        <v>0</v>
      </c>
      <c r="X54" s="77">
        <f t="shared" si="24"/>
        <v>0</v>
      </c>
      <c r="Y54" s="75"/>
      <c r="Z54" s="76">
        <v>0</v>
      </c>
      <c r="AA54" s="73">
        <v>0</v>
      </c>
      <c r="AB54" s="73">
        <v>0</v>
      </c>
      <c r="AC54" s="73">
        <v>0</v>
      </c>
      <c r="AD54" s="73">
        <v>0</v>
      </c>
      <c r="AE54" s="73">
        <v>0</v>
      </c>
      <c r="AF54" s="73">
        <v>0</v>
      </c>
      <c r="AG54" s="73">
        <v>0</v>
      </c>
      <c r="AH54" s="73">
        <v>0</v>
      </c>
      <c r="AI54" s="73">
        <v>0</v>
      </c>
      <c r="AJ54" s="77">
        <f t="shared" si="25"/>
        <v>0</v>
      </c>
      <c r="AK54" s="75"/>
      <c r="AL54" s="72">
        <v>0</v>
      </c>
      <c r="AM54" s="73">
        <v>0</v>
      </c>
      <c r="AN54" s="73">
        <v>0</v>
      </c>
      <c r="AO54" s="73">
        <v>0</v>
      </c>
      <c r="AP54" s="73">
        <v>0</v>
      </c>
      <c r="AQ54" s="73">
        <v>0</v>
      </c>
      <c r="AR54" s="73">
        <v>0</v>
      </c>
      <c r="AS54" s="73">
        <v>0</v>
      </c>
      <c r="AT54" s="73">
        <v>0</v>
      </c>
      <c r="AU54" s="73">
        <v>0</v>
      </c>
      <c r="AV54" s="77">
        <f t="shared" si="26"/>
        <v>0</v>
      </c>
    </row>
    <row r="55" spans="1:49" s="71" customFormat="1">
      <c r="A55" s="71" t="s">
        <v>74</v>
      </c>
      <c r="B55" s="72">
        <f t="shared" si="14"/>
        <v>30906920.049262665</v>
      </c>
      <c r="C55" s="73">
        <f t="shared" si="15"/>
        <v>18648.900876597465</v>
      </c>
      <c r="D55" s="73">
        <f t="shared" si="16"/>
        <v>7034.6477775974863</v>
      </c>
      <c r="E55" s="73">
        <f t="shared" si="17"/>
        <v>10079.159321133622</v>
      </c>
      <c r="F55" s="73">
        <f t="shared" si="18"/>
        <v>11223.615815227982</v>
      </c>
      <c r="G55" s="73">
        <f t="shared" si="19"/>
        <v>6993.2611462523191</v>
      </c>
      <c r="H55" s="73">
        <f t="shared" si="20"/>
        <v>8178</v>
      </c>
      <c r="I55" s="73">
        <f t="shared" si="21"/>
        <v>6042</v>
      </c>
      <c r="J55" s="73">
        <f t="shared" si="22"/>
        <v>3477</v>
      </c>
      <c r="K55" s="73">
        <f t="shared" si="23"/>
        <v>33314.630423613853</v>
      </c>
      <c r="L55" s="74">
        <f t="shared" si="10"/>
        <v>31011911.264623087</v>
      </c>
      <c r="M55" s="75"/>
      <c r="N55" s="76">
        <v>10492686.786836997</v>
      </c>
      <c r="O55" s="73">
        <v>16487.315374022397</v>
      </c>
      <c r="P55" s="73">
        <v>6982.3372911181377</v>
      </c>
      <c r="Q55" s="73">
        <v>9965.3172314079875</v>
      </c>
      <c r="R55" s="73">
        <v>11223.615815227982</v>
      </c>
      <c r="S55" s="73">
        <v>6993.2611462523191</v>
      </c>
      <c r="T55" s="73">
        <v>8178</v>
      </c>
      <c r="U55" s="73">
        <v>6042</v>
      </c>
      <c r="V55" s="73">
        <v>3477</v>
      </c>
      <c r="W55" s="73">
        <v>33314.630423613853</v>
      </c>
      <c r="X55" s="77">
        <f t="shared" si="24"/>
        <v>10595350.26411864</v>
      </c>
      <c r="Y55" s="75"/>
      <c r="Z55" s="76">
        <v>20414233.262425669</v>
      </c>
      <c r="AA55" s="73">
        <v>2161.5855025750661</v>
      </c>
      <c r="AB55" s="73">
        <v>52.31048647934864</v>
      </c>
      <c r="AC55" s="73">
        <v>113.84208972563384</v>
      </c>
      <c r="AD55" s="73">
        <v>0</v>
      </c>
      <c r="AE55" s="73">
        <v>0</v>
      </c>
      <c r="AF55" s="73">
        <v>0</v>
      </c>
      <c r="AG55" s="73">
        <v>0</v>
      </c>
      <c r="AH55" s="73">
        <v>0</v>
      </c>
      <c r="AI55" s="73">
        <v>0</v>
      </c>
      <c r="AJ55" s="77">
        <f t="shared" si="25"/>
        <v>20416561.000504449</v>
      </c>
      <c r="AK55" s="75"/>
      <c r="AL55" s="72">
        <v>0</v>
      </c>
      <c r="AM55" s="73">
        <v>0</v>
      </c>
      <c r="AN55" s="73">
        <v>0</v>
      </c>
      <c r="AO55" s="73">
        <v>0</v>
      </c>
      <c r="AP55" s="73">
        <v>0</v>
      </c>
      <c r="AQ55" s="73">
        <v>0</v>
      </c>
      <c r="AR55" s="73">
        <v>0</v>
      </c>
      <c r="AS55" s="73">
        <v>0</v>
      </c>
      <c r="AT55" s="73">
        <v>0</v>
      </c>
      <c r="AU55" s="73">
        <v>0</v>
      </c>
      <c r="AV55" s="77">
        <f t="shared" si="26"/>
        <v>0</v>
      </c>
    </row>
    <row r="56" spans="1:49" s="71" customFormat="1">
      <c r="A56" s="71" t="s">
        <v>75</v>
      </c>
      <c r="B56" s="72">
        <f t="shared" si="14"/>
        <v>83708991.094877437</v>
      </c>
      <c r="C56" s="73">
        <f t="shared" si="15"/>
        <v>14039235.612564374</v>
      </c>
      <c r="D56" s="73">
        <f t="shared" si="16"/>
        <v>89976.232982345828</v>
      </c>
      <c r="E56" s="73">
        <f t="shared" si="17"/>
        <v>80195.055209780054</v>
      </c>
      <c r="F56" s="73">
        <f t="shared" si="18"/>
        <v>43867.901778482978</v>
      </c>
      <c r="G56" s="73">
        <f t="shared" si="19"/>
        <v>45046.012106619499</v>
      </c>
      <c r="H56" s="73">
        <f t="shared" si="20"/>
        <v>37210</v>
      </c>
      <c r="I56" s="73">
        <f t="shared" si="21"/>
        <v>48971</v>
      </c>
      <c r="J56" s="73">
        <f t="shared" si="22"/>
        <v>-19876</v>
      </c>
      <c r="K56" s="73">
        <f t="shared" si="23"/>
        <v>275946.91306825378</v>
      </c>
      <c r="L56" s="74">
        <f t="shared" si="10"/>
        <v>98349563.822587296</v>
      </c>
      <c r="M56" s="75"/>
      <c r="N56" s="76">
        <v>29490131.444901492</v>
      </c>
      <c r="O56" s="73">
        <v>4872345.6957977982</v>
      </c>
      <c r="P56" s="73">
        <v>78815.71401618961</v>
      </c>
      <c r="Q56" s="73">
        <v>79450.337871067139</v>
      </c>
      <c r="R56" s="73">
        <v>43867.901778482978</v>
      </c>
      <c r="S56" s="73">
        <v>45046.012106619499</v>
      </c>
      <c r="T56" s="73">
        <v>37210</v>
      </c>
      <c r="U56" s="73">
        <v>48971</v>
      </c>
      <c r="V56" s="73">
        <v>-19876</v>
      </c>
      <c r="W56" s="73">
        <v>275946.91306825378</v>
      </c>
      <c r="X56" s="77">
        <f t="shared" si="24"/>
        <v>34951909.019539908</v>
      </c>
      <c r="Y56" s="75"/>
      <c r="Z56" s="76">
        <v>51986721.649975941</v>
      </c>
      <c r="AA56" s="73">
        <v>9166889.9167665746</v>
      </c>
      <c r="AB56" s="73">
        <v>11160.518966156224</v>
      </c>
      <c r="AC56" s="73">
        <v>744.71733871291224</v>
      </c>
      <c r="AD56" s="73">
        <v>0</v>
      </c>
      <c r="AE56" s="73">
        <v>0</v>
      </c>
      <c r="AF56" s="73">
        <v>0</v>
      </c>
      <c r="AG56" s="73">
        <v>0</v>
      </c>
      <c r="AH56" s="73">
        <v>0</v>
      </c>
      <c r="AI56" s="73">
        <v>0</v>
      </c>
      <c r="AJ56" s="77">
        <f t="shared" si="25"/>
        <v>61165516.803047381</v>
      </c>
      <c r="AK56" s="75"/>
      <c r="AL56" s="72">
        <v>2232138</v>
      </c>
      <c r="AM56" s="73">
        <v>0</v>
      </c>
      <c r="AN56" s="73">
        <v>0</v>
      </c>
      <c r="AO56" s="73">
        <v>0</v>
      </c>
      <c r="AP56" s="73">
        <v>0</v>
      </c>
      <c r="AQ56" s="73">
        <v>0</v>
      </c>
      <c r="AR56" s="73">
        <v>0</v>
      </c>
      <c r="AS56" s="73">
        <v>0</v>
      </c>
      <c r="AT56" s="73">
        <v>0</v>
      </c>
      <c r="AU56" s="73">
        <v>0</v>
      </c>
      <c r="AV56" s="77">
        <f t="shared" si="26"/>
        <v>2232138</v>
      </c>
    </row>
    <row r="57" spans="1:49" s="71" customFormat="1">
      <c r="A57" s="71" t="s">
        <v>76</v>
      </c>
      <c r="B57" s="72">
        <f t="shared" si="14"/>
        <v>5550463.2377873017</v>
      </c>
      <c r="C57" s="73">
        <f t="shared" si="15"/>
        <v>1235.4917153307235</v>
      </c>
      <c r="D57" s="73">
        <f t="shared" si="16"/>
        <v>-1429.1577974776442</v>
      </c>
      <c r="E57" s="73">
        <f t="shared" si="17"/>
        <v>0</v>
      </c>
      <c r="F57" s="73">
        <f t="shared" si="18"/>
        <v>-1545</v>
      </c>
      <c r="G57" s="73">
        <f t="shared" si="19"/>
        <v>0</v>
      </c>
      <c r="H57" s="73">
        <f t="shared" si="20"/>
        <v>0</v>
      </c>
      <c r="I57" s="73">
        <f t="shared" si="21"/>
        <v>0</v>
      </c>
      <c r="J57" s="73">
        <f t="shared" si="22"/>
        <v>0</v>
      </c>
      <c r="K57" s="73">
        <f t="shared" si="23"/>
        <v>0</v>
      </c>
      <c r="L57" s="74">
        <f t="shared" si="10"/>
        <v>5548724.5717051551</v>
      </c>
      <c r="M57" s="75"/>
      <c r="N57" s="76">
        <v>1879390.8551916424</v>
      </c>
      <c r="O57" s="73">
        <v>1202.3930813595236</v>
      </c>
      <c r="P57" s="73">
        <v>-1433.229432320195</v>
      </c>
      <c r="Q57" s="73">
        <v>0</v>
      </c>
      <c r="R57" s="73">
        <v>-1545</v>
      </c>
      <c r="S57" s="73">
        <v>0</v>
      </c>
      <c r="T57" s="73">
        <v>0</v>
      </c>
      <c r="U57" s="73">
        <v>0</v>
      </c>
      <c r="V57" s="73">
        <v>0</v>
      </c>
      <c r="W57" s="73">
        <v>0</v>
      </c>
      <c r="X57" s="77">
        <f t="shared" si="24"/>
        <v>1877615.0188406818</v>
      </c>
      <c r="Y57" s="75"/>
      <c r="Z57" s="76">
        <v>3671072.3825956592</v>
      </c>
      <c r="AA57" s="73">
        <v>33.098633971199874</v>
      </c>
      <c r="AB57" s="73">
        <v>4.0716348425508944</v>
      </c>
      <c r="AC57" s="73">
        <v>0</v>
      </c>
      <c r="AD57" s="73">
        <v>0</v>
      </c>
      <c r="AE57" s="73">
        <v>0</v>
      </c>
      <c r="AF57" s="73">
        <v>0</v>
      </c>
      <c r="AG57" s="73">
        <v>0</v>
      </c>
      <c r="AH57" s="73">
        <v>0</v>
      </c>
      <c r="AI57" s="73">
        <v>0</v>
      </c>
      <c r="AJ57" s="77">
        <f t="shared" si="25"/>
        <v>3671109.5528644728</v>
      </c>
      <c r="AK57" s="75"/>
      <c r="AL57" s="72">
        <v>0</v>
      </c>
      <c r="AM57" s="73">
        <v>0</v>
      </c>
      <c r="AN57" s="73">
        <v>0</v>
      </c>
      <c r="AO57" s="73">
        <v>0</v>
      </c>
      <c r="AP57" s="73">
        <v>0</v>
      </c>
      <c r="AQ57" s="73">
        <v>0</v>
      </c>
      <c r="AR57" s="73">
        <v>0</v>
      </c>
      <c r="AS57" s="73">
        <v>0</v>
      </c>
      <c r="AT57" s="73">
        <v>0</v>
      </c>
      <c r="AU57" s="73">
        <v>0</v>
      </c>
      <c r="AV57" s="77">
        <f t="shared" si="26"/>
        <v>0</v>
      </c>
    </row>
    <row r="58" spans="1:49" s="71" customFormat="1">
      <c r="A58" s="71" t="s">
        <v>77</v>
      </c>
      <c r="B58" s="72">
        <f t="shared" si="14"/>
        <v>67139485.280352265</v>
      </c>
      <c r="C58" s="73">
        <f t="shared" si="15"/>
        <v>12003.884837854626</v>
      </c>
      <c r="D58" s="73">
        <f t="shared" si="16"/>
        <v>10556.925989160341</v>
      </c>
      <c r="E58" s="73">
        <f t="shared" si="17"/>
        <v>6262.5665888270987</v>
      </c>
      <c r="F58" s="73">
        <f t="shared" si="18"/>
        <v>4041.4040049443051</v>
      </c>
      <c r="G58" s="73">
        <f t="shared" si="19"/>
        <v>5434.9516914832175</v>
      </c>
      <c r="H58" s="73">
        <f t="shared" si="20"/>
        <v>5120</v>
      </c>
      <c r="I58" s="73">
        <f t="shared" si="21"/>
        <v>5837</v>
      </c>
      <c r="J58" s="73">
        <f t="shared" si="22"/>
        <v>6050</v>
      </c>
      <c r="K58" s="73">
        <f t="shared" si="23"/>
        <v>22754.315047623561</v>
      </c>
      <c r="L58" s="74">
        <f t="shared" si="10"/>
        <v>67217546.328512162</v>
      </c>
      <c r="M58" s="75"/>
      <c r="N58" s="76">
        <v>14787859.701660128</v>
      </c>
      <c r="O58" s="73">
        <v>11623.123802332415</v>
      </c>
      <c r="P58" s="73">
        <v>10510.086596928415</v>
      </c>
      <c r="Q58" s="73">
        <v>6134.3484477714073</v>
      </c>
      <c r="R58" s="73">
        <v>4041.4040049443051</v>
      </c>
      <c r="S58" s="73">
        <v>5434.9516914832175</v>
      </c>
      <c r="T58" s="73">
        <v>5120</v>
      </c>
      <c r="U58" s="73">
        <v>5837</v>
      </c>
      <c r="V58" s="73">
        <v>6050</v>
      </c>
      <c r="W58" s="73">
        <v>22754.315047623561</v>
      </c>
      <c r="X58" s="77">
        <f t="shared" si="24"/>
        <v>14865364.931251213</v>
      </c>
      <c r="Y58" s="75"/>
      <c r="Z58" s="76">
        <v>52270138.578692138</v>
      </c>
      <c r="AA58" s="73">
        <v>380.76103552221201</v>
      </c>
      <c r="AB58" s="73">
        <v>46.839392231926482</v>
      </c>
      <c r="AC58" s="73">
        <v>128.21814105569158</v>
      </c>
      <c r="AD58" s="73">
        <v>0</v>
      </c>
      <c r="AE58" s="73">
        <v>0</v>
      </c>
      <c r="AF58" s="73">
        <v>0</v>
      </c>
      <c r="AG58" s="73">
        <v>0</v>
      </c>
      <c r="AH58" s="73">
        <v>0</v>
      </c>
      <c r="AI58" s="73">
        <v>0</v>
      </c>
      <c r="AJ58" s="77">
        <f t="shared" si="25"/>
        <v>52270694.397260949</v>
      </c>
      <c r="AK58" s="75"/>
      <c r="AL58" s="72">
        <v>81487</v>
      </c>
      <c r="AM58" s="73">
        <v>0</v>
      </c>
      <c r="AN58" s="73">
        <v>0</v>
      </c>
      <c r="AO58" s="73">
        <v>0</v>
      </c>
      <c r="AP58" s="73">
        <v>0</v>
      </c>
      <c r="AQ58" s="73">
        <v>0</v>
      </c>
      <c r="AR58" s="73">
        <v>0</v>
      </c>
      <c r="AS58" s="73">
        <v>0</v>
      </c>
      <c r="AT58" s="73">
        <v>0</v>
      </c>
      <c r="AU58" s="73">
        <v>0</v>
      </c>
      <c r="AV58" s="77">
        <f t="shared" si="26"/>
        <v>81487</v>
      </c>
    </row>
    <row r="59" spans="1:49" s="71" customFormat="1">
      <c r="A59" s="71" t="s">
        <v>78</v>
      </c>
      <c r="B59" s="72">
        <f t="shared" si="14"/>
        <v>6759653.3004518785</v>
      </c>
      <c r="C59" s="73">
        <f t="shared" si="15"/>
        <v>1708.0434884258282</v>
      </c>
      <c r="D59" s="73">
        <f t="shared" si="16"/>
        <v>1725.0013372753117</v>
      </c>
      <c r="E59" s="73">
        <f t="shared" si="17"/>
        <v>1768.9645220093812</v>
      </c>
      <c r="F59" s="73">
        <f t="shared" si="18"/>
        <v>1842.0901045150611</v>
      </c>
      <c r="G59" s="73">
        <f t="shared" si="19"/>
        <v>1916.0888904012725</v>
      </c>
      <c r="H59" s="73">
        <f t="shared" si="20"/>
        <v>1898</v>
      </c>
      <c r="I59" s="73">
        <f t="shared" si="21"/>
        <v>1870</v>
      </c>
      <c r="J59" s="73">
        <f t="shared" si="22"/>
        <v>1787</v>
      </c>
      <c r="K59" s="73">
        <f t="shared" si="23"/>
        <v>5890.4612940721299</v>
      </c>
      <c r="L59" s="74">
        <f t="shared" si="10"/>
        <v>6780058.9500885773</v>
      </c>
      <c r="M59" s="75"/>
      <c r="N59" s="76">
        <v>3102614.1504053744</v>
      </c>
      <c r="O59" s="73">
        <v>1670.4780117631542</v>
      </c>
      <c r="P59" s="73">
        <v>1720.3802129174344</v>
      </c>
      <c r="Q59" s="73">
        <v>1755.70150004529</v>
      </c>
      <c r="R59" s="73">
        <v>1842.0901045150611</v>
      </c>
      <c r="S59" s="73">
        <v>1916.0888904012725</v>
      </c>
      <c r="T59" s="73">
        <v>1898</v>
      </c>
      <c r="U59" s="73">
        <v>1870</v>
      </c>
      <c r="V59" s="73">
        <v>1787</v>
      </c>
      <c r="W59" s="73">
        <v>5890.4612940721299</v>
      </c>
      <c r="X59" s="77">
        <f t="shared" si="24"/>
        <v>3122964.3504190887</v>
      </c>
      <c r="Y59" s="75"/>
      <c r="Z59" s="76">
        <v>3657039.1500465046</v>
      </c>
      <c r="AA59" s="73">
        <v>37.565476662673952</v>
      </c>
      <c r="AB59" s="73">
        <v>4.6211243578772683</v>
      </c>
      <c r="AC59" s="73">
        <v>13.263021964091264</v>
      </c>
      <c r="AD59" s="73">
        <v>0</v>
      </c>
      <c r="AE59" s="73">
        <v>0</v>
      </c>
      <c r="AF59" s="73">
        <v>0</v>
      </c>
      <c r="AG59" s="73">
        <v>0</v>
      </c>
      <c r="AH59" s="73">
        <v>0</v>
      </c>
      <c r="AI59" s="73">
        <v>0</v>
      </c>
      <c r="AJ59" s="77">
        <f t="shared" si="25"/>
        <v>3657094.5996694891</v>
      </c>
      <c r="AK59" s="75"/>
      <c r="AL59" s="72">
        <v>0</v>
      </c>
      <c r="AM59" s="73">
        <v>0</v>
      </c>
      <c r="AN59" s="73">
        <v>0</v>
      </c>
      <c r="AO59" s="73">
        <v>0</v>
      </c>
      <c r="AP59" s="73">
        <v>0</v>
      </c>
      <c r="AQ59" s="73">
        <v>0</v>
      </c>
      <c r="AR59" s="73">
        <v>0</v>
      </c>
      <c r="AS59" s="73">
        <v>0</v>
      </c>
      <c r="AT59" s="73">
        <v>0</v>
      </c>
      <c r="AU59" s="73">
        <v>0</v>
      </c>
      <c r="AV59" s="77">
        <f t="shared" si="26"/>
        <v>0</v>
      </c>
    </row>
    <row r="60" spans="1:49" s="71" customFormat="1">
      <c r="A60" s="71" t="s">
        <v>79</v>
      </c>
      <c r="B60" s="72">
        <f t="shared" si="14"/>
        <v>0</v>
      </c>
      <c r="C60" s="73">
        <f t="shared" si="15"/>
        <v>0</v>
      </c>
      <c r="D60" s="73">
        <f t="shared" si="16"/>
        <v>0</v>
      </c>
      <c r="E60" s="73">
        <f t="shared" si="17"/>
        <v>0</v>
      </c>
      <c r="F60" s="73">
        <f t="shared" si="18"/>
        <v>0</v>
      </c>
      <c r="G60" s="73">
        <f t="shared" si="19"/>
        <v>0</v>
      </c>
      <c r="H60" s="73">
        <f t="shared" si="20"/>
        <v>0</v>
      </c>
      <c r="I60" s="73">
        <f t="shared" si="21"/>
        <v>0</v>
      </c>
      <c r="J60" s="73">
        <f t="shared" si="22"/>
        <v>0</v>
      </c>
      <c r="K60" s="73">
        <f t="shared" si="23"/>
        <v>0</v>
      </c>
      <c r="L60" s="74">
        <f t="shared" si="10"/>
        <v>0</v>
      </c>
      <c r="M60" s="75"/>
      <c r="N60" s="76">
        <v>0</v>
      </c>
      <c r="O60" s="73">
        <v>0</v>
      </c>
      <c r="P60" s="73">
        <v>0</v>
      </c>
      <c r="Q60" s="73">
        <v>0</v>
      </c>
      <c r="R60" s="73">
        <v>0</v>
      </c>
      <c r="S60" s="73">
        <v>0</v>
      </c>
      <c r="T60" s="73">
        <v>0</v>
      </c>
      <c r="U60" s="73">
        <v>0</v>
      </c>
      <c r="V60" s="73">
        <v>0</v>
      </c>
      <c r="W60" s="73">
        <v>0</v>
      </c>
      <c r="X60" s="77">
        <f t="shared" si="24"/>
        <v>0</v>
      </c>
      <c r="Y60" s="75"/>
      <c r="Z60" s="76">
        <v>0</v>
      </c>
      <c r="AA60" s="73">
        <v>0</v>
      </c>
      <c r="AB60" s="73">
        <v>0</v>
      </c>
      <c r="AC60" s="73">
        <v>0</v>
      </c>
      <c r="AD60" s="73">
        <v>0</v>
      </c>
      <c r="AE60" s="73">
        <v>0</v>
      </c>
      <c r="AF60" s="73">
        <v>0</v>
      </c>
      <c r="AG60" s="73">
        <v>0</v>
      </c>
      <c r="AH60" s="73">
        <v>0</v>
      </c>
      <c r="AI60" s="73">
        <v>0</v>
      </c>
      <c r="AJ60" s="77">
        <f t="shared" si="25"/>
        <v>0</v>
      </c>
      <c r="AK60" s="75"/>
      <c r="AL60" s="72">
        <v>0</v>
      </c>
      <c r="AM60" s="73">
        <v>0</v>
      </c>
      <c r="AN60" s="73">
        <v>0</v>
      </c>
      <c r="AO60" s="73">
        <v>0</v>
      </c>
      <c r="AP60" s="73">
        <v>0</v>
      </c>
      <c r="AQ60" s="73">
        <v>0</v>
      </c>
      <c r="AR60" s="73">
        <v>0</v>
      </c>
      <c r="AS60" s="73">
        <v>0</v>
      </c>
      <c r="AT60" s="73">
        <v>0</v>
      </c>
      <c r="AU60" s="73">
        <v>0</v>
      </c>
      <c r="AV60" s="77">
        <f t="shared" si="26"/>
        <v>0</v>
      </c>
    </row>
    <row r="61" spans="1:49" s="71" customFormat="1">
      <c r="B61" s="76"/>
      <c r="C61" s="75"/>
      <c r="D61" s="75"/>
      <c r="E61" s="75"/>
      <c r="F61" s="75"/>
      <c r="G61" s="75"/>
      <c r="H61" s="75"/>
      <c r="I61" s="75"/>
      <c r="J61" s="75"/>
      <c r="K61" s="75"/>
      <c r="L61" s="74"/>
      <c r="M61" s="75"/>
      <c r="N61" s="76"/>
      <c r="O61" s="79"/>
      <c r="P61" s="79"/>
      <c r="Q61" s="79"/>
      <c r="R61" s="79"/>
      <c r="S61" s="79"/>
      <c r="T61" s="79"/>
      <c r="U61" s="79"/>
      <c r="V61" s="79"/>
      <c r="W61" s="79"/>
      <c r="X61" s="77"/>
      <c r="Y61" s="75"/>
      <c r="Z61" s="76"/>
      <c r="AA61" s="79"/>
      <c r="AB61" s="79"/>
      <c r="AC61" s="79"/>
      <c r="AD61" s="79"/>
      <c r="AE61" s="79"/>
      <c r="AF61" s="79"/>
      <c r="AG61" s="79"/>
      <c r="AH61" s="79"/>
      <c r="AI61" s="79"/>
      <c r="AJ61" s="77"/>
      <c r="AK61" s="75"/>
      <c r="AL61" s="72"/>
      <c r="AM61" s="79"/>
      <c r="AN61" s="79"/>
      <c r="AO61" s="79"/>
      <c r="AP61" s="79"/>
      <c r="AQ61" s="79"/>
      <c r="AR61" s="79"/>
      <c r="AS61" s="79"/>
      <c r="AT61" s="79"/>
      <c r="AU61" s="79"/>
      <c r="AV61" s="77"/>
    </row>
    <row r="62" spans="1:49" s="71" customFormat="1" ht="15.75" thickBot="1">
      <c r="A62" s="71" t="s">
        <v>8</v>
      </c>
      <c r="B62" s="80">
        <f>SUM(B8:B60)</f>
        <v>2972504607.0502229</v>
      </c>
      <c r="C62" s="81">
        <f t="shared" ref="C62:W62" si="27">SUM(C8:C60)</f>
        <v>36175592.903276093</v>
      </c>
      <c r="D62" s="81">
        <f t="shared" si="27"/>
        <v>1097245.0000000002</v>
      </c>
      <c r="E62" s="81">
        <f t="shared" si="27"/>
        <v>1003430.9199999999</v>
      </c>
      <c r="F62" s="81">
        <f t="shared" si="27"/>
        <v>852350.16000000015</v>
      </c>
      <c r="G62" s="81">
        <f t="shared" si="27"/>
        <v>754645.37000000011</v>
      </c>
      <c r="H62" s="81">
        <f t="shared" si="27"/>
        <v>615812</v>
      </c>
      <c r="I62" s="81">
        <f t="shared" si="27"/>
        <v>485626</v>
      </c>
      <c r="J62" s="81">
        <f t="shared" si="27"/>
        <v>369461</v>
      </c>
      <c r="K62" s="81">
        <f t="shared" si="27"/>
        <v>2767079.1152675455</v>
      </c>
      <c r="L62" s="82">
        <f t="shared" si="27"/>
        <v>3016625849.5187678</v>
      </c>
      <c r="M62" s="75"/>
      <c r="N62" s="80">
        <f t="shared" si="27"/>
        <v>1195738907.8864641</v>
      </c>
      <c r="O62" s="83">
        <f t="shared" si="27"/>
        <v>13071747.311684651</v>
      </c>
      <c r="P62" s="83">
        <f t="shared" si="27"/>
        <v>1065941.2568382055</v>
      </c>
      <c r="Q62" s="83">
        <f t="shared" si="27"/>
        <v>995070.95352485927</v>
      </c>
      <c r="R62" s="83">
        <f t="shared" si="27"/>
        <v>852350.16000000015</v>
      </c>
      <c r="S62" s="83">
        <f t="shared" si="27"/>
        <v>754645.37000000011</v>
      </c>
      <c r="T62" s="83">
        <f t="shared" si="27"/>
        <v>615812</v>
      </c>
      <c r="U62" s="83">
        <f t="shared" si="27"/>
        <v>485626</v>
      </c>
      <c r="V62" s="83">
        <f t="shared" si="27"/>
        <v>369461</v>
      </c>
      <c r="W62" s="83">
        <f t="shared" si="27"/>
        <v>2767079.1152675455</v>
      </c>
      <c r="X62" s="84">
        <f>SUM(X8:X60)</f>
        <v>1216716641.0537789</v>
      </c>
      <c r="Y62" s="75"/>
      <c r="Z62" s="80">
        <f t="shared" ref="Z62:AJ62" si="28">SUM(Z8:Z60)</f>
        <v>1744383109.1637595</v>
      </c>
      <c r="AA62" s="85">
        <f t="shared" si="28"/>
        <v>23103845.59159144</v>
      </c>
      <c r="AB62" s="85">
        <f t="shared" si="28"/>
        <v>31303.74316179434</v>
      </c>
      <c r="AC62" s="85">
        <f t="shared" si="28"/>
        <v>8359.9664751406162</v>
      </c>
      <c r="AD62" s="85">
        <f t="shared" si="28"/>
        <v>0</v>
      </c>
      <c r="AE62" s="85">
        <f t="shared" si="28"/>
        <v>0</v>
      </c>
      <c r="AF62" s="85">
        <f t="shared" si="28"/>
        <v>0</v>
      </c>
      <c r="AG62" s="85">
        <f t="shared" si="28"/>
        <v>0</v>
      </c>
      <c r="AH62" s="85">
        <f t="shared" si="28"/>
        <v>0</v>
      </c>
      <c r="AI62" s="85">
        <f t="shared" si="28"/>
        <v>0</v>
      </c>
      <c r="AJ62" s="84">
        <f t="shared" si="28"/>
        <v>1767526618.4649882</v>
      </c>
      <c r="AK62" s="75"/>
      <c r="AL62" s="86">
        <f t="shared" ref="AL62:AV62" si="29">SUM(AL8:AL60)</f>
        <v>32382590</v>
      </c>
      <c r="AM62" s="81">
        <f t="shared" si="29"/>
        <v>0</v>
      </c>
      <c r="AN62" s="81">
        <f t="shared" si="29"/>
        <v>0</v>
      </c>
      <c r="AO62" s="81">
        <f t="shared" si="29"/>
        <v>0</v>
      </c>
      <c r="AP62" s="81">
        <f t="shared" si="29"/>
        <v>0</v>
      </c>
      <c r="AQ62" s="81">
        <f t="shared" si="29"/>
        <v>0</v>
      </c>
      <c r="AR62" s="81">
        <f t="shared" si="29"/>
        <v>0</v>
      </c>
      <c r="AS62" s="81">
        <f t="shared" si="29"/>
        <v>0</v>
      </c>
      <c r="AT62" s="81">
        <f t="shared" si="29"/>
        <v>0</v>
      </c>
      <c r="AU62" s="81">
        <f t="shared" si="29"/>
        <v>0</v>
      </c>
      <c r="AV62" s="84">
        <f t="shared" si="29"/>
        <v>32382590</v>
      </c>
    </row>
  </sheetData>
  <mergeCells count="9">
    <mergeCell ref="AL2:AV2"/>
    <mergeCell ref="B5:B6"/>
    <mergeCell ref="K5:K6"/>
    <mergeCell ref="N5:N6"/>
    <mergeCell ref="W5:W6"/>
    <mergeCell ref="Z5:Z6"/>
    <mergeCell ref="AI5:AI6"/>
    <mergeCell ref="AL5:AL6"/>
    <mergeCell ref="AU5:AU6"/>
  </mergeCells>
  <pageMargins left="0.25" right="0.25" top="0.5" bottom="0.35" header="0.3" footer="0.2"/>
  <pageSetup paperSize="5" scale="60" orientation="landscape" r:id="rId1"/>
  <headerFooter>
    <oddHeader>&amp;L&amp;D&amp;T
[File]&amp;F&amp;RUNAUDITED
© NOLHGA</oddHeader>
    <oddFooter>&amp;LFor member company and association use only.  The data utilizes estimates and excludes many costs incurred directly by the State Guaranty Associations.  It MAY NOT be utilized in protesting actual assessments made by State Guaranty Associations.</oddFooter>
  </headerFooter>
  <colBreaks count="3" manualBreakCount="3">
    <brk id="13" max="61" man="1"/>
    <brk id="25" max="61" man="1"/>
    <brk id="37" max="61"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101</vt:i4>
      </vt:variant>
      <vt:variant>
        <vt:lpstr>Named Ranges</vt:lpstr>
      </vt:variant>
      <vt:variant>
        <vt:i4>6563</vt:i4>
      </vt:variant>
    </vt:vector>
  </HeadingPairs>
  <TitlesOfParts>
    <vt:vector size="6664" baseType="lpstr">
      <vt:lpstr>Alabama Life</vt:lpstr>
      <vt:lpstr>American Chambers</vt:lpstr>
      <vt:lpstr>American Community</vt:lpstr>
      <vt:lpstr>American Educators</vt:lpstr>
      <vt:lpstr>American Integrity</vt:lpstr>
      <vt:lpstr>Amer Life Asr</vt:lpstr>
      <vt:lpstr>American Network</vt:lpstr>
      <vt:lpstr>Amer Std Life Acc</vt:lpstr>
      <vt:lpstr>AmerWstrn</vt:lpstr>
      <vt:lpstr>AMS Life</vt:lpstr>
      <vt:lpstr>Andrew Jackson</vt:lpstr>
      <vt:lpstr>Bankers Commercial</vt:lpstr>
      <vt:lpstr>Benicorp</vt:lpstr>
      <vt:lpstr>Booker T Washington</vt:lpstr>
      <vt:lpstr>Centennial</vt:lpstr>
      <vt:lpstr>Coastal States</vt:lpstr>
      <vt:lpstr>Colorado Health</vt:lpstr>
      <vt:lpstr>Compass (dbs Meritus)</vt:lpstr>
      <vt:lpstr>Confed Life &amp; Annty (CLIAC)</vt:lpstr>
      <vt:lpstr>Confed Life (CLIC)</vt:lpstr>
      <vt:lpstr>Consolidated National</vt:lpstr>
      <vt:lpstr>Consumers Choice</vt:lpstr>
      <vt:lpstr>Consumers Mutual</vt:lpstr>
      <vt:lpstr>Consumers United</vt:lpstr>
      <vt:lpstr>CoOportunity</vt:lpstr>
      <vt:lpstr>Coordinated Hlth</vt:lpstr>
      <vt:lpstr>Corporate Life</vt:lpstr>
      <vt:lpstr>Diamond Benefits</vt:lpstr>
      <vt:lpstr>EBL Life</vt:lpstr>
      <vt:lpstr>Executive Life</vt:lpstr>
      <vt:lpstr>ELNY</vt:lpstr>
      <vt:lpstr>Family Guaranty</vt:lpstr>
      <vt:lpstr>Farmers &amp; Ranchers</vt:lpstr>
      <vt:lpstr>Fidelity Bankers</vt:lpstr>
      <vt:lpstr>Fidelity Mutual</vt:lpstr>
      <vt:lpstr>First Capital</vt:lpstr>
      <vt:lpstr>First Natl</vt:lpstr>
      <vt:lpstr>First Natl (Thrnr)</vt:lpstr>
      <vt:lpstr>Franklin American</vt:lpstr>
      <vt:lpstr>Franklin Protective</vt:lpstr>
      <vt:lpstr>Freelancers CO-OP</vt:lpstr>
      <vt:lpstr>George Washington</vt:lpstr>
      <vt:lpstr>Golden State</vt:lpstr>
      <vt:lpstr>Guarantee Security</vt:lpstr>
      <vt:lpstr>HealthyCT</vt:lpstr>
      <vt:lpstr>Imerica</vt:lpstr>
      <vt:lpstr>Inter-American</vt:lpstr>
      <vt:lpstr>International Fin</vt:lpstr>
      <vt:lpstr>Investment Life of America</vt:lpstr>
      <vt:lpstr>Investors Equity</vt:lpstr>
      <vt:lpstr>Kentucky Central</vt:lpstr>
      <vt:lpstr>Land of Lincoln</vt:lpstr>
      <vt:lpstr>Legion</vt:lpstr>
      <vt:lpstr>Life Health America</vt:lpstr>
      <vt:lpstr>Lincoln Memorial</vt:lpstr>
      <vt:lpstr>London Pac</vt:lpstr>
      <vt:lpstr>Lumbermens</vt:lpstr>
      <vt:lpstr>Medical Savings</vt:lpstr>
      <vt:lpstr>Memorial Service</vt:lpstr>
      <vt:lpstr>Midcontinent</vt:lpstr>
      <vt:lpstr>Midwest Life</vt:lpstr>
      <vt:lpstr>Monarch Life</vt:lpstr>
      <vt:lpstr>Mutual Benefit</vt:lpstr>
      <vt:lpstr>Mutual Security</vt:lpstr>
      <vt:lpstr>National Affiliated</vt:lpstr>
      <vt:lpstr>Natl American</vt:lpstr>
      <vt:lpstr>National Heritage</vt:lpstr>
      <vt:lpstr>National States</vt:lpstr>
      <vt:lpstr>New Jersey Life</vt:lpstr>
      <vt:lpstr>NNIC</vt:lpstr>
      <vt:lpstr>Old Colony Life</vt:lpstr>
      <vt:lpstr>Old Faithful</vt:lpstr>
      <vt:lpstr>Pacific Standard</vt:lpstr>
      <vt:lpstr>Pen  Treaty</vt:lpstr>
      <vt:lpstr>Reliance</vt:lpstr>
      <vt:lpstr>SeeChange</vt:lpstr>
      <vt:lpstr>Senior American</vt:lpstr>
      <vt:lpstr>Settlers</vt:lpstr>
      <vt:lpstr>Shenandoah</vt:lpstr>
      <vt:lpstr>Standard Life IN</vt:lpstr>
      <vt:lpstr>States General</vt:lpstr>
      <vt:lpstr>Statesman</vt:lpstr>
      <vt:lpstr>Summit National</vt:lpstr>
      <vt:lpstr>Supreme</vt:lpstr>
      <vt:lpstr>Underwriters</vt:lpstr>
      <vt:lpstr>Unison</vt:lpstr>
      <vt:lpstr>United Republic</vt:lpstr>
      <vt:lpstr>Universal Health Care</vt:lpstr>
      <vt:lpstr>Universal Life</vt:lpstr>
      <vt:lpstr>Universe</vt:lpstr>
      <vt:lpstr>Villanova</vt:lpstr>
      <vt:lpstr>Summary</vt:lpstr>
      <vt:lpstr>Pre-Liquidation Summary</vt:lpstr>
      <vt:lpstr>Open Summary</vt:lpstr>
      <vt:lpstr>Closed Summary</vt:lpstr>
      <vt:lpstr>Estate Closed Summary</vt:lpstr>
      <vt:lpstr>Released from Oversight Summary</vt:lpstr>
      <vt:lpstr>Total Summary</vt:lpstr>
      <vt:lpstr>ELIC Funding</vt:lpstr>
      <vt:lpstr>ELIC Recon</vt:lpstr>
      <vt:lpstr>Premium</vt:lpstr>
      <vt:lpstr>'Alabama Life'!ADD_FINANCIAL</vt:lpstr>
      <vt:lpstr>'Amer Life Asr'!ADD_FINANCIAL</vt:lpstr>
      <vt:lpstr>'Amer Std Life Acc'!ADD_FINANCIAL</vt:lpstr>
      <vt:lpstr>'American Chambers'!ADD_FINANCIAL</vt:lpstr>
      <vt:lpstr>'American Community'!ADD_FINANCIAL</vt:lpstr>
      <vt:lpstr>'American Educators'!ADD_FINANCIAL</vt:lpstr>
      <vt:lpstr>'American Integrity'!ADD_FINANCIAL</vt:lpstr>
      <vt:lpstr>'American Network'!ADD_FINANCIAL</vt:lpstr>
      <vt:lpstr>AmerWstrn!ADD_FINANCIAL</vt:lpstr>
      <vt:lpstr>'AMS Life'!ADD_FINANCIAL</vt:lpstr>
      <vt:lpstr>'Andrew Jackson'!ADD_FINANCIAL</vt:lpstr>
      <vt:lpstr>'Bankers Commercial'!ADD_FINANCIAL</vt:lpstr>
      <vt:lpstr>Benicorp!ADD_FINANCIAL</vt:lpstr>
      <vt:lpstr>'Booker T Washington'!ADD_FINANCIAL</vt:lpstr>
      <vt:lpstr>Centennial!ADD_FINANCIAL</vt:lpstr>
      <vt:lpstr>'Coastal States'!ADD_FINANCIAL</vt:lpstr>
      <vt:lpstr>'Colorado Health'!ADD_FINANCIAL</vt:lpstr>
      <vt:lpstr>'Compass (dbs Meritus)'!ADD_FINANCIAL</vt:lpstr>
      <vt:lpstr>'Confed Life &amp; Annty (CLIAC)'!ADD_FINANCIAL</vt:lpstr>
      <vt:lpstr>'Confed Life (CLIC)'!ADD_FINANCIAL</vt:lpstr>
      <vt:lpstr>'Consolidated National'!ADD_FINANCIAL</vt:lpstr>
      <vt:lpstr>'Consumers Choice'!ADD_FINANCIAL</vt:lpstr>
      <vt:lpstr>'Consumers Mutual'!ADD_FINANCIAL</vt:lpstr>
      <vt:lpstr>'Consumers United'!ADD_FINANCIAL</vt:lpstr>
      <vt:lpstr>CoOportunity!ADD_FINANCIAL</vt:lpstr>
      <vt:lpstr>'Coordinated Hlth'!ADD_FINANCIAL</vt:lpstr>
      <vt:lpstr>'Corporate Life'!ADD_FINANCIAL</vt:lpstr>
      <vt:lpstr>'Diamond Benefits'!ADD_FINANCIAL</vt:lpstr>
      <vt:lpstr>'EBL Life'!ADD_FINANCIAL</vt:lpstr>
      <vt:lpstr>ELNY!ADD_FINANCIAL</vt:lpstr>
      <vt:lpstr>'Executive Life'!ADD_FINANCIAL</vt:lpstr>
      <vt:lpstr>'Family Guaranty'!ADD_FINANCIAL</vt:lpstr>
      <vt:lpstr>'Farmers &amp; Ranchers'!ADD_FINANCIAL</vt:lpstr>
      <vt:lpstr>'Fidelity Bankers'!ADD_FINANCIAL</vt:lpstr>
      <vt:lpstr>'Fidelity Mutual'!ADD_FINANCIAL</vt:lpstr>
      <vt:lpstr>'First Capital'!ADD_FINANCIAL</vt:lpstr>
      <vt:lpstr>'First Natl'!ADD_FINANCIAL</vt:lpstr>
      <vt:lpstr>'First Natl (Thrnr)'!ADD_FINANCIAL</vt:lpstr>
      <vt:lpstr>'Franklin American'!ADD_FINANCIAL</vt:lpstr>
      <vt:lpstr>'Franklin Protective'!ADD_FINANCIAL</vt:lpstr>
      <vt:lpstr>'Freelancers CO-OP'!ADD_FINANCIAL</vt:lpstr>
      <vt:lpstr>'George Washington'!ADD_FINANCIAL</vt:lpstr>
      <vt:lpstr>'Golden State'!ADD_FINANCIAL</vt:lpstr>
      <vt:lpstr>'Guarantee Security'!ADD_FINANCIAL</vt:lpstr>
      <vt:lpstr>HealthyCT!ADD_FINANCIAL</vt:lpstr>
      <vt:lpstr>Imerica!ADD_FINANCIAL</vt:lpstr>
      <vt:lpstr>'Inter-American'!ADD_FINANCIAL</vt:lpstr>
      <vt:lpstr>'International Fin'!ADD_FINANCIAL</vt:lpstr>
      <vt:lpstr>'Investment Life of America'!ADD_FINANCIAL</vt:lpstr>
      <vt:lpstr>'Investors Equity'!ADD_FINANCIAL</vt:lpstr>
      <vt:lpstr>'Kentucky Central'!ADD_FINANCIAL</vt:lpstr>
      <vt:lpstr>'Land of Lincoln'!ADD_FINANCIAL</vt:lpstr>
      <vt:lpstr>Legion!ADD_FINANCIAL</vt:lpstr>
      <vt:lpstr>'Life Health America'!ADD_FINANCIAL</vt:lpstr>
      <vt:lpstr>'Lincoln Memorial'!ADD_FINANCIAL</vt:lpstr>
      <vt:lpstr>'London Pac'!ADD_FINANCIAL</vt:lpstr>
      <vt:lpstr>Lumbermens!ADD_FINANCIAL</vt:lpstr>
      <vt:lpstr>'Medical Savings'!ADD_FINANCIAL</vt:lpstr>
      <vt:lpstr>'Memorial Service'!ADD_FINANCIAL</vt:lpstr>
      <vt:lpstr>Midcontinent!ADD_FINANCIAL</vt:lpstr>
      <vt:lpstr>'Midwest Life'!ADD_FINANCIAL</vt:lpstr>
      <vt:lpstr>'Monarch Life'!ADD_FINANCIAL</vt:lpstr>
      <vt:lpstr>'Mutual Benefit'!ADD_FINANCIAL</vt:lpstr>
      <vt:lpstr>'Mutual Security'!ADD_FINANCIAL</vt:lpstr>
      <vt:lpstr>'National Affiliated'!ADD_FINANCIAL</vt:lpstr>
      <vt:lpstr>'National Heritage'!ADD_FINANCIAL</vt:lpstr>
      <vt:lpstr>'National States'!ADD_FINANCIAL</vt:lpstr>
      <vt:lpstr>'Natl American'!ADD_FINANCIAL</vt:lpstr>
      <vt:lpstr>'New Jersey Life'!ADD_FINANCIAL</vt:lpstr>
      <vt:lpstr>NNIC!ADD_FINANCIAL</vt:lpstr>
      <vt:lpstr>'Old Colony Life'!ADD_FINANCIAL</vt:lpstr>
      <vt:lpstr>'Old Faithful'!ADD_FINANCIAL</vt:lpstr>
      <vt:lpstr>'Pacific Standard'!ADD_FINANCIAL</vt:lpstr>
      <vt:lpstr>'Pen  Treaty'!ADD_FINANCIAL</vt:lpstr>
      <vt:lpstr>Reliance!ADD_FINANCIAL</vt:lpstr>
      <vt:lpstr>SeeChange!ADD_FINANCIAL</vt:lpstr>
      <vt:lpstr>'Senior American'!ADD_FINANCIAL</vt:lpstr>
      <vt:lpstr>Settlers!ADD_FINANCIAL</vt:lpstr>
      <vt:lpstr>Shenandoah!ADD_FINANCIAL</vt:lpstr>
      <vt:lpstr>'Standard Life IN'!ADD_FINANCIAL</vt:lpstr>
      <vt:lpstr>'States General'!ADD_FINANCIAL</vt:lpstr>
      <vt:lpstr>Statesman!ADD_FINANCIAL</vt:lpstr>
      <vt:lpstr>'Summit National'!ADD_FINANCIAL</vt:lpstr>
      <vt:lpstr>Supreme!ADD_FINANCIAL</vt:lpstr>
      <vt:lpstr>Underwriters!ADD_FINANCIAL</vt:lpstr>
      <vt:lpstr>Unison!ADD_FINANCIAL</vt:lpstr>
      <vt:lpstr>'United Republic'!ADD_FINANCIAL</vt:lpstr>
      <vt:lpstr>'Universal Health Care'!ADD_FINANCIAL</vt:lpstr>
      <vt:lpstr>'Universal Life'!ADD_FINANCIAL</vt:lpstr>
      <vt:lpstr>Universe!ADD_FINANCIAL</vt:lpstr>
      <vt:lpstr>Villanova!ADD_FINANCIAL</vt:lpstr>
      <vt:lpstr>'Alabama Life'!AK_FINANCIAL</vt:lpstr>
      <vt:lpstr>'Amer Life Asr'!AK_FINANCIAL</vt:lpstr>
      <vt:lpstr>'Amer Std Life Acc'!AK_FINANCIAL</vt:lpstr>
      <vt:lpstr>'American Chambers'!AK_FINANCIAL</vt:lpstr>
      <vt:lpstr>'American Community'!AK_FINANCIAL</vt:lpstr>
      <vt:lpstr>'American Educators'!AK_FINANCIAL</vt:lpstr>
      <vt:lpstr>'American Integrity'!AK_FINANCIAL</vt:lpstr>
      <vt:lpstr>'American Network'!AK_FINANCIAL</vt:lpstr>
      <vt:lpstr>AmerWstrn!AK_FINANCIAL</vt:lpstr>
      <vt:lpstr>'AMS Life'!AK_FINANCIAL</vt:lpstr>
      <vt:lpstr>'Andrew Jackson'!AK_FINANCIAL</vt:lpstr>
      <vt:lpstr>'Bankers Commercial'!AK_FINANCIAL</vt:lpstr>
      <vt:lpstr>Benicorp!AK_FINANCIAL</vt:lpstr>
      <vt:lpstr>'Booker T Washington'!AK_FINANCIAL</vt:lpstr>
      <vt:lpstr>Centennial!AK_FINANCIAL</vt:lpstr>
      <vt:lpstr>'Coastal States'!AK_FINANCIAL</vt:lpstr>
      <vt:lpstr>'Colorado Health'!AK_FINANCIAL</vt:lpstr>
      <vt:lpstr>'Compass (dbs Meritus)'!AK_FINANCIAL</vt:lpstr>
      <vt:lpstr>'Confed Life &amp; Annty (CLIAC)'!AK_FINANCIAL</vt:lpstr>
      <vt:lpstr>'Confed Life (CLIC)'!AK_FINANCIAL</vt:lpstr>
      <vt:lpstr>'Consolidated National'!AK_FINANCIAL</vt:lpstr>
      <vt:lpstr>'Consumers Choice'!AK_FINANCIAL</vt:lpstr>
      <vt:lpstr>'Consumers Mutual'!AK_FINANCIAL</vt:lpstr>
      <vt:lpstr>'Consumers United'!AK_FINANCIAL</vt:lpstr>
      <vt:lpstr>CoOportunity!AK_FINANCIAL</vt:lpstr>
      <vt:lpstr>'Coordinated Hlth'!AK_FINANCIAL</vt:lpstr>
      <vt:lpstr>'Corporate Life'!AK_FINANCIAL</vt:lpstr>
      <vt:lpstr>'Diamond Benefits'!AK_FINANCIAL</vt:lpstr>
      <vt:lpstr>'EBL Life'!AK_FINANCIAL</vt:lpstr>
      <vt:lpstr>ELNY!AK_FINANCIAL</vt:lpstr>
      <vt:lpstr>'Executive Life'!AK_FINANCIAL</vt:lpstr>
      <vt:lpstr>'Family Guaranty'!AK_FINANCIAL</vt:lpstr>
      <vt:lpstr>'Farmers &amp; Ranchers'!AK_FINANCIAL</vt:lpstr>
      <vt:lpstr>'Fidelity Bankers'!AK_FINANCIAL</vt:lpstr>
      <vt:lpstr>'Fidelity Mutual'!AK_FINANCIAL</vt:lpstr>
      <vt:lpstr>'First Capital'!AK_FINANCIAL</vt:lpstr>
      <vt:lpstr>'First Natl'!AK_FINANCIAL</vt:lpstr>
      <vt:lpstr>'First Natl (Thrnr)'!AK_FINANCIAL</vt:lpstr>
      <vt:lpstr>'Franklin American'!AK_FINANCIAL</vt:lpstr>
      <vt:lpstr>'Franklin Protective'!AK_FINANCIAL</vt:lpstr>
      <vt:lpstr>'Freelancers CO-OP'!AK_FINANCIAL</vt:lpstr>
      <vt:lpstr>'George Washington'!AK_FINANCIAL</vt:lpstr>
      <vt:lpstr>'Golden State'!AK_FINANCIAL</vt:lpstr>
      <vt:lpstr>'Guarantee Security'!AK_FINANCIAL</vt:lpstr>
      <vt:lpstr>HealthyCT!AK_FINANCIAL</vt:lpstr>
      <vt:lpstr>Imerica!AK_FINANCIAL</vt:lpstr>
      <vt:lpstr>'Inter-American'!AK_FINANCIAL</vt:lpstr>
      <vt:lpstr>'International Fin'!AK_FINANCIAL</vt:lpstr>
      <vt:lpstr>'Investment Life of America'!AK_FINANCIAL</vt:lpstr>
      <vt:lpstr>'Investors Equity'!AK_FINANCIAL</vt:lpstr>
      <vt:lpstr>'Kentucky Central'!AK_FINANCIAL</vt:lpstr>
      <vt:lpstr>'Land of Lincoln'!AK_FINANCIAL</vt:lpstr>
      <vt:lpstr>Legion!AK_FINANCIAL</vt:lpstr>
      <vt:lpstr>'Life Health America'!AK_FINANCIAL</vt:lpstr>
      <vt:lpstr>'Lincoln Memorial'!AK_FINANCIAL</vt:lpstr>
      <vt:lpstr>'London Pac'!AK_FINANCIAL</vt:lpstr>
      <vt:lpstr>Lumbermens!AK_FINANCIAL</vt:lpstr>
      <vt:lpstr>'Medical Savings'!AK_FINANCIAL</vt:lpstr>
      <vt:lpstr>'Memorial Service'!AK_FINANCIAL</vt:lpstr>
      <vt:lpstr>Midcontinent!AK_FINANCIAL</vt:lpstr>
      <vt:lpstr>'Midwest Life'!AK_FINANCIAL</vt:lpstr>
      <vt:lpstr>'Monarch Life'!AK_FINANCIAL</vt:lpstr>
      <vt:lpstr>'Mutual Benefit'!AK_FINANCIAL</vt:lpstr>
      <vt:lpstr>'Mutual Security'!AK_FINANCIAL</vt:lpstr>
      <vt:lpstr>'National Affiliated'!AK_FINANCIAL</vt:lpstr>
      <vt:lpstr>'National Heritage'!AK_FINANCIAL</vt:lpstr>
      <vt:lpstr>'National States'!AK_FINANCIAL</vt:lpstr>
      <vt:lpstr>'Natl American'!AK_FINANCIAL</vt:lpstr>
      <vt:lpstr>'New Jersey Life'!AK_FINANCIAL</vt:lpstr>
      <vt:lpstr>NNIC!AK_FINANCIAL</vt:lpstr>
      <vt:lpstr>'Old Colony Life'!AK_FINANCIAL</vt:lpstr>
      <vt:lpstr>'Old Faithful'!AK_FINANCIAL</vt:lpstr>
      <vt:lpstr>'Pacific Standard'!AK_FINANCIAL</vt:lpstr>
      <vt:lpstr>'Pen  Treaty'!AK_FINANCIAL</vt:lpstr>
      <vt:lpstr>Reliance!AK_FINANCIAL</vt:lpstr>
      <vt:lpstr>SeeChange!AK_FINANCIAL</vt:lpstr>
      <vt:lpstr>'Senior American'!AK_FINANCIAL</vt:lpstr>
      <vt:lpstr>Settlers!AK_FINANCIAL</vt:lpstr>
      <vt:lpstr>Shenandoah!AK_FINANCIAL</vt:lpstr>
      <vt:lpstr>'Standard Life IN'!AK_FINANCIAL</vt:lpstr>
      <vt:lpstr>'States General'!AK_FINANCIAL</vt:lpstr>
      <vt:lpstr>Statesman!AK_FINANCIAL</vt:lpstr>
      <vt:lpstr>'Summit National'!AK_FINANCIAL</vt:lpstr>
      <vt:lpstr>Supreme!AK_FINANCIAL</vt:lpstr>
      <vt:lpstr>'Total Summary'!AK_FINANCIAL</vt:lpstr>
      <vt:lpstr>Underwriters!AK_FINANCIAL</vt:lpstr>
      <vt:lpstr>Unison!AK_FINANCIAL</vt:lpstr>
      <vt:lpstr>'United Republic'!AK_FINANCIAL</vt:lpstr>
      <vt:lpstr>'Universal Health Care'!AK_FINANCIAL</vt:lpstr>
      <vt:lpstr>'Universal Life'!AK_FINANCIAL</vt:lpstr>
      <vt:lpstr>Universe!AK_FINANCIAL</vt:lpstr>
      <vt:lpstr>Villanova!AK_FINANCIAL</vt:lpstr>
      <vt:lpstr>'Alabama Life'!AL_FINANCIAL</vt:lpstr>
      <vt:lpstr>'Amer Life Asr'!AL_FINANCIAL</vt:lpstr>
      <vt:lpstr>'Amer Std Life Acc'!AL_FINANCIAL</vt:lpstr>
      <vt:lpstr>'American Chambers'!AL_FINANCIAL</vt:lpstr>
      <vt:lpstr>'American Community'!AL_FINANCIAL</vt:lpstr>
      <vt:lpstr>'American Educators'!AL_FINANCIAL</vt:lpstr>
      <vt:lpstr>'American Integrity'!AL_FINANCIAL</vt:lpstr>
      <vt:lpstr>'American Network'!AL_FINANCIAL</vt:lpstr>
      <vt:lpstr>AmerWstrn!AL_FINANCIAL</vt:lpstr>
      <vt:lpstr>'AMS Life'!AL_FINANCIAL</vt:lpstr>
      <vt:lpstr>'Andrew Jackson'!AL_FINANCIAL</vt:lpstr>
      <vt:lpstr>'Bankers Commercial'!AL_FINANCIAL</vt:lpstr>
      <vt:lpstr>Benicorp!AL_FINANCIAL</vt:lpstr>
      <vt:lpstr>'Booker T Washington'!AL_FINANCIAL</vt:lpstr>
      <vt:lpstr>Centennial!AL_FINANCIAL</vt:lpstr>
      <vt:lpstr>'Coastal States'!AL_FINANCIAL</vt:lpstr>
      <vt:lpstr>'Colorado Health'!AL_FINANCIAL</vt:lpstr>
      <vt:lpstr>'Compass (dbs Meritus)'!AL_FINANCIAL</vt:lpstr>
      <vt:lpstr>'Confed Life &amp; Annty (CLIAC)'!AL_FINANCIAL</vt:lpstr>
      <vt:lpstr>'Confed Life (CLIC)'!AL_FINANCIAL</vt:lpstr>
      <vt:lpstr>'Consolidated National'!AL_FINANCIAL</vt:lpstr>
      <vt:lpstr>'Consumers Choice'!AL_FINANCIAL</vt:lpstr>
      <vt:lpstr>'Consumers Mutual'!AL_FINANCIAL</vt:lpstr>
      <vt:lpstr>'Consumers United'!AL_FINANCIAL</vt:lpstr>
      <vt:lpstr>CoOportunity!AL_FINANCIAL</vt:lpstr>
      <vt:lpstr>'Coordinated Hlth'!AL_FINANCIAL</vt:lpstr>
      <vt:lpstr>'Corporate Life'!AL_FINANCIAL</vt:lpstr>
      <vt:lpstr>'Diamond Benefits'!AL_FINANCIAL</vt:lpstr>
      <vt:lpstr>'EBL Life'!AL_FINANCIAL</vt:lpstr>
      <vt:lpstr>ELNY!AL_FINANCIAL</vt:lpstr>
      <vt:lpstr>'Executive Life'!AL_FINANCIAL</vt:lpstr>
      <vt:lpstr>'Family Guaranty'!AL_FINANCIAL</vt:lpstr>
      <vt:lpstr>'Farmers &amp; Ranchers'!AL_FINANCIAL</vt:lpstr>
      <vt:lpstr>'Fidelity Bankers'!AL_FINANCIAL</vt:lpstr>
      <vt:lpstr>'Fidelity Mutual'!AL_FINANCIAL</vt:lpstr>
      <vt:lpstr>'First Capital'!AL_FINANCIAL</vt:lpstr>
      <vt:lpstr>'First Natl'!AL_FINANCIAL</vt:lpstr>
      <vt:lpstr>'First Natl (Thrnr)'!AL_FINANCIAL</vt:lpstr>
      <vt:lpstr>'Franklin American'!AL_FINANCIAL</vt:lpstr>
      <vt:lpstr>'Franklin Protective'!AL_FINANCIAL</vt:lpstr>
      <vt:lpstr>'Freelancers CO-OP'!AL_FINANCIAL</vt:lpstr>
      <vt:lpstr>'George Washington'!AL_FINANCIAL</vt:lpstr>
      <vt:lpstr>'Golden State'!AL_FINANCIAL</vt:lpstr>
      <vt:lpstr>'Guarantee Security'!AL_FINANCIAL</vt:lpstr>
      <vt:lpstr>HealthyCT!AL_FINANCIAL</vt:lpstr>
      <vt:lpstr>Imerica!AL_FINANCIAL</vt:lpstr>
      <vt:lpstr>'Inter-American'!AL_FINANCIAL</vt:lpstr>
      <vt:lpstr>'International Fin'!AL_FINANCIAL</vt:lpstr>
      <vt:lpstr>'Investment Life of America'!AL_FINANCIAL</vt:lpstr>
      <vt:lpstr>'Investors Equity'!AL_FINANCIAL</vt:lpstr>
      <vt:lpstr>'Kentucky Central'!AL_FINANCIAL</vt:lpstr>
      <vt:lpstr>'Land of Lincoln'!AL_FINANCIAL</vt:lpstr>
      <vt:lpstr>Legion!AL_FINANCIAL</vt:lpstr>
      <vt:lpstr>'Life Health America'!AL_FINANCIAL</vt:lpstr>
      <vt:lpstr>'Lincoln Memorial'!AL_FINANCIAL</vt:lpstr>
      <vt:lpstr>'London Pac'!AL_FINANCIAL</vt:lpstr>
      <vt:lpstr>Lumbermens!AL_FINANCIAL</vt:lpstr>
      <vt:lpstr>'Medical Savings'!AL_FINANCIAL</vt:lpstr>
      <vt:lpstr>'Memorial Service'!AL_FINANCIAL</vt:lpstr>
      <vt:lpstr>Midcontinent!AL_FINANCIAL</vt:lpstr>
      <vt:lpstr>'Midwest Life'!AL_FINANCIAL</vt:lpstr>
      <vt:lpstr>'Monarch Life'!AL_FINANCIAL</vt:lpstr>
      <vt:lpstr>'Mutual Benefit'!AL_FINANCIAL</vt:lpstr>
      <vt:lpstr>'Mutual Security'!AL_FINANCIAL</vt:lpstr>
      <vt:lpstr>'National Affiliated'!AL_FINANCIAL</vt:lpstr>
      <vt:lpstr>'National Heritage'!AL_FINANCIAL</vt:lpstr>
      <vt:lpstr>'National States'!AL_FINANCIAL</vt:lpstr>
      <vt:lpstr>'Natl American'!AL_FINANCIAL</vt:lpstr>
      <vt:lpstr>'New Jersey Life'!AL_FINANCIAL</vt:lpstr>
      <vt:lpstr>NNIC!AL_FINANCIAL</vt:lpstr>
      <vt:lpstr>'Old Colony Life'!AL_FINANCIAL</vt:lpstr>
      <vt:lpstr>'Old Faithful'!AL_FINANCIAL</vt:lpstr>
      <vt:lpstr>'Pacific Standard'!AL_FINANCIAL</vt:lpstr>
      <vt:lpstr>'Pen  Treaty'!AL_FINANCIAL</vt:lpstr>
      <vt:lpstr>Reliance!AL_FINANCIAL</vt:lpstr>
      <vt:lpstr>SeeChange!AL_FINANCIAL</vt:lpstr>
      <vt:lpstr>'Senior American'!AL_FINANCIAL</vt:lpstr>
      <vt:lpstr>Settlers!AL_FINANCIAL</vt:lpstr>
      <vt:lpstr>Shenandoah!AL_FINANCIAL</vt:lpstr>
      <vt:lpstr>'Standard Life IN'!AL_FINANCIAL</vt:lpstr>
      <vt:lpstr>'States General'!AL_FINANCIAL</vt:lpstr>
      <vt:lpstr>Statesman!AL_FINANCIAL</vt:lpstr>
      <vt:lpstr>'Summit National'!AL_FINANCIAL</vt:lpstr>
      <vt:lpstr>Supreme!AL_FINANCIAL</vt:lpstr>
      <vt:lpstr>'Total Summary'!AL_FINANCIAL</vt:lpstr>
      <vt:lpstr>Underwriters!AL_FINANCIAL</vt:lpstr>
      <vt:lpstr>Unison!AL_FINANCIAL</vt:lpstr>
      <vt:lpstr>'United Republic'!AL_FINANCIAL</vt:lpstr>
      <vt:lpstr>'Universal Health Care'!AL_FINANCIAL</vt:lpstr>
      <vt:lpstr>'Universal Life'!AL_FINANCIAL</vt:lpstr>
      <vt:lpstr>Universe!AL_FINANCIAL</vt:lpstr>
      <vt:lpstr>Villanova!AL_FINANCIAL</vt:lpstr>
      <vt:lpstr>'Alabama Life'!ALL_BLOCKS</vt:lpstr>
      <vt:lpstr>'Amer Life Asr'!ALL_BLOCKS</vt:lpstr>
      <vt:lpstr>'Amer Std Life Acc'!ALL_BLOCKS</vt:lpstr>
      <vt:lpstr>'American Chambers'!ALL_BLOCKS</vt:lpstr>
      <vt:lpstr>'American Community'!ALL_BLOCKS</vt:lpstr>
      <vt:lpstr>'American Educators'!ALL_BLOCKS</vt:lpstr>
      <vt:lpstr>'American Integrity'!ALL_BLOCKS</vt:lpstr>
      <vt:lpstr>'American Network'!ALL_BLOCKS</vt:lpstr>
      <vt:lpstr>AmerWstrn!ALL_BLOCKS</vt:lpstr>
      <vt:lpstr>'AMS Life'!ALL_BLOCKS</vt:lpstr>
      <vt:lpstr>'Andrew Jackson'!ALL_BLOCKS</vt:lpstr>
      <vt:lpstr>'Bankers Commercial'!ALL_BLOCKS</vt:lpstr>
      <vt:lpstr>Benicorp!ALL_BLOCKS</vt:lpstr>
      <vt:lpstr>'Booker T Washington'!ALL_BLOCKS</vt:lpstr>
      <vt:lpstr>Centennial!ALL_BLOCKS</vt:lpstr>
      <vt:lpstr>'Coastal States'!ALL_BLOCKS</vt:lpstr>
      <vt:lpstr>'Colorado Health'!ALL_BLOCKS</vt:lpstr>
      <vt:lpstr>'Compass (dbs Meritus)'!ALL_BLOCKS</vt:lpstr>
      <vt:lpstr>'Confed Life &amp; Annty (CLIAC)'!ALL_BLOCKS</vt:lpstr>
      <vt:lpstr>'Confed Life (CLIC)'!ALL_BLOCKS</vt:lpstr>
      <vt:lpstr>'Consolidated National'!ALL_BLOCKS</vt:lpstr>
      <vt:lpstr>'Consumers Choice'!ALL_BLOCKS</vt:lpstr>
      <vt:lpstr>'Consumers Mutual'!ALL_BLOCKS</vt:lpstr>
      <vt:lpstr>'Consumers United'!ALL_BLOCKS</vt:lpstr>
      <vt:lpstr>CoOportunity!ALL_BLOCKS</vt:lpstr>
      <vt:lpstr>'Coordinated Hlth'!ALL_BLOCKS</vt:lpstr>
      <vt:lpstr>'Corporate Life'!ALL_BLOCKS</vt:lpstr>
      <vt:lpstr>'Diamond Benefits'!ALL_BLOCKS</vt:lpstr>
      <vt:lpstr>'EBL Life'!ALL_BLOCKS</vt:lpstr>
      <vt:lpstr>ELNY!ALL_BLOCKS</vt:lpstr>
      <vt:lpstr>'Executive Life'!ALL_BLOCKS</vt:lpstr>
      <vt:lpstr>'Family Guaranty'!ALL_BLOCKS</vt:lpstr>
      <vt:lpstr>'Farmers &amp; Ranchers'!ALL_BLOCKS</vt:lpstr>
      <vt:lpstr>'Fidelity Bankers'!ALL_BLOCKS</vt:lpstr>
      <vt:lpstr>'Fidelity Mutual'!ALL_BLOCKS</vt:lpstr>
      <vt:lpstr>'First Capital'!ALL_BLOCKS</vt:lpstr>
      <vt:lpstr>'First Natl'!ALL_BLOCKS</vt:lpstr>
      <vt:lpstr>'First Natl (Thrnr)'!ALL_BLOCKS</vt:lpstr>
      <vt:lpstr>'Franklin American'!ALL_BLOCKS</vt:lpstr>
      <vt:lpstr>'Franklin Protective'!ALL_BLOCKS</vt:lpstr>
      <vt:lpstr>'Freelancers CO-OP'!ALL_BLOCKS</vt:lpstr>
      <vt:lpstr>'George Washington'!ALL_BLOCKS</vt:lpstr>
      <vt:lpstr>'Golden State'!ALL_BLOCKS</vt:lpstr>
      <vt:lpstr>'Guarantee Security'!ALL_BLOCKS</vt:lpstr>
      <vt:lpstr>HealthyCT!ALL_BLOCKS</vt:lpstr>
      <vt:lpstr>Imerica!ALL_BLOCKS</vt:lpstr>
      <vt:lpstr>'Inter-American'!ALL_BLOCKS</vt:lpstr>
      <vt:lpstr>'International Fin'!ALL_BLOCKS</vt:lpstr>
      <vt:lpstr>'Investment Life of America'!ALL_BLOCKS</vt:lpstr>
      <vt:lpstr>'Investors Equity'!ALL_BLOCKS</vt:lpstr>
      <vt:lpstr>'Kentucky Central'!ALL_BLOCKS</vt:lpstr>
      <vt:lpstr>'Land of Lincoln'!ALL_BLOCKS</vt:lpstr>
      <vt:lpstr>Legion!ALL_BLOCKS</vt:lpstr>
      <vt:lpstr>'Life Health America'!ALL_BLOCKS</vt:lpstr>
      <vt:lpstr>'Lincoln Memorial'!ALL_BLOCKS</vt:lpstr>
      <vt:lpstr>'London Pac'!ALL_BLOCKS</vt:lpstr>
      <vt:lpstr>Lumbermens!ALL_BLOCKS</vt:lpstr>
      <vt:lpstr>'Medical Savings'!ALL_BLOCKS</vt:lpstr>
      <vt:lpstr>'Memorial Service'!ALL_BLOCKS</vt:lpstr>
      <vt:lpstr>Midcontinent!ALL_BLOCKS</vt:lpstr>
      <vt:lpstr>'Midwest Life'!ALL_BLOCKS</vt:lpstr>
      <vt:lpstr>'Monarch Life'!ALL_BLOCKS</vt:lpstr>
      <vt:lpstr>'Mutual Benefit'!ALL_BLOCKS</vt:lpstr>
      <vt:lpstr>'Mutual Security'!ALL_BLOCKS</vt:lpstr>
      <vt:lpstr>'National Affiliated'!ALL_BLOCKS</vt:lpstr>
      <vt:lpstr>'National Heritage'!ALL_BLOCKS</vt:lpstr>
      <vt:lpstr>'National States'!ALL_BLOCKS</vt:lpstr>
      <vt:lpstr>'Natl American'!ALL_BLOCKS</vt:lpstr>
      <vt:lpstr>'New Jersey Life'!ALL_BLOCKS</vt:lpstr>
      <vt:lpstr>NNIC!ALL_BLOCKS</vt:lpstr>
      <vt:lpstr>'Old Colony Life'!ALL_BLOCKS</vt:lpstr>
      <vt:lpstr>'Old Faithful'!ALL_BLOCKS</vt:lpstr>
      <vt:lpstr>'Pacific Standard'!ALL_BLOCKS</vt:lpstr>
      <vt:lpstr>'Pen  Treaty'!ALL_BLOCKS</vt:lpstr>
      <vt:lpstr>Reliance!ALL_BLOCKS</vt:lpstr>
      <vt:lpstr>SeeChange!ALL_BLOCKS</vt:lpstr>
      <vt:lpstr>'Senior American'!ALL_BLOCKS</vt:lpstr>
      <vt:lpstr>Settlers!ALL_BLOCKS</vt:lpstr>
      <vt:lpstr>Shenandoah!ALL_BLOCKS</vt:lpstr>
      <vt:lpstr>'Standard Life IN'!ALL_BLOCKS</vt:lpstr>
      <vt:lpstr>'States General'!ALL_BLOCKS</vt:lpstr>
      <vt:lpstr>Statesman!ALL_BLOCKS</vt:lpstr>
      <vt:lpstr>'Summit National'!ALL_BLOCKS</vt:lpstr>
      <vt:lpstr>Supreme!ALL_BLOCKS</vt:lpstr>
      <vt:lpstr>'Total Summary'!ALL_BLOCKS</vt:lpstr>
      <vt:lpstr>Underwriters!ALL_BLOCKS</vt:lpstr>
      <vt:lpstr>Unison!ALL_BLOCKS</vt:lpstr>
      <vt:lpstr>'United Republic'!ALL_BLOCKS</vt:lpstr>
      <vt:lpstr>'Universal Health Care'!ALL_BLOCKS</vt:lpstr>
      <vt:lpstr>'Universal Life'!ALL_BLOCKS</vt:lpstr>
      <vt:lpstr>Universe!ALL_BLOCKS</vt:lpstr>
      <vt:lpstr>Villanova!ALL_BLOCKS</vt:lpstr>
      <vt:lpstr>'Alabama Life'!ALLOC_CALLED</vt:lpstr>
      <vt:lpstr>'Amer Life Asr'!ALLOC_CALLED</vt:lpstr>
      <vt:lpstr>'Amer Std Life Acc'!ALLOC_CALLED</vt:lpstr>
      <vt:lpstr>'American Chambers'!ALLOC_CALLED</vt:lpstr>
      <vt:lpstr>'American Community'!ALLOC_CALLED</vt:lpstr>
      <vt:lpstr>'American Educators'!ALLOC_CALLED</vt:lpstr>
      <vt:lpstr>'American Integrity'!ALLOC_CALLED</vt:lpstr>
      <vt:lpstr>'American Network'!ALLOC_CALLED</vt:lpstr>
      <vt:lpstr>AmerWstrn!ALLOC_CALLED</vt:lpstr>
      <vt:lpstr>'AMS Life'!ALLOC_CALLED</vt:lpstr>
      <vt:lpstr>'Andrew Jackson'!ALLOC_CALLED</vt:lpstr>
      <vt:lpstr>'Bankers Commercial'!ALLOC_CALLED</vt:lpstr>
      <vt:lpstr>Benicorp!ALLOC_CALLED</vt:lpstr>
      <vt:lpstr>'Booker T Washington'!ALLOC_CALLED</vt:lpstr>
      <vt:lpstr>Centennial!ALLOC_CALLED</vt:lpstr>
      <vt:lpstr>'Coastal States'!ALLOC_CALLED</vt:lpstr>
      <vt:lpstr>'Colorado Health'!ALLOC_CALLED</vt:lpstr>
      <vt:lpstr>'Compass (dbs Meritus)'!ALLOC_CALLED</vt:lpstr>
      <vt:lpstr>'Confed Life &amp; Annty (CLIAC)'!ALLOC_CALLED</vt:lpstr>
      <vt:lpstr>'Confed Life (CLIC)'!ALLOC_CALLED</vt:lpstr>
      <vt:lpstr>'Consolidated National'!ALLOC_CALLED</vt:lpstr>
      <vt:lpstr>'Consumers Choice'!ALLOC_CALLED</vt:lpstr>
      <vt:lpstr>'Consumers Mutual'!ALLOC_CALLED</vt:lpstr>
      <vt:lpstr>'Consumers United'!ALLOC_CALLED</vt:lpstr>
      <vt:lpstr>CoOportunity!ALLOC_CALLED</vt:lpstr>
      <vt:lpstr>'Coordinated Hlth'!ALLOC_CALLED</vt:lpstr>
      <vt:lpstr>'Corporate Life'!ALLOC_CALLED</vt:lpstr>
      <vt:lpstr>'Diamond Benefits'!ALLOC_CALLED</vt:lpstr>
      <vt:lpstr>'EBL Life'!ALLOC_CALLED</vt:lpstr>
      <vt:lpstr>ELNY!ALLOC_CALLED</vt:lpstr>
      <vt:lpstr>'Executive Life'!ALLOC_CALLED</vt:lpstr>
      <vt:lpstr>'Family Guaranty'!ALLOC_CALLED</vt:lpstr>
      <vt:lpstr>'Farmers &amp; Ranchers'!ALLOC_CALLED</vt:lpstr>
      <vt:lpstr>'Fidelity Bankers'!ALLOC_CALLED</vt:lpstr>
      <vt:lpstr>'Fidelity Mutual'!ALLOC_CALLED</vt:lpstr>
      <vt:lpstr>'First Capital'!ALLOC_CALLED</vt:lpstr>
      <vt:lpstr>'First Natl'!ALLOC_CALLED</vt:lpstr>
      <vt:lpstr>'First Natl (Thrnr)'!ALLOC_CALLED</vt:lpstr>
      <vt:lpstr>'Franklin American'!ALLOC_CALLED</vt:lpstr>
      <vt:lpstr>'Franklin Protective'!ALLOC_CALLED</vt:lpstr>
      <vt:lpstr>'Freelancers CO-OP'!ALLOC_CALLED</vt:lpstr>
      <vt:lpstr>'George Washington'!ALLOC_CALLED</vt:lpstr>
      <vt:lpstr>'Golden State'!ALLOC_CALLED</vt:lpstr>
      <vt:lpstr>'Guarantee Security'!ALLOC_CALLED</vt:lpstr>
      <vt:lpstr>HealthyCT!ALLOC_CALLED</vt:lpstr>
      <vt:lpstr>Imerica!ALLOC_CALLED</vt:lpstr>
      <vt:lpstr>'Inter-American'!ALLOC_CALLED</vt:lpstr>
      <vt:lpstr>'International Fin'!ALLOC_CALLED</vt:lpstr>
      <vt:lpstr>'Investment Life of America'!ALLOC_CALLED</vt:lpstr>
      <vt:lpstr>'Investors Equity'!ALLOC_CALLED</vt:lpstr>
      <vt:lpstr>'Kentucky Central'!ALLOC_CALLED</vt:lpstr>
      <vt:lpstr>'Land of Lincoln'!ALLOC_CALLED</vt:lpstr>
      <vt:lpstr>Legion!ALLOC_CALLED</vt:lpstr>
      <vt:lpstr>'Life Health America'!ALLOC_CALLED</vt:lpstr>
      <vt:lpstr>'Lincoln Memorial'!ALLOC_CALLED</vt:lpstr>
      <vt:lpstr>'London Pac'!ALLOC_CALLED</vt:lpstr>
      <vt:lpstr>Lumbermens!ALLOC_CALLED</vt:lpstr>
      <vt:lpstr>'Medical Savings'!ALLOC_CALLED</vt:lpstr>
      <vt:lpstr>'Memorial Service'!ALLOC_CALLED</vt:lpstr>
      <vt:lpstr>Midcontinent!ALLOC_CALLED</vt:lpstr>
      <vt:lpstr>'Midwest Life'!ALLOC_CALLED</vt:lpstr>
      <vt:lpstr>'Monarch Life'!ALLOC_CALLED</vt:lpstr>
      <vt:lpstr>'Mutual Benefit'!ALLOC_CALLED</vt:lpstr>
      <vt:lpstr>'Mutual Security'!ALLOC_CALLED</vt:lpstr>
      <vt:lpstr>'National Affiliated'!ALLOC_CALLED</vt:lpstr>
      <vt:lpstr>'National Heritage'!ALLOC_CALLED</vt:lpstr>
      <vt:lpstr>'National States'!ALLOC_CALLED</vt:lpstr>
      <vt:lpstr>'Natl American'!ALLOC_CALLED</vt:lpstr>
      <vt:lpstr>'New Jersey Life'!ALLOC_CALLED</vt:lpstr>
      <vt:lpstr>NNIC!ALLOC_CALLED</vt:lpstr>
      <vt:lpstr>'Old Colony Life'!ALLOC_CALLED</vt:lpstr>
      <vt:lpstr>'Old Faithful'!ALLOC_CALLED</vt:lpstr>
      <vt:lpstr>'Pacific Standard'!ALLOC_CALLED</vt:lpstr>
      <vt:lpstr>'Pen  Treaty'!ALLOC_CALLED</vt:lpstr>
      <vt:lpstr>Reliance!ALLOC_CALLED</vt:lpstr>
      <vt:lpstr>SeeChange!ALLOC_CALLED</vt:lpstr>
      <vt:lpstr>'Senior American'!ALLOC_CALLED</vt:lpstr>
      <vt:lpstr>Settlers!ALLOC_CALLED</vt:lpstr>
      <vt:lpstr>Shenandoah!ALLOC_CALLED</vt:lpstr>
      <vt:lpstr>'Standard Life IN'!ALLOC_CALLED</vt:lpstr>
      <vt:lpstr>'States General'!ALLOC_CALLED</vt:lpstr>
      <vt:lpstr>Statesman!ALLOC_CALLED</vt:lpstr>
      <vt:lpstr>'Summit National'!ALLOC_CALLED</vt:lpstr>
      <vt:lpstr>Supreme!ALLOC_CALLED</vt:lpstr>
      <vt:lpstr>'Total Summary'!ALLOC_CALLED</vt:lpstr>
      <vt:lpstr>Underwriters!ALLOC_CALLED</vt:lpstr>
      <vt:lpstr>Unison!ALLOC_CALLED</vt:lpstr>
      <vt:lpstr>'United Republic'!ALLOC_CALLED</vt:lpstr>
      <vt:lpstr>'Universal Health Care'!ALLOC_CALLED</vt:lpstr>
      <vt:lpstr>'Universal Life'!ALLOC_CALLED</vt:lpstr>
      <vt:lpstr>Universe!ALLOC_CALLED</vt:lpstr>
      <vt:lpstr>Villanova!ALLOC_CALLED</vt:lpstr>
      <vt:lpstr>'Alabama Life'!ALLOC_REFUNDED</vt:lpstr>
      <vt:lpstr>'Amer Life Asr'!ALLOC_REFUNDED</vt:lpstr>
      <vt:lpstr>'Amer Std Life Acc'!ALLOC_REFUNDED</vt:lpstr>
      <vt:lpstr>'American Chambers'!ALLOC_REFUNDED</vt:lpstr>
      <vt:lpstr>'American Community'!ALLOC_REFUNDED</vt:lpstr>
      <vt:lpstr>'American Educators'!ALLOC_REFUNDED</vt:lpstr>
      <vt:lpstr>'American Integrity'!ALLOC_REFUNDED</vt:lpstr>
      <vt:lpstr>'American Network'!ALLOC_REFUNDED</vt:lpstr>
      <vt:lpstr>AmerWstrn!ALLOC_REFUNDED</vt:lpstr>
      <vt:lpstr>'AMS Life'!ALLOC_REFUNDED</vt:lpstr>
      <vt:lpstr>'Andrew Jackson'!ALLOC_REFUNDED</vt:lpstr>
      <vt:lpstr>'Bankers Commercial'!ALLOC_REFUNDED</vt:lpstr>
      <vt:lpstr>Benicorp!ALLOC_REFUNDED</vt:lpstr>
      <vt:lpstr>'Booker T Washington'!ALLOC_REFUNDED</vt:lpstr>
      <vt:lpstr>Centennial!ALLOC_REFUNDED</vt:lpstr>
      <vt:lpstr>'Coastal States'!ALLOC_REFUNDED</vt:lpstr>
      <vt:lpstr>'Colorado Health'!ALLOC_REFUNDED</vt:lpstr>
      <vt:lpstr>'Compass (dbs Meritus)'!ALLOC_REFUNDED</vt:lpstr>
      <vt:lpstr>'Confed Life &amp; Annty (CLIAC)'!ALLOC_REFUNDED</vt:lpstr>
      <vt:lpstr>'Confed Life (CLIC)'!ALLOC_REFUNDED</vt:lpstr>
      <vt:lpstr>'Consolidated National'!ALLOC_REFUNDED</vt:lpstr>
      <vt:lpstr>'Consumers Choice'!ALLOC_REFUNDED</vt:lpstr>
      <vt:lpstr>'Consumers Mutual'!ALLOC_REFUNDED</vt:lpstr>
      <vt:lpstr>'Consumers United'!ALLOC_REFUNDED</vt:lpstr>
      <vt:lpstr>CoOportunity!ALLOC_REFUNDED</vt:lpstr>
      <vt:lpstr>'Coordinated Hlth'!ALLOC_REFUNDED</vt:lpstr>
      <vt:lpstr>'Corporate Life'!ALLOC_REFUNDED</vt:lpstr>
      <vt:lpstr>'Diamond Benefits'!ALLOC_REFUNDED</vt:lpstr>
      <vt:lpstr>'EBL Life'!ALLOC_REFUNDED</vt:lpstr>
      <vt:lpstr>ELNY!ALLOC_REFUNDED</vt:lpstr>
      <vt:lpstr>'Executive Life'!ALLOC_REFUNDED</vt:lpstr>
      <vt:lpstr>'Family Guaranty'!ALLOC_REFUNDED</vt:lpstr>
      <vt:lpstr>'Farmers &amp; Ranchers'!ALLOC_REFUNDED</vt:lpstr>
      <vt:lpstr>'Fidelity Bankers'!ALLOC_REFUNDED</vt:lpstr>
      <vt:lpstr>'Fidelity Mutual'!ALLOC_REFUNDED</vt:lpstr>
      <vt:lpstr>'First Capital'!ALLOC_REFUNDED</vt:lpstr>
      <vt:lpstr>'First Natl'!ALLOC_REFUNDED</vt:lpstr>
      <vt:lpstr>'First Natl (Thrnr)'!ALLOC_REFUNDED</vt:lpstr>
      <vt:lpstr>'Franklin American'!ALLOC_REFUNDED</vt:lpstr>
      <vt:lpstr>'Franklin Protective'!ALLOC_REFUNDED</vt:lpstr>
      <vt:lpstr>'Freelancers CO-OP'!ALLOC_REFUNDED</vt:lpstr>
      <vt:lpstr>'George Washington'!ALLOC_REFUNDED</vt:lpstr>
      <vt:lpstr>'Golden State'!ALLOC_REFUNDED</vt:lpstr>
      <vt:lpstr>'Guarantee Security'!ALLOC_REFUNDED</vt:lpstr>
      <vt:lpstr>HealthyCT!ALLOC_REFUNDED</vt:lpstr>
      <vt:lpstr>Imerica!ALLOC_REFUNDED</vt:lpstr>
      <vt:lpstr>'Inter-American'!ALLOC_REFUNDED</vt:lpstr>
      <vt:lpstr>'International Fin'!ALLOC_REFUNDED</vt:lpstr>
      <vt:lpstr>'Investment Life of America'!ALLOC_REFUNDED</vt:lpstr>
      <vt:lpstr>'Investors Equity'!ALLOC_REFUNDED</vt:lpstr>
      <vt:lpstr>'Kentucky Central'!ALLOC_REFUNDED</vt:lpstr>
      <vt:lpstr>'Land of Lincoln'!ALLOC_REFUNDED</vt:lpstr>
      <vt:lpstr>Legion!ALLOC_REFUNDED</vt:lpstr>
      <vt:lpstr>'Life Health America'!ALLOC_REFUNDED</vt:lpstr>
      <vt:lpstr>'Lincoln Memorial'!ALLOC_REFUNDED</vt:lpstr>
      <vt:lpstr>'London Pac'!ALLOC_REFUNDED</vt:lpstr>
      <vt:lpstr>Lumbermens!ALLOC_REFUNDED</vt:lpstr>
      <vt:lpstr>'Medical Savings'!ALLOC_REFUNDED</vt:lpstr>
      <vt:lpstr>'Memorial Service'!ALLOC_REFUNDED</vt:lpstr>
      <vt:lpstr>Midcontinent!ALLOC_REFUNDED</vt:lpstr>
      <vt:lpstr>'Midwest Life'!ALLOC_REFUNDED</vt:lpstr>
      <vt:lpstr>'Monarch Life'!ALLOC_REFUNDED</vt:lpstr>
      <vt:lpstr>'Mutual Benefit'!ALLOC_REFUNDED</vt:lpstr>
      <vt:lpstr>'Mutual Security'!ALLOC_REFUNDED</vt:lpstr>
      <vt:lpstr>'National Affiliated'!ALLOC_REFUNDED</vt:lpstr>
      <vt:lpstr>'National Heritage'!ALLOC_REFUNDED</vt:lpstr>
      <vt:lpstr>'National States'!ALLOC_REFUNDED</vt:lpstr>
      <vt:lpstr>'Natl American'!ALLOC_REFUNDED</vt:lpstr>
      <vt:lpstr>'New Jersey Life'!ALLOC_REFUNDED</vt:lpstr>
      <vt:lpstr>NNIC!ALLOC_REFUNDED</vt:lpstr>
      <vt:lpstr>'Old Colony Life'!ALLOC_REFUNDED</vt:lpstr>
      <vt:lpstr>'Old Faithful'!ALLOC_REFUNDED</vt:lpstr>
      <vt:lpstr>'Pacific Standard'!ALLOC_REFUNDED</vt:lpstr>
      <vt:lpstr>'Pen  Treaty'!ALLOC_REFUNDED</vt:lpstr>
      <vt:lpstr>Reliance!ALLOC_REFUNDED</vt:lpstr>
      <vt:lpstr>SeeChange!ALLOC_REFUNDED</vt:lpstr>
      <vt:lpstr>'Senior American'!ALLOC_REFUNDED</vt:lpstr>
      <vt:lpstr>Settlers!ALLOC_REFUNDED</vt:lpstr>
      <vt:lpstr>Shenandoah!ALLOC_REFUNDED</vt:lpstr>
      <vt:lpstr>'Standard Life IN'!ALLOC_REFUNDED</vt:lpstr>
      <vt:lpstr>'States General'!ALLOC_REFUNDED</vt:lpstr>
      <vt:lpstr>Statesman!ALLOC_REFUNDED</vt:lpstr>
      <vt:lpstr>'Summit National'!ALLOC_REFUNDED</vt:lpstr>
      <vt:lpstr>Supreme!ALLOC_REFUNDED</vt:lpstr>
      <vt:lpstr>'Total Summary'!ALLOC_REFUNDED</vt:lpstr>
      <vt:lpstr>Underwriters!ALLOC_REFUNDED</vt:lpstr>
      <vt:lpstr>Unison!ALLOC_REFUNDED</vt:lpstr>
      <vt:lpstr>'United Republic'!ALLOC_REFUNDED</vt:lpstr>
      <vt:lpstr>'Universal Health Care'!ALLOC_REFUNDED</vt:lpstr>
      <vt:lpstr>'Universal Life'!ALLOC_REFUNDED</vt:lpstr>
      <vt:lpstr>Universe!ALLOC_REFUNDED</vt:lpstr>
      <vt:lpstr>Villanova!ALLOC_REFUNDED</vt:lpstr>
      <vt:lpstr>'Alabama Life'!ALLOCATED</vt:lpstr>
      <vt:lpstr>'Amer Life Asr'!ALLOCATED</vt:lpstr>
      <vt:lpstr>'Amer Std Life Acc'!ALLOCATED</vt:lpstr>
      <vt:lpstr>'American Chambers'!ALLOCATED</vt:lpstr>
      <vt:lpstr>'American Community'!ALLOCATED</vt:lpstr>
      <vt:lpstr>'American Educators'!ALLOCATED</vt:lpstr>
      <vt:lpstr>'American Integrity'!ALLOCATED</vt:lpstr>
      <vt:lpstr>'American Network'!ALLOCATED</vt:lpstr>
      <vt:lpstr>AmerWstrn!ALLOCATED</vt:lpstr>
      <vt:lpstr>'AMS Life'!ALLOCATED</vt:lpstr>
      <vt:lpstr>'Andrew Jackson'!ALLOCATED</vt:lpstr>
      <vt:lpstr>'Bankers Commercial'!ALLOCATED</vt:lpstr>
      <vt:lpstr>Benicorp!ALLOCATED</vt:lpstr>
      <vt:lpstr>'Booker T Washington'!ALLOCATED</vt:lpstr>
      <vt:lpstr>Centennial!ALLOCATED</vt:lpstr>
      <vt:lpstr>'Closed Summary'!ALLOCATED</vt:lpstr>
      <vt:lpstr>'Coastal States'!ALLOCATED</vt:lpstr>
      <vt:lpstr>'Colorado Health'!ALLOCATED</vt:lpstr>
      <vt:lpstr>'Compass (dbs Meritus)'!ALLOCATED</vt:lpstr>
      <vt:lpstr>'Confed Life &amp; Annty (CLIAC)'!ALLOCATED</vt:lpstr>
      <vt:lpstr>'Confed Life (CLIC)'!ALLOCATED</vt:lpstr>
      <vt:lpstr>'Consolidated National'!ALLOCATED</vt:lpstr>
      <vt:lpstr>'Consumers Choice'!ALLOCATED</vt:lpstr>
      <vt:lpstr>'Consumers Mutual'!ALLOCATED</vt:lpstr>
      <vt:lpstr>'Consumers United'!ALLOCATED</vt:lpstr>
      <vt:lpstr>CoOportunity!ALLOCATED</vt:lpstr>
      <vt:lpstr>'Coordinated Hlth'!ALLOCATED</vt:lpstr>
      <vt:lpstr>'Corporate Life'!ALLOCATED</vt:lpstr>
      <vt:lpstr>'Diamond Benefits'!ALLOCATED</vt:lpstr>
      <vt:lpstr>'EBL Life'!ALLOCATED</vt:lpstr>
      <vt:lpstr>ELNY!ALLOCATED</vt:lpstr>
      <vt:lpstr>'Estate Closed Summary'!ALLOCATED</vt:lpstr>
      <vt:lpstr>'Executive Life'!ALLOCATED</vt:lpstr>
      <vt:lpstr>'Family Guaranty'!ALLOCATED</vt:lpstr>
      <vt:lpstr>'Farmers &amp; Ranchers'!ALLOCATED</vt:lpstr>
      <vt:lpstr>'Fidelity Bankers'!ALLOCATED</vt:lpstr>
      <vt:lpstr>'Fidelity Mutual'!ALLOCATED</vt:lpstr>
      <vt:lpstr>'First Capital'!ALLOCATED</vt:lpstr>
      <vt:lpstr>'First Natl'!ALLOCATED</vt:lpstr>
      <vt:lpstr>'First Natl (Thrnr)'!ALLOCATED</vt:lpstr>
      <vt:lpstr>'Franklin American'!ALLOCATED</vt:lpstr>
      <vt:lpstr>'Franklin Protective'!ALLOCATED</vt:lpstr>
      <vt:lpstr>'Freelancers CO-OP'!ALLOCATED</vt:lpstr>
      <vt:lpstr>'George Washington'!ALLOCATED</vt:lpstr>
      <vt:lpstr>'Golden State'!ALLOCATED</vt:lpstr>
      <vt:lpstr>'Guarantee Security'!ALLOCATED</vt:lpstr>
      <vt:lpstr>HealthyCT!ALLOCATED</vt:lpstr>
      <vt:lpstr>Imerica!ALLOCATED</vt:lpstr>
      <vt:lpstr>'Inter-American'!ALLOCATED</vt:lpstr>
      <vt:lpstr>'International Fin'!ALLOCATED</vt:lpstr>
      <vt:lpstr>'Investment Life of America'!ALLOCATED</vt:lpstr>
      <vt:lpstr>'Investors Equity'!ALLOCATED</vt:lpstr>
      <vt:lpstr>'Kentucky Central'!ALLOCATED</vt:lpstr>
      <vt:lpstr>'Land of Lincoln'!ALLOCATED</vt:lpstr>
      <vt:lpstr>Legion!ALLOCATED</vt:lpstr>
      <vt:lpstr>'Life Health America'!ALLOCATED</vt:lpstr>
      <vt:lpstr>'Lincoln Memorial'!ALLOCATED</vt:lpstr>
      <vt:lpstr>'London Pac'!ALLOCATED</vt:lpstr>
      <vt:lpstr>Lumbermens!ALLOCATED</vt:lpstr>
      <vt:lpstr>'Medical Savings'!ALLOCATED</vt:lpstr>
      <vt:lpstr>'Memorial Service'!ALLOCATED</vt:lpstr>
      <vt:lpstr>Midcontinent!ALLOCATED</vt:lpstr>
      <vt:lpstr>'Midwest Life'!ALLOCATED</vt:lpstr>
      <vt:lpstr>'Monarch Life'!ALLOCATED</vt:lpstr>
      <vt:lpstr>'Mutual Benefit'!ALLOCATED</vt:lpstr>
      <vt:lpstr>'Mutual Security'!ALLOCATED</vt:lpstr>
      <vt:lpstr>'National Affiliated'!ALLOCATED</vt:lpstr>
      <vt:lpstr>'National Heritage'!ALLOCATED</vt:lpstr>
      <vt:lpstr>'National States'!ALLOCATED</vt:lpstr>
      <vt:lpstr>'Natl American'!ALLOCATED</vt:lpstr>
      <vt:lpstr>'New Jersey Life'!ALLOCATED</vt:lpstr>
      <vt:lpstr>NNIC!ALLOCATED</vt:lpstr>
      <vt:lpstr>'Old Colony Life'!ALLOCATED</vt:lpstr>
      <vt:lpstr>'Old Faithful'!ALLOCATED</vt:lpstr>
      <vt:lpstr>'Open Summary'!ALLOCATED</vt:lpstr>
      <vt:lpstr>'Pacific Standard'!ALLOCATED</vt:lpstr>
      <vt:lpstr>'Pen  Treaty'!ALLOCATED</vt:lpstr>
      <vt:lpstr>'Pre-Liquidation Summary'!ALLOCATED</vt:lpstr>
      <vt:lpstr>'Released from Oversight Summary'!ALLOCATED</vt:lpstr>
      <vt:lpstr>Reliance!ALLOCATED</vt:lpstr>
      <vt:lpstr>SeeChange!ALLOCATED</vt:lpstr>
      <vt:lpstr>'Senior American'!ALLOCATED</vt:lpstr>
      <vt:lpstr>Settlers!ALLOCATED</vt:lpstr>
      <vt:lpstr>Shenandoah!ALLOCATED</vt:lpstr>
      <vt:lpstr>'Standard Life IN'!ALLOCATED</vt:lpstr>
      <vt:lpstr>'States General'!ALLOCATED</vt:lpstr>
      <vt:lpstr>Statesman!ALLOCATED</vt:lpstr>
      <vt:lpstr>'Summit National'!ALLOCATED</vt:lpstr>
      <vt:lpstr>Supreme!ALLOCATED</vt:lpstr>
      <vt:lpstr>'Total Summary'!ALLOCATED</vt:lpstr>
      <vt:lpstr>Underwriters!ALLOCATED</vt:lpstr>
      <vt:lpstr>Unison!ALLOCATED</vt:lpstr>
      <vt:lpstr>'United Republic'!ALLOCATED</vt:lpstr>
      <vt:lpstr>'Universal Health Care'!ALLOCATED</vt:lpstr>
      <vt:lpstr>'Universal Life'!ALLOCATED</vt:lpstr>
      <vt:lpstr>Universe!ALLOCATED</vt:lpstr>
      <vt:lpstr>Villanova!ALLOCATED</vt:lpstr>
      <vt:lpstr>'Alabama Life'!AR_FINANCIAL</vt:lpstr>
      <vt:lpstr>'Amer Life Asr'!AR_FINANCIAL</vt:lpstr>
      <vt:lpstr>'Amer Std Life Acc'!AR_FINANCIAL</vt:lpstr>
      <vt:lpstr>'American Chambers'!AR_FINANCIAL</vt:lpstr>
      <vt:lpstr>'American Community'!AR_FINANCIAL</vt:lpstr>
      <vt:lpstr>'American Educators'!AR_FINANCIAL</vt:lpstr>
      <vt:lpstr>'American Integrity'!AR_FINANCIAL</vt:lpstr>
      <vt:lpstr>'American Network'!AR_FINANCIAL</vt:lpstr>
      <vt:lpstr>AmerWstrn!AR_FINANCIAL</vt:lpstr>
      <vt:lpstr>'AMS Life'!AR_FINANCIAL</vt:lpstr>
      <vt:lpstr>'Andrew Jackson'!AR_FINANCIAL</vt:lpstr>
      <vt:lpstr>'Bankers Commercial'!AR_FINANCIAL</vt:lpstr>
      <vt:lpstr>Benicorp!AR_FINANCIAL</vt:lpstr>
      <vt:lpstr>'Booker T Washington'!AR_FINANCIAL</vt:lpstr>
      <vt:lpstr>Centennial!AR_FINANCIAL</vt:lpstr>
      <vt:lpstr>'Coastal States'!AR_FINANCIAL</vt:lpstr>
      <vt:lpstr>'Colorado Health'!AR_FINANCIAL</vt:lpstr>
      <vt:lpstr>'Compass (dbs Meritus)'!AR_FINANCIAL</vt:lpstr>
      <vt:lpstr>'Confed Life &amp; Annty (CLIAC)'!AR_FINANCIAL</vt:lpstr>
      <vt:lpstr>'Confed Life (CLIC)'!AR_FINANCIAL</vt:lpstr>
      <vt:lpstr>'Consolidated National'!AR_FINANCIAL</vt:lpstr>
      <vt:lpstr>'Consumers Choice'!AR_FINANCIAL</vt:lpstr>
      <vt:lpstr>'Consumers Mutual'!AR_FINANCIAL</vt:lpstr>
      <vt:lpstr>'Consumers United'!AR_FINANCIAL</vt:lpstr>
      <vt:lpstr>CoOportunity!AR_FINANCIAL</vt:lpstr>
      <vt:lpstr>'Coordinated Hlth'!AR_FINANCIAL</vt:lpstr>
      <vt:lpstr>'Corporate Life'!AR_FINANCIAL</vt:lpstr>
      <vt:lpstr>'Diamond Benefits'!AR_FINANCIAL</vt:lpstr>
      <vt:lpstr>'EBL Life'!AR_FINANCIAL</vt:lpstr>
      <vt:lpstr>ELNY!AR_FINANCIAL</vt:lpstr>
      <vt:lpstr>'Executive Life'!AR_FINANCIAL</vt:lpstr>
      <vt:lpstr>'Family Guaranty'!AR_FINANCIAL</vt:lpstr>
      <vt:lpstr>'Farmers &amp; Ranchers'!AR_FINANCIAL</vt:lpstr>
      <vt:lpstr>'Fidelity Bankers'!AR_FINANCIAL</vt:lpstr>
      <vt:lpstr>'Fidelity Mutual'!AR_FINANCIAL</vt:lpstr>
      <vt:lpstr>'First Capital'!AR_FINANCIAL</vt:lpstr>
      <vt:lpstr>'First Natl'!AR_FINANCIAL</vt:lpstr>
      <vt:lpstr>'First Natl (Thrnr)'!AR_FINANCIAL</vt:lpstr>
      <vt:lpstr>'Franklin American'!AR_FINANCIAL</vt:lpstr>
      <vt:lpstr>'Franklin Protective'!AR_FINANCIAL</vt:lpstr>
      <vt:lpstr>'Freelancers CO-OP'!AR_FINANCIAL</vt:lpstr>
      <vt:lpstr>'George Washington'!AR_FINANCIAL</vt:lpstr>
      <vt:lpstr>'Golden State'!AR_FINANCIAL</vt:lpstr>
      <vt:lpstr>'Guarantee Security'!AR_FINANCIAL</vt:lpstr>
      <vt:lpstr>HealthyCT!AR_FINANCIAL</vt:lpstr>
      <vt:lpstr>Imerica!AR_FINANCIAL</vt:lpstr>
      <vt:lpstr>'Inter-American'!AR_FINANCIAL</vt:lpstr>
      <vt:lpstr>'International Fin'!AR_FINANCIAL</vt:lpstr>
      <vt:lpstr>'Investment Life of America'!AR_FINANCIAL</vt:lpstr>
      <vt:lpstr>'Investors Equity'!AR_FINANCIAL</vt:lpstr>
      <vt:lpstr>'Kentucky Central'!AR_FINANCIAL</vt:lpstr>
      <vt:lpstr>'Land of Lincoln'!AR_FINANCIAL</vt:lpstr>
      <vt:lpstr>Legion!AR_FINANCIAL</vt:lpstr>
      <vt:lpstr>'Life Health America'!AR_FINANCIAL</vt:lpstr>
      <vt:lpstr>'Lincoln Memorial'!AR_FINANCIAL</vt:lpstr>
      <vt:lpstr>'London Pac'!AR_FINANCIAL</vt:lpstr>
      <vt:lpstr>Lumbermens!AR_FINANCIAL</vt:lpstr>
      <vt:lpstr>'Medical Savings'!AR_FINANCIAL</vt:lpstr>
      <vt:lpstr>'Memorial Service'!AR_FINANCIAL</vt:lpstr>
      <vt:lpstr>Midcontinent!AR_FINANCIAL</vt:lpstr>
      <vt:lpstr>'Midwest Life'!AR_FINANCIAL</vt:lpstr>
      <vt:lpstr>'Monarch Life'!AR_FINANCIAL</vt:lpstr>
      <vt:lpstr>'Mutual Benefit'!AR_FINANCIAL</vt:lpstr>
      <vt:lpstr>'Mutual Security'!AR_FINANCIAL</vt:lpstr>
      <vt:lpstr>'National Affiliated'!AR_FINANCIAL</vt:lpstr>
      <vt:lpstr>'National Heritage'!AR_FINANCIAL</vt:lpstr>
      <vt:lpstr>'National States'!AR_FINANCIAL</vt:lpstr>
      <vt:lpstr>'Natl American'!AR_FINANCIAL</vt:lpstr>
      <vt:lpstr>'New Jersey Life'!AR_FINANCIAL</vt:lpstr>
      <vt:lpstr>NNIC!AR_FINANCIAL</vt:lpstr>
      <vt:lpstr>'Old Colony Life'!AR_FINANCIAL</vt:lpstr>
      <vt:lpstr>'Old Faithful'!AR_FINANCIAL</vt:lpstr>
      <vt:lpstr>'Pacific Standard'!AR_FINANCIAL</vt:lpstr>
      <vt:lpstr>'Pen  Treaty'!AR_FINANCIAL</vt:lpstr>
      <vt:lpstr>Reliance!AR_FINANCIAL</vt:lpstr>
      <vt:lpstr>SeeChange!AR_FINANCIAL</vt:lpstr>
      <vt:lpstr>'Senior American'!AR_FINANCIAL</vt:lpstr>
      <vt:lpstr>Settlers!AR_FINANCIAL</vt:lpstr>
      <vt:lpstr>Shenandoah!AR_FINANCIAL</vt:lpstr>
      <vt:lpstr>'Standard Life IN'!AR_FINANCIAL</vt:lpstr>
      <vt:lpstr>'States General'!AR_FINANCIAL</vt:lpstr>
      <vt:lpstr>Statesman!AR_FINANCIAL</vt:lpstr>
      <vt:lpstr>'Summit National'!AR_FINANCIAL</vt:lpstr>
      <vt:lpstr>Supreme!AR_FINANCIAL</vt:lpstr>
      <vt:lpstr>'Total Summary'!AR_FINANCIAL</vt:lpstr>
      <vt:lpstr>Underwriters!AR_FINANCIAL</vt:lpstr>
      <vt:lpstr>Unison!AR_FINANCIAL</vt:lpstr>
      <vt:lpstr>'United Republic'!AR_FINANCIAL</vt:lpstr>
      <vt:lpstr>'Universal Health Care'!AR_FINANCIAL</vt:lpstr>
      <vt:lpstr>'Universal Life'!AR_FINANCIAL</vt:lpstr>
      <vt:lpstr>Universe!AR_FINANCIAL</vt:lpstr>
      <vt:lpstr>Villanova!AR_FINANCIAL</vt:lpstr>
      <vt:lpstr>'Alabama Life'!AZ_FINANCIAL</vt:lpstr>
      <vt:lpstr>'Amer Life Asr'!AZ_FINANCIAL</vt:lpstr>
      <vt:lpstr>'Amer Std Life Acc'!AZ_FINANCIAL</vt:lpstr>
      <vt:lpstr>'American Chambers'!AZ_FINANCIAL</vt:lpstr>
      <vt:lpstr>'American Community'!AZ_FINANCIAL</vt:lpstr>
      <vt:lpstr>'American Educators'!AZ_FINANCIAL</vt:lpstr>
      <vt:lpstr>'American Integrity'!AZ_FINANCIAL</vt:lpstr>
      <vt:lpstr>'American Network'!AZ_FINANCIAL</vt:lpstr>
      <vt:lpstr>AmerWstrn!AZ_FINANCIAL</vt:lpstr>
      <vt:lpstr>'AMS Life'!AZ_FINANCIAL</vt:lpstr>
      <vt:lpstr>'Andrew Jackson'!AZ_FINANCIAL</vt:lpstr>
      <vt:lpstr>'Bankers Commercial'!AZ_FINANCIAL</vt:lpstr>
      <vt:lpstr>Benicorp!AZ_FINANCIAL</vt:lpstr>
      <vt:lpstr>'Booker T Washington'!AZ_FINANCIAL</vt:lpstr>
      <vt:lpstr>Centennial!AZ_FINANCIAL</vt:lpstr>
      <vt:lpstr>'Coastal States'!AZ_FINANCIAL</vt:lpstr>
      <vt:lpstr>'Colorado Health'!AZ_FINANCIAL</vt:lpstr>
      <vt:lpstr>'Compass (dbs Meritus)'!AZ_FINANCIAL</vt:lpstr>
      <vt:lpstr>'Confed Life &amp; Annty (CLIAC)'!AZ_FINANCIAL</vt:lpstr>
      <vt:lpstr>'Confed Life (CLIC)'!AZ_FINANCIAL</vt:lpstr>
      <vt:lpstr>'Consolidated National'!AZ_FINANCIAL</vt:lpstr>
      <vt:lpstr>'Consumers Choice'!AZ_FINANCIAL</vt:lpstr>
      <vt:lpstr>'Consumers Mutual'!AZ_FINANCIAL</vt:lpstr>
      <vt:lpstr>'Consumers United'!AZ_FINANCIAL</vt:lpstr>
      <vt:lpstr>CoOportunity!AZ_FINANCIAL</vt:lpstr>
      <vt:lpstr>'Coordinated Hlth'!AZ_FINANCIAL</vt:lpstr>
      <vt:lpstr>'Corporate Life'!AZ_FINANCIAL</vt:lpstr>
      <vt:lpstr>'Diamond Benefits'!AZ_FINANCIAL</vt:lpstr>
      <vt:lpstr>'EBL Life'!AZ_FINANCIAL</vt:lpstr>
      <vt:lpstr>ELNY!AZ_FINANCIAL</vt:lpstr>
      <vt:lpstr>'Executive Life'!AZ_FINANCIAL</vt:lpstr>
      <vt:lpstr>'Family Guaranty'!AZ_FINANCIAL</vt:lpstr>
      <vt:lpstr>'Farmers &amp; Ranchers'!AZ_FINANCIAL</vt:lpstr>
      <vt:lpstr>'Fidelity Bankers'!AZ_FINANCIAL</vt:lpstr>
      <vt:lpstr>'Fidelity Mutual'!AZ_FINANCIAL</vt:lpstr>
      <vt:lpstr>'First Capital'!AZ_FINANCIAL</vt:lpstr>
      <vt:lpstr>'First Natl'!AZ_FINANCIAL</vt:lpstr>
      <vt:lpstr>'First Natl (Thrnr)'!AZ_FINANCIAL</vt:lpstr>
      <vt:lpstr>'Franklin American'!AZ_FINANCIAL</vt:lpstr>
      <vt:lpstr>'Franklin Protective'!AZ_FINANCIAL</vt:lpstr>
      <vt:lpstr>'Freelancers CO-OP'!AZ_FINANCIAL</vt:lpstr>
      <vt:lpstr>'George Washington'!AZ_FINANCIAL</vt:lpstr>
      <vt:lpstr>'Golden State'!AZ_FINANCIAL</vt:lpstr>
      <vt:lpstr>'Guarantee Security'!AZ_FINANCIAL</vt:lpstr>
      <vt:lpstr>HealthyCT!AZ_FINANCIAL</vt:lpstr>
      <vt:lpstr>Imerica!AZ_FINANCIAL</vt:lpstr>
      <vt:lpstr>'Inter-American'!AZ_FINANCIAL</vt:lpstr>
      <vt:lpstr>'International Fin'!AZ_FINANCIAL</vt:lpstr>
      <vt:lpstr>'Investment Life of America'!AZ_FINANCIAL</vt:lpstr>
      <vt:lpstr>'Investors Equity'!AZ_FINANCIAL</vt:lpstr>
      <vt:lpstr>'Kentucky Central'!AZ_FINANCIAL</vt:lpstr>
      <vt:lpstr>'Land of Lincoln'!AZ_FINANCIAL</vt:lpstr>
      <vt:lpstr>Legion!AZ_FINANCIAL</vt:lpstr>
      <vt:lpstr>'Life Health America'!AZ_FINANCIAL</vt:lpstr>
      <vt:lpstr>'Lincoln Memorial'!AZ_FINANCIAL</vt:lpstr>
      <vt:lpstr>'London Pac'!AZ_FINANCIAL</vt:lpstr>
      <vt:lpstr>Lumbermens!AZ_FINANCIAL</vt:lpstr>
      <vt:lpstr>'Medical Savings'!AZ_FINANCIAL</vt:lpstr>
      <vt:lpstr>'Memorial Service'!AZ_FINANCIAL</vt:lpstr>
      <vt:lpstr>Midcontinent!AZ_FINANCIAL</vt:lpstr>
      <vt:lpstr>'Midwest Life'!AZ_FINANCIAL</vt:lpstr>
      <vt:lpstr>'Monarch Life'!AZ_FINANCIAL</vt:lpstr>
      <vt:lpstr>'Mutual Benefit'!AZ_FINANCIAL</vt:lpstr>
      <vt:lpstr>'Mutual Security'!AZ_FINANCIAL</vt:lpstr>
      <vt:lpstr>'National Affiliated'!AZ_FINANCIAL</vt:lpstr>
      <vt:lpstr>'National Heritage'!AZ_FINANCIAL</vt:lpstr>
      <vt:lpstr>'National States'!AZ_FINANCIAL</vt:lpstr>
      <vt:lpstr>'Natl American'!AZ_FINANCIAL</vt:lpstr>
      <vt:lpstr>'New Jersey Life'!AZ_FINANCIAL</vt:lpstr>
      <vt:lpstr>NNIC!AZ_FINANCIAL</vt:lpstr>
      <vt:lpstr>'Old Colony Life'!AZ_FINANCIAL</vt:lpstr>
      <vt:lpstr>'Old Faithful'!AZ_FINANCIAL</vt:lpstr>
      <vt:lpstr>'Pacific Standard'!AZ_FINANCIAL</vt:lpstr>
      <vt:lpstr>'Pen  Treaty'!AZ_FINANCIAL</vt:lpstr>
      <vt:lpstr>Reliance!AZ_FINANCIAL</vt:lpstr>
      <vt:lpstr>SeeChange!AZ_FINANCIAL</vt:lpstr>
      <vt:lpstr>'Senior American'!AZ_FINANCIAL</vt:lpstr>
      <vt:lpstr>Settlers!AZ_FINANCIAL</vt:lpstr>
      <vt:lpstr>Shenandoah!AZ_FINANCIAL</vt:lpstr>
      <vt:lpstr>'Standard Life IN'!AZ_FINANCIAL</vt:lpstr>
      <vt:lpstr>'States General'!AZ_FINANCIAL</vt:lpstr>
      <vt:lpstr>Statesman!AZ_FINANCIAL</vt:lpstr>
      <vt:lpstr>'Summit National'!AZ_FINANCIAL</vt:lpstr>
      <vt:lpstr>Supreme!AZ_FINANCIAL</vt:lpstr>
      <vt:lpstr>'Total Summary'!AZ_FINANCIAL</vt:lpstr>
      <vt:lpstr>Underwriters!AZ_FINANCIAL</vt:lpstr>
      <vt:lpstr>Unison!AZ_FINANCIAL</vt:lpstr>
      <vt:lpstr>'United Republic'!AZ_FINANCIAL</vt:lpstr>
      <vt:lpstr>'Universal Health Care'!AZ_FINANCIAL</vt:lpstr>
      <vt:lpstr>'Universal Life'!AZ_FINANCIAL</vt:lpstr>
      <vt:lpstr>Universe!AZ_FINANCIAL</vt:lpstr>
      <vt:lpstr>Villanova!AZ_FINANCIAL</vt:lpstr>
      <vt:lpstr>'Alabama Life'!CA_FINANCIAL</vt:lpstr>
      <vt:lpstr>'Amer Life Asr'!CA_FINANCIAL</vt:lpstr>
      <vt:lpstr>'Amer Std Life Acc'!CA_FINANCIAL</vt:lpstr>
      <vt:lpstr>'American Chambers'!CA_FINANCIAL</vt:lpstr>
      <vt:lpstr>'American Community'!CA_FINANCIAL</vt:lpstr>
      <vt:lpstr>'American Educators'!CA_FINANCIAL</vt:lpstr>
      <vt:lpstr>'American Integrity'!CA_FINANCIAL</vt:lpstr>
      <vt:lpstr>'American Network'!CA_FINANCIAL</vt:lpstr>
      <vt:lpstr>AmerWstrn!CA_FINANCIAL</vt:lpstr>
      <vt:lpstr>'AMS Life'!CA_FINANCIAL</vt:lpstr>
      <vt:lpstr>'Andrew Jackson'!CA_FINANCIAL</vt:lpstr>
      <vt:lpstr>'Bankers Commercial'!CA_FINANCIAL</vt:lpstr>
      <vt:lpstr>Benicorp!CA_FINANCIAL</vt:lpstr>
      <vt:lpstr>'Booker T Washington'!CA_FINANCIAL</vt:lpstr>
      <vt:lpstr>Centennial!CA_FINANCIAL</vt:lpstr>
      <vt:lpstr>'Coastal States'!CA_FINANCIAL</vt:lpstr>
      <vt:lpstr>'Colorado Health'!CA_FINANCIAL</vt:lpstr>
      <vt:lpstr>'Compass (dbs Meritus)'!CA_FINANCIAL</vt:lpstr>
      <vt:lpstr>'Confed Life &amp; Annty (CLIAC)'!CA_FINANCIAL</vt:lpstr>
      <vt:lpstr>'Confed Life (CLIC)'!CA_FINANCIAL</vt:lpstr>
      <vt:lpstr>'Consolidated National'!CA_FINANCIAL</vt:lpstr>
      <vt:lpstr>'Consumers Choice'!CA_FINANCIAL</vt:lpstr>
      <vt:lpstr>'Consumers Mutual'!CA_FINANCIAL</vt:lpstr>
      <vt:lpstr>'Consumers United'!CA_FINANCIAL</vt:lpstr>
      <vt:lpstr>CoOportunity!CA_FINANCIAL</vt:lpstr>
      <vt:lpstr>'Coordinated Hlth'!CA_FINANCIAL</vt:lpstr>
      <vt:lpstr>'Corporate Life'!CA_FINANCIAL</vt:lpstr>
      <vt:lpstr>'Diamond Benefits'!CA_FINANCIAL</vt:lpstr>
      <vt:lpstr>'EBL Life'!CA_FINANCIAL</vt:lpstr>
      <vt:lpstr>ELNY!CA_FINANCIAL</vt:lpstr>
      <vt:lpstr>'Executive Life'!CA_FINANCIAL</vt:lpstr>
      <vt:lpstr>'Family Guaranty'!CA_FINANCIAL</vt:lpstr>
      <vt:lpstr>'Farmers &amp; Ranchers'!CA_FINANCIAL</vt:lpstr>
      <vt:lpstr>'Fidelity Bankers'!CA_FINANCIAL</vt:lpstr>
      <vt:lpstr>'Fidelity Mutual'!CA_FINANCIAL</vt:lpstr>
      <vt:lpstr>'First Capital'!CA_FINANCIAL</vt:lpstr>
      <vt:lpstr>'First Natl'!CA_FINANCIAL</vt:lpstr>
      <vt:lpstr>'First Natl (Thrnr)'!CA_FINANCIAL</vt:lpstr>
      <vt:lpstr>'Franklin American'!CA_FINANCIAL</vt:lpstr>
      <vt:lpstr>'Franklin Protective'!CA_FINANCIAL</vt:lpstr>
      <vt:lpstr>'Freelancers CO-OP'!CA_FINANCIAL</vt:lpstr>
      <vt:lpstr>'George Washington'!CA_FINANCIAL</vt:lpstr>
      <vt:lpstr>'Golden State'!CA_FINANCIAL</vt:lpstr>
      <vt:lpstr>'Guarantee Security'!CA_FINANCIAL</vt:lpstr>
      <vt:lpstr>HealthyCT!CA_FINANCIAL</vt:lpstr>
      <vt:lpstr>Imerica!CA_FINANCIAL</vt:lpstr>
      <vt:lpstr>'Inter-American'!CA_FINANCIAL</vt:lpstr>
      <vt:lpstr>'International Fin'!CA_FINANCIAL</vt:lpstr>
      <vt:lpstr>'Investment Life of America'!CA_FINANCIAL</vt:lpstr>
      <vt:lpstr>'Investors Equity'!CA_FINANCIAL</vt:lpstr>
      <vt:lpstr>'Kentucky Central'!CA_FINANCIAL</vt:lpstr>
      <vt:lpstr>'Land of Lincoln'!CA_FINANCIAL</vt:lpstr>
      <vt:lpstr>Legion!CA_FINANCIAL</vt:lpstr>
      <vt:lpstr>'Life Health America'!CA_FINANCIAL</vt:lpstr>
      <vt:lpstr>'Lincoln Memorial'!CA_FINANCIAL</vt:lpstr>
      <vt:lpstr>'London Pac'!CA_FINANCIAL</vt:lpstr>
      <vt:lpstr>Lumbermens!CA_FINANCIAL</vt:lpstr>
      <vt:lpstr>'Medical Savings'!CA_FINANCIAL</vt:lpstr>
      <vt:lpstr>'Memorial Service'!CA_FINANCIAL</vt:lpstr>
      <vt:lpstr>Midcontinent!CA_FINANCIAL</vt:lpstr>
      <vt:lpstr>'Midwest Life'!CA_FINANCIAL</vt:lpstr>
      <vt:lpstr>'Monarch Life'!CA_FINANCIAL</vt:lpstr>
      <vt:lpstr>'Mutual Benefit'!CA_FINANCIAL</vt:lpstr>
      <vt:lpstr>'Mutual Security'!CA_FINANCIAL</vt:lpstr>
      <vt:lpstr>'National Affiliated'!CA_FINANCIAL</vt:lpstr>
      <vt:lpstr>'National Heritage'!CA_FINANCIAL</vt:lpstr>
      <vt:lpstr>'National States'!CA_FINANCIAL</vt:lpstr>
      <vt:lpstr>'Natl American'!CA_FINANCIAL</vt:lpstr>
      <vt:lpstr>'New Jersey Life'!CA_FINANCIAL</vt:lpstr>
      <vt:lpstr>NNIC!CA_FINANCIAL</vt:lpstr>
      <vt:lpstr>'Old Colony Life'!CA_FINANCIAL</vt:lpstr>
      <vt:lpstr>'Old Faithful'!CA_FINANCIAL</vt:lpstr>
      <vt:lpstr>'Pacific Standard'!CA_FINANCIAL</vt:lpstr>
      <vt:lpstr>'Pen  Treaty'!CA_FINANCIAL</vt:lpstr>
      <vt:lpstr>Reliance!CA_FINANCIAL</vt:lpstr>
      <vt:lpstr>SeeChange!CA_FINANCIAL</vt:lpstr>
      <vt:lpstr>'Senior American'!CA_FINANCIAL</vt:lpstr>
      <vt:lpstr>Settlers!CA_FINANCIAL</vt:lpstr>
      <vt:lpstr>Shenandoah!CA_FINANCIAL</vt:lpstr>
      <vt:lpstr>'Standard Life IN'!CA_FINANCIAL</vt:lpstr>
      <vt:lpstr>'States General'!CA_FINANCIAL</vt:lpstr>
      <vt:lpstr>Statesman!CA_FINANCIAL</vt:lpstr>
      <vt:lpstr>'Summit National'!CA_FINANCIAL</vt:lpstr>
      <vt:lpstr>Supreme!CA_FINANCIAL</vt:lpstr>
      <vt:lpstr>'Total Summary'!CA_FINANCIAL</vt:lpstr>
      <vt:lpstr>Underwriters!CA_FINANCIAL</vt:lpstr>
      <vt:lpstr>Unison!CA_FINANCIAL</vt:lpstr>
      <vt:lpstr>'United Republic'!CA_FINANCIAL</vt:lpstr>
      <vt:lpstr>'Universal Health Care'!CA_FINANCIAL</vt:lpstr>
      <vt:lpstr>'Universal Life'!CA_FINANCIAL</vt:lpstr>
      <vt:lpstr>Universe!CA_FINANCIAL</vt:lpstr>
      <vt:lpstr>Villanova!CA_FINANCIAL</vt:lpstr>
      <vt:lpstr>Summary!CL_ALLOC_CALLED</vt:lpstr>
      <vt:lpstr>Summary!CL_ALLOC_REFUNDED</vt:lpstr>
      <vt:lpstr>Summary!CL_ALLOCATED</vt:lpstr>
      <vt:lpstr>Summary!CL_CHANGE</vt:lpstr>
      <vt:lpstr>Summary!CL_HEALTH</vt:lpstr>
      <vt:lpstr>Summary!CL_HEALTH_CALLED</vt:lpstr>
      <vt:lpstr>Summary!CL_HEALTH_REFUNDED</vt:lpstr>
      <vt:lpstr>Summary!CL_LIFE</vt:lpstr>
      <vt:lpstr>Summary!CL_LIFE_CALLED</vt:lpstr>
      <vt:lpstr>Summary!CL_LIFE_REFUNDED</vt:lpstr>
      <vt:lpstr>Summary!CL_LTC</vt:lpstr>
      <vt:lpstr>Summary!CL_RECON</vt:lpstr>
      <vt:lpstr>Summary!CL_TOTAL</vt:lpstr>
      <vt:lpstr>Summary!CL_TOTAL_PREV</vt:lpstr>
      <vt:lpstr>Summary!CL_UNALLOC_CALLED</vt:lpstr>
      <vt:lpstr>Summary!CL_UNALLOC_REFUNDED</vt:lpstr>
      <vt:lpstr>Summary!CL_UNALLOCATED</vt:lpstr>
      <vt:lpstr>'Alabama Life'!CO_FINANCIAL</vt:lpstr>
      <vt:lpstr>'Amer Life Asr'!CO_FINANCIAL</vt:lpstr>
      <vt:lpstr>'Amer Std Life Acc'!CO_FINANCIAL</vt:lpstr>
      <vt:lpstr>'American Chambers'!CO_FINANCIAL</vt:lpstr>
      <vt:lpstr>'American Community'!CO_FINANCIAL</vt:lpstr>
      <vt:lpstr>'American Educators'!CO_FINANCIAL</vt:lpstr>
      <vt:lpstr>'American Integrity'!CO_FINANCIAL</vt:lpstr>
      <vt:lpstr>'American Network'!CO_FINANCIAL</vt:lpstr>
      <vt:lpstr>AmerWstrn!CO_FINANCIAL</vt:lpstr>
      <vt:lpstr>'AMS Life'!CO_FINANCIAL</vt:lpstr>
      <vt:lpstr>'Andrew Jackson'!CO_FINANCIAL</vt:lpstr>
      <vt:lpstr>'Bankers Commercial'!CO_FINANCIAL</vt:lpstr>
      <vt:lpstr>Benicorp!CO_FINANCIAL</vt:lpstr>
      <vt:lpstr>'Booker T Washington'!CO_FINANCIAL</vt:lpstr>
      <vt:lpstr>Centennial!CO_FINANCIAL</vt:lpstr>
      <vt:lpstr>'Coastal States'!CO_FINANCIAL</vt:lpstr>
      <vt:lpstr>'Colorado Health'!CO_FINANCIAL</vt:lpstr>
      <vt:lpstr>'Compass (dbs Meritus)'!CO_FINANCIAL</vt:lpstr>
      <vt:lpstr>'Confed Life &amp; Annty (CLIAC)'!CO_FINANCIAL</vt:lpstr>
      <vt:lpstr>'Confed Life (CLIC)'!CO_FINANCIAL</vt:lpstr>
      <vt:lpstr>'Consolidated National'!CO_FINANCIAL</vt:lpstr>
      <vt:lpstr>'Consumers Choice'!CO_FINANCIAL</vt:lpstr>
      <vt:lpstr>'Consumers Mutual'!CO_FINANCIAL</vt:lpstr>
      <vt:lpstr>'Consumers United'!CO_FINANCIAL</vt:lpstr>
      <vt:lpstr>CoOportunity!CO_FINANCIAL</vt:lpstr>
      <vt:lpstr>'Coordinated Hlth'!CO_FINANCIAL</vt:lpstr>
      <vt:lpstr>'Corporate Life'!CO_FINANCIAL</vt:lpstr>
      <vt:lpstr>'Diamond Benefits'!CO_FINANCIAL</vt:lpstr>
      <vt:lpstr>'EBL Life'!CO_FINANCIAL</vt:lpstr>
      <vt:lpstr>ELNY!CO_FINANCIAL</vt:lpstr>
      <vt:lpstr>'Executive Life'!CO_FINANCIAL</vt:lpstr>
      <vt:lpstr>'Family Guaranty'!CO_FINANCIAL</vt:lpstr>
      <vt:lpstr>'Farmers &amp; Ranchers'!CO_FINANCIAL</vt:lpstr>
      <vt:lpstr>'Fidelity Bankers'!CO_FINANCIAL</vt:lpstr>
      <vt:lpstr>'Fidelity Mutual'!CO_FINANCIAL</vt:lpstr>
      <vt:lpstr>'First Capital'!CO_FINANCIAL</vt:lpstr>
      <vt:lpstr>'First Natl'!CO_FINANCIAL</vt:lpstr>
      <vt:lpstr>'First Natl (Thrnr)'!CO_FINANCIAL</vt:lpstr>
      <vt:lpstr>'Franklin American'!CO_FINANCIAL</vt:lpstr>
      <vt:lpstr>'Franklin Protective'!CO_FINANCIAL</vt:lpstr>
      <vt:lpstr>'Freelancers CO-OP'!CO_FINANCIAL</vt:lpstr>
      <vt:lpstr>'George Washington'!CO_FINANCIAL</vt:lpstr>
      <vt:lpstr>'Golden State'!CO_FINANCIAL</vt:lpstr>
      <vt:lpstr>'Guarantee Security'!CO_FINANCIAL</vt:lpstr>
      <vt:lpstr>HealthyCT!CO_FINANCIAL</vt:lpstr>
      <vt:lpstr>Imerica!CO_FINANCIAL</vt:lpstr>
      <vt:lpstr>'Inter-American'!CO_FINANCIAL</vt:lpstr>
      <vt:lpstr>'International Fin'!CO_FINANCIAL</vt:lpstr>
      <vt:lpstr>'Investment Life of America'!CO_FINANCIAL</vt:lpstr>
      <vt:lpstr>'Investors Equity'!CO_FINANCIAL</vt:lpstr>
      <vt:lpstr>'Kentucky Central'!CO_FINANCIAL</vt:lpstr>
      <vt:lpstr>'Land of Lincoln'!CO_FINANCIAL</vt:lpstr>
      <vt:lpstr>Legion!CO_FINANCIAL</vt:lpstr>
      <vt:lpstr>'Life Health America'!CO_FINANCIAL</vt:lpstr>
      <vt:lpstr>'Lincoln Memorial'!CO_FINANCIAL</vt:lpstr>
      <vt:lpstr>'London Pac'!CO_FINANCIAL</vt:lpstr>
      <vt:lpstr>Lumbermens!CO_FINANCIAL</vt:lpstr>
      <vt:lpstr>'Medical Savings'!CO_FINANCIAL</vt:lpstr>
      <vt:lpstr>'Memorial Service'!CO_FINANCIAL</vt:lpstr>
      <vt:lpstr>Midcontinent!CO_FINANCIAL</vt:lpstr>
      <vt:lpstr>'Midwest Life'!CO_FINANCIAL</vt:lpstr>
      <vt:lpstr>'Monarch Life'!CO_FINANCIAL</vt:lpstr>
      <vt:lpstr>'Mutual Benefit'!CO_FINANCIAL</vt:lpstr>
      <vt:lpstr>'Mutual Security'!CO_FINANCIAL</vt:lpstr>
      <vt:lpstr>'National Affiliated'!CO_FINANCIAL</vt:lpstr>
      <vt:lpstr>'National Heritage'!CO_FINANCIAL</vt:lpstr>
      <vt:lpstr>'National States'!CO_FINANCIAL</vt:lpstr>
      <vt:lpstr>'Natl American'!CO_FINANCIAL</vt:lpstr>
      <vt:lpstr>'New Jersey Life'!CO_FINANCIAL</vt:lpstr>
      <vt:lpstr>NNIC!CO_FINANCIAL</vt:lpstr>
      <vt:lpstr>'Old Colony Life'!CO_FINANCIAL</vt:lpstr>
      <vt:lpstr>'Old Faithful'!CO_FINANCIAL</vt:lpstr>
      <vt:lpstr>'Pacific Standard'!CO_FINANCIAL</vt:lpstr>
      <vt:lpstr>'Pen  Treaty'!CO_FINANCIAL</vt:lpstr>
      <vt:lpstr>Reliance!CO_FINANCIAL</vt:lpstr>
      <vt:lpstr>SeeChange!CO_FINANCIAL</vt:lpstr>
      <vt:lpstr>'Senior American'!CO_FINANCIAL</vt:lpstr>
      <vt:lpstr>Settlers!CO_FINANCIAL</vt:lpstr>
      <vt:lpstr>Shenandoah!CO_FINANCIAL</vt:lpstr>
      <vt:lpstr>'Standard Life IN'!CO_FINANCIAL</vt:lpstr>
      <vt:lpstr>'States General'!CO_FINANCIAL</vt:lpstr>
      <vt:lpstr>Statesman!CO_FINANCIAL</vt:lpstr>
      <vt:lpstr>'Summit National'!CO_FINANCIAL</vt:lpstr>
      <vt:lpstr>Supreme!CO_FINANCIAL</vt:lpstr>
      <vt:lpstr>'Total Summary'!CO_FINANCIAL</vt:lpstr>
      <vt:lpstr>Underwriters!CO_FINANCIAL</vt:lpstr>
      <vt:lpstr>Unison!CO_FINANCIAL</vt:lpstr>
      <vt:lpstr>'United Republic'!CO_FINANCIAL</vt:lpstr>
      <vt:lpstr>'Universal Health Care'!CO_FINANCIAL</vt:lpstr>
      <vt:lpstr>'Universal Life'!CO_FINANCIAL</vt:lpstr>
      <vt:lpstr>Universe!CO_FINANCIAL</vt:lpstr>
      <vt:lpstr>Villanova!CO_FINANCIAL</vt:lpstr>
      <vt:lpstr>'Alabama Life'!CT_FINANCIAL</vt:lpstr>
      <vt:lpstr>'Amer Life Asr'!CT_FINANCIAL</vt:lpstr>
      <vt:lpstr>'Amer Std Life Acc'!CT_FINANCIAL</vt:lpstr>
      <vt:lpstr>'American Chambers'!CT_FINANCIAL</vt:lpstr>
      <vt:lpstr>'American Community'!CT_FINANCIAL</vt:lpstr>
      <vt:lpstr>'American Educators'!CT_FINANCIAL</vt:lpstr>
      <vt:lpstr>'American Integrity'!CT_FINANCIAL</vt:lpstr>
      <vt:lpstr>'American Network'!CT_FINANCIAL</vt:lpstr>
      <vt:lpstr>AmerWstrn!CT_FINANCIAL</vt:lpstr>
      <vt:lpstr>'AMS Life'!CT_FINANCIAL</vt:lpstr>
      <vt:lpstr>'Andrew Jackson'!CT_FINANCIAL</vt:lpstr>
      <vt:lpstr>'Bankers Commercial'!CT_FINANCIAL</vt:lpstr>
      <vt:lpstr>Benicorp!CT_FINANCIAL</vt:lpstr>
      <vt:lpstr>'Booker T Washington'!CT_FINANCIAL</vt:lpstr>
      <vt:lpstr>Centennial!CT_FINANCIAL</vt:lpstr>
      <vt:lpstr>'Coastal States'!CT_FINANCIAL</vt:lpstr>
      <vt:lpstr>'Colorado Health'!CT_FINANCIAL</vt:lpstr>
      <vt:lpstr>'Compass (dbs Meritus)'!CT_FINANCIAL</vt:lpstr>
      <vt:lpstr>'Confed Life &amp; Annty (CLIAC)'!CT_FINANCIAL</vt:lpstr>
      <vt:lpstr>'Confed Life (CLIC)'!CT_FINANCIAL</vt:lpstr>
      <vt:lpstr>'Consolidated National'!CT_FINANCIAL</vt:lpstr>
      <vt:lpstr>'Consumers Choice'!CT_FINANCIAL</vt:lpstr>
      <vt:lpstr>'Consumers Mutual'!CT_FINANCIAL</vt:lpstr>
      <vt:lpstr>'Consumers United'!CT_FINANCIAL</vt:lpstr>
      <vt:lpstr>CoOportunity!CT_FINANCIAL</vt:lpstr>
      <vt:lpstr>'Coordinated Hlth'!CT_FINANCIAL</vt:lpstr>
      <vt:lpstr>'Corporate Life'!CT_FINANCIAL</vt:lpstr>
      <vt:lpstr>'Diamond Benefits'!CT_FINANCIAL</vt:lpstr>
      <vt:lpstr>'EBL Life'!CT_FINANCIAL</vt:lpstr>
      <vt:lpstr>ELNY!CT_FINANCIAL</vt:lpstr>
      <vt:lpstr>'Executive Life'!CT_FINANCIAL</vt:lpstr>
      <vt:lpstr>'Family Guaranty'!CT_FINANCIAL</vt:lpstr>
      <vt:lpstr>'Farmers &amp; Ranchers'!CT_FINANCIAL</vt:lpstr>
      <vt:lpstr>'Fidelity Bankers'!CT_FINANCIAL</vt:lpstr>
      <vt:lpstr>'Fidelity Mutual'!CT_FINANCIAL</vt:lpstr>
      <vt:lpstr>'First Capital'!CT_FINANCIAL</vt:lpstr>
      <vt:lpstr>'First Natl'!CT_FINANCIAL</vt:lpstr>
      <vt:lpstr>'First Natl (Thrnr)'!CT_FINANCIAL</vt:lpstr>
      <vt:lpstr>'Franklin American'!CT_FINANCIAL</vt:lpstr>
      <vt:lpstr>'Franklin Protective'!CT_FINANCIAL</vt:lpstr>
      <vt:lpstr>'Freelancers CO-OP'!CT_FINANCIAL</vt:lpstr>
      <vt:lpstr>'George Washington'!CT_FINANCIAL</vt:lpstr>
      <vt:lpstr>'Golden State'!CT_FINANCIAL</vt:lpstr>
      <vt:lpstr>'Guarantee Security'!CT_FINANCIAL</vt:lpstr>
      <vt:lpstr>HealthyCT!CT_FINANCIAL</vt:lpstr>
      <vt:lpstr>Imerica!CT_FINANCIAL</vt:lpstr>
      <vt:lpstr>'Inter-American'!CT_FINANCIAL</vt:lpstr>
      <vt:lpstr>'International Fin'!CT_FINANCIAL</vt:lpstr>
      <vt:lpstr>'Investment Life of America'!CT_FINANCIAL</vt:lpstr>
      <vt:lpstr>'Investors Equity'!CT_FINANCIAL</vt:lpstr>
      <vt:lpstr>'Kentucky Central'!CT_FINANCIAL</vt:lpstr>
      <vt:lpstr>'Land of Lincoln'!CT_FINANCIAL</vt:lpstr>
      <vt:lpstr>Legion!CT_FINANCIAL</vt:lpstr>
      <vt:lpstr>'Life Health America'!CT_FINANCIAL</vt:lpstr>
      <vt:lpstr>'Lincoln Memorial'!CT_FINANCIAL</vt:lpstr>
      <vt:lpstr>'London Pac'!CT_FINANCIAL</vt:lpstr>
      <vt:lpstr>Lumbermens!CT_FINANCIAL</vt:lpstr>
      <vt:lpstr>'Medical Savings'!CT_FINANCIAL</vt:lpstr>
      <vt:lpstr>'Memorial Service'!CT_FINANCIAL</vt:lpstr>
      <vt:lpstr>Midcontinent!CT_FINANCIAL</vt:lpstr>
      <vt:lpstr>'Midwest Life'!CT_FINANCIAL</vt:lpstr>
      <vt:lpstr>'Monarch Life'!CT_FINANCIAL</vt:lpstr>
      <vt:lpstr>'Mutual Benefit'!CT_FINANCIAL</vt:lpstr>
      <vt:lpstr>'Mutual Security'!CT_FINANCIAL</vt:lpstr>
      <vt:lpstr>'National Affiliated'!CT_FINANCIAL</vt:lpstr>
      <vt:lpstr>'National Heritage'!CT_FINANCIAL</vt:lpstr>
      <vt:lpstr>'National States'!CT_FINANCIAL</vt:lpstr>
      <vt:lpstr>'Natl American'!CT_FINANCIAL</vt:lpstr>
      <vt:lpstr>'New Jersey Life'!CT_FINANCIAL</vt:lpstr>
      <vt:lpstr>NNIC!CT_FINANCIAL</vt:lpstr>
      <vt:lpstr>'Old Colony Life'!CT_FINANCIAL</vt:lpstr>
      <vt:lpstr>'Old Faithful'!CT_FINANCIAL</vt:lpstr>
      <vt:lpstr>'Pacific Standard'!CT_FINANCIAL</vt:lpstr>
      <vt:lpstr>'Pen  Treaty'!CT_FINANCIAL</vt:lpstr>
      <vt:lpstr>Reliance!CT_FINANCIAL</vt:lpstr>
      <vt:lpstr>SeeChange!CT_FINANCIAL</vt:lpstr>
      <vt:lpstr>'Senior American'!CT_FINANCIAL</vt:lpstr>
      <vt:lpstr>Settlers!CT_FINANCIAL</vt:lpstr>
      <vt:lpstr>Shenandoah!CT_FINANCIAL</vt:lpstr>
      <vt:lpstr>'Standard Life IN'!CT_FINANCIAL</vt:lpstr>
      <vt:lpstr>'States General'!CT_FINANCIAL</vt:lpstr>
      <vt:lpstr>Statesman!CT_FINANCIAL</vt:lpstr>
      <vt:lpstr>'Summit National'!CT_FINANCIAL</vt:lpstr>
      <vt:lpstr>Supreme!CT_FINANCIAL</vt:lpstr>
      <vt:lpstr>'Total Summary'!CT_FINANCIAL</vt:lpstr>
      <vt:lpstr>Underwriters!CT_FINANCIAL</vt:lpstr>
      <vt:lpstr>Unison!CT_FINANCIAL</vt:lpstr>
      <vt:lpstr>'United Republic'!CT_FINANCIAL</vt:lpstr>
      <vt:lpstr>'Universal Health Care'!CT_FINANCIAL</vt:lpstr>
      <vt:lpstr>'Universal Life'!CT_FINANCIAL</vt:lpstr>
      <vt:lpstr>Universe!CT_FINANCIAL</vt:lpstr>
      <vt:lpstr>Villanova!CT_FINANCIAL</vt:lpstr>
      <vt:lpstr>'Alabama Life'!DC_FINANCIAL</vt:lpstr>
      <vt:lpstr>'Amer Life Asr'!DC_FINANCIAL</vt:lpstr>
      <vt:lpstr>'Amer Std Life Acc'!DC_FINANCIAL</vt:lpstr>
      <vt:lpstr>'American Chambers'!DC_FINANCIAL</vt:lpstr>
      <vt:lpstr>'American Community'!DC_FINANCIAL</vt:lpstr>
      <vt:lpstr>'American Educators'!DC_FINANCIAL</vt:lpstr>
      <vt:lpstr>'American Integrity'!DC_FINANCIAL</vt:lpstr>
      <vt:lpstr>'American Network'!DC_FINANCIAL</vt:lpstr>
      <vt:lpstr>AmerWstrn!DC_FINANCIAL</vt:lpstr>
      <vt:lpstr>'AMS Life'!DC_FINANCIAL</vt:lpstr>
      <vt:lpstr>'Andrew Jackson'!DC_FINANCIAL</vt:lpstr>
      <vt:lpstr>'Bankers Commercial'!DC_FINANCIAL</vt:lpstr>
      <vt:lpstr>Benicorp!DC_FINANCIAL</vt:lpstr>
      <vt:lpstr>'Booker T Washington'!DC_FINANCIAL</vt:lpstr>
      <vt:lpstr>Centennial!DC_FINANCIAL</vt:lpstr>
      <vt:lpstr>'Coastal States'!DC_FINANCIAL</vt:lpstr>
      <vt:lpstr>'Colorado Health'!DC_FINANCIAL</vt:lpstr>
      <vt:lpstr>'Compass (dbs Meritus)'!DC_FINANCIAL</vt:lpstr>
      <vt:lpstr>'Confed Life &amp; Annty (CLIAC)'!DC_FINANCIAL</vt:lpstr>
      <vt:lpstr>'Confed Life (CLIC)'!DC_FINANCIAL</vt:lpstr>
      <vt:lpstr>'Consolidated National'!DC_FINANCIAL</vt:lpstr>
      <vt:lpstr>'Consumers Choice'!DC_FINANCIAL</vt:lpstr>
      <vt:lpstr>'Consumers Mutual'!DC_FINANCIAL</vt:lpstr>
      <vt:lpstr>'Consumers United'!DC_FINANCIAL</vt:lpstr>
      <vt:lpstr>CoOportunity!DC_FINANCIAL</vt:lpstr>
      <vt:lpstr>'Coordinated Hlth'!DC_FINANCIAL</vt:lpstr>
      <vt:lpstr>'Corporate Life'!DC_FINANCIAL</vt:lpstr>
      <vt:lpstr>'Diamond Benefits'!DC_FINANCIAL</vt:lpstr>
      <vt:lpstr>'EBL Life'!DC_FINANCIAL</vt:lpstr>
      <vt:lpstr>ELNY!DC_FINANCIAL</vt:lpstr>
      <vt:lpstr>'Executive Life'!DC_FINANCIAL</vt:lpstr>
      <vt:lpstr>'Family Guaranty'!DC_FINANCIAL</vt:lpstr>
      <vt:lpstr>'Farmers &amp; Ranchers'!DC_FINANCIAL</vt:lpstr>
      <vt:lpstr>'Fidelity Bankers'!DC_FINANCIAL</vt:lpstr>
      <vt:lpstr>'Fidelity Mutual'!DC_FINANCIAL</vt:lpstr>
      <vt:lpstr>'First Capital'!DC_FINANCIAL</vt:lpstr>
      <vt:lpstr>'First Natl'!DC_FINANCIAL</vt:lpstr>
      <vt:lpstr>'First Natl (Thrnr)'!DC_FINANCIAL</vt:lpstr>
      <vt:lpstr>'Franklin American'!DC_FINANCIAL</vt:lpstr>
      <vt:lpstr>'Franklin Protective'!DC_FINANCIAL</vt:lpstr>
      <vt:lpstr>'Freelancers CO-OP'!DC_FINANCIAL</vt:lpstr>
      <vt:lpstr>'George Washington'!DC_FINANCIAL</vt:lpstr>
      <vt:lpstr>'Golden State'!DC_FINANCIAL</vt:lpstr>
      <vt:lpstr>'Guarantee Security'!DC_FINANCIAL</vt:lpstr>
      <vt:lpstr>HealthyCT!DC_FINANCIAL</vt:lpstr>
      <vt:lpstr>Imerica!DC_FINANCIAL</vt:lpstr>
      <vt:lpstr>'Inter-American'!DC_FINANCIAL</vt:lpstr>
      <vt:lpstr>'International Fin'!DC_FINANCIAL</vt:lpstr>
      <vt:lpstr>'Investment Life of America'!DC_FINANCIAL</vt:lpstr>
      <vt:lpstr>'Investors Equity'!DC_FINANCIAL</vt:lpstr>
      <vt:lpstr>'Kentucky Central'!DC_FINANCIAL</vt:lpstr>
      <vt:lpstr>'Land of Lincoln'!DC_FINANCIAL</vt:lpstr>
      <vt:lpstr>Legion!DC_FINANCIAL</vt:lpstr>
      <vt:lpstr>'Life Health America'!DC_FINANCIAL</vt:lpstr>
      <vt:lpstr>'Lincoln Memorial'!DC_FINANCIAL</vt:lpstr>
      <vt:lpstr>'London Pac'!DC_FINANCIAL</vt:lpstr>
      <vt:lpstr>Lumbermens!DC_FINANCIAL</vt:lpstr>
      <vt:lpstr>'Medical Savings'!DC_FINANCIAL</vt:lpstr>
      <vt:lpstr>'Memorial Service'!DC_FINANCIAL</vt:lpstr>
      <vt:lpstr>Midcontinent!DC_FINANCIAL</vt:lpstr>
      <vt:lpstr>'Midwest Life'!DC_FINANCIAL</vt:lpstr>
      <vt:lpstr>'Monarch Life'!DC_FINANCIAL</vt:lpstr>
      <vt:lpstr>'Mutual Benefit'!DC_FINANCIAL</vt:lpstr>
      <vt:lpstr>'Mutual Security'!DC_FINANCIAL</vt:lpstr>
      <vt:lpstr>'National Affiliated'!DC_FINANCIAL</vt:lpstr>
      <vt:lpstr>'National Heritage'!DC_FINANCIAL</vt:lpstr>
      <vt:lpstr>'National States'!DC_FINANCIAL</vt:lpstr>
      <vt:lpstr>'Natl American'!DC_FINANCIAL</vt:lpstr>
      <vt:lpstr>'New Jersey Life'!DC_FINANCIAL</vt:lpstr>
      <vt:lpstr>NNIC!DC_FINANCIAL</vt:lpstr>
      <vt:lpstr>'Old Colony Life'!DC_FINANCIAL</vt:lpstr>
      <vt:lpstr>'Old Faithful'!DC_FINANCIAL</vt:lpstr>
      <vt:lpstr>'Pacific Standard'!DC_FINANCIAL</vt:lpstr>
      <vt:lpstr>'Pen  Treaty'!DC_FINANCIAL</vt:lpstr>
      <vt:lpstr>Reliance!DC_FINANCIAL</vt:lpstr>
      <vt:lpstr>SeeChange!DC_FINANCIAL</vt:lpstr>
      <vt:lpstr>'Senior American'!DC_FINANCIAL</vt:lpstr>
      <vt:lpstr>Settlers!DC_FINANCIAL</vt:lpstr>
      <vt:lpstr>Shenandoah!DC_FINANCIAL</vt:lpstr>
      <vt:lpstr>'Standard Life IN'!DC_FINANCIAL</vt:lpstr>
      <vt:lpstr>'States General'!DC_FINANCIAL</vt:lpstr>
      <vt:lpstr>Statesman!DC_FINANCIAL</vt:lpstr>
      <vt:lpstr>'Summit National'!DC_FINANCIAL</vt:lpstr>
      <vt:lpstr>Supreme!DC_FINANCIAL</vt:lpstr>
      <vt:lpstr>'Total Summary'!DC_FINANCIAL</vt:lpstr>
      <vt:lpstr>Underwriters!DC_FINANCIAL</vt:lpstr>
      <vt:lpstr>Unison!DC_FINANCIAL</vt:lpstr>
      <vt:lpstr>'United Republic'!DC_FINANCIAL</vt:lpstr>
      <vt:lpstr>'Universal Health Care'!DC_FINANCIAL</vt:lpstr>
      <vt:lpstr>'Universal Life'!DC_FINANCIAL</vt:lpstr>
      <vt:lpstr>Universe!DC_FINANCIAL</vt:lpstr>
      <vt:lpstr>Villanova!DC_FINANCIAL</vt:lpstr>
      <vt:lpstr>'Alabama Life'!DE_FINANCIAL</vt:lpstr>
      <vt:lpstr>'Amer Life Asr'!DE_FINANCIAL</vt:lpstr>
      <vt:lpstr>'Amer Std Life Acc'!DE_FINANCIAL</vt:lpstr>
      <vt:lpstr>'American Chambers'!DE_FINANCIAL</vt:lpstr>
      <vt:lpstr>'American Community'!DE_FINANCIAL</vt:lpstr>
      <vt:lpstr>'American Educators'!DE_FINANCIAL</vt:lpstr>
      <vt:lpstr>'American Integrity'!DE_FINANCIAL</vt:lpstr>
      <vt:lpstr>'American Network'!DE_FINANCIAL</vt:lpstr>
      <vt:lpstr>AmerWstrn!DE_FINANCIAL</vt:lpstr>
      <vt:lpstr>'AMS Life'!DE_FINANCIAL</vt:lpstr>
      <vt:lpstr>'Andrew Jackson'!DE_FINANCIAL</vt:lpstr>
      <vt:lpstr>'Bankers Commercial'!DE_FINANCIAL</vt:lpstr>
      <vt:lpstr>Benicorp!DE_FINANCIAL</vt:lpstr>
      <vt:lpstr>'Booker T Washington'!DE_FINANCIAL</vt:lpstr>
      <vt:lpstr>Centennial!DE_FINANCIAL</vt:lpstr>
      <vt:lpstr>'Coastal States'!DE_FINANCIAL</vt:lpstr>
      <vt:lpstr>'Colorado Health'!DE_FINANCIAL</vt:lpstr>
      <vt:lpstr>'Compass (dbs Meritus)'!DE_FINANCIAL</vt:lpstr>
      <vt:lpstr>'Confed Life &amp; Annty (CLIAC)'!DE_FINANCIAL</vt:lpstr>
      <vt:lpstr>'Confed Life (CLIC)'!DE_FINANCIAL</vt:lpstr>
      <vt:lpstr>'Consolidated National'!DE_FINANCIAL</vt:lpstr>
      <vt:lpstr>'Consumers Choice'!DE_FINANCIAL</vt:lpstr>
      <vt:lpstr>'Consumers Mutual'!DE_FINANCIAL</vt:lpstr>
      <vt:lpstr>'Consumers United'!DE_FINANCIAL</vt:lpstr>
      <vt:lpstr>CoOportunity!DE_FINANCIAL</vt:lpstr>
      <vt:lpstr>'Coordinated Hlth'!DE_FINANCIAL</vt:lpstr>
      <vt:lpstr>'Corporate Life'!DE_FINANCIAL</vt:lpstr>
      <vt:lpstr>'Diamond Benefits'!DE_FINANCIAL</vt:lpstr>
      <vt:lpstr>'EBL Life'!DE_FINANCIAL</vt:lpstr>
      <vt:lpstr>ELNY!DE_FINANCIAL</vt:lpstr>
      <vt:lpstr>'Executive Life'!DE_FINANCIAL</vt:lpstr>
      <vt:lpstr>'Family Guaranty'!DE_FINANCIAL</vt:lpstr>
      <vt:lpstr>'Farmers &amp; Ranchers'!DE_FINANCIAL</vt:lpstr>
      <vt:lpstr>'Fidelity Bankers'!DE_FINANCIAL</vt:lpstr>
      <vt:lpstr>'Fidelity Mutual'!DE_FINANCIAL</vt:lpstr>
      <vt:lpstr>'First Capital'!DE_FINANCIAL</vt:lpstr>
      <vt:lpstr>'First Natl'!DE_FINANCIAL</vt:lpstr>
      <vt:lpstr>'First Natl (Thrnr)'!DE_FINANCIAL</vt:lpstr>
      <vt:lpstr>'Franklin American'!DE_FINANCIAL</vt:lpstr>
      <vt:lpstr>'Franklin Protective'!DE_FINANCIAL</vt:lpstr>
      <vt:lpstr>'Freelancers CO-OP'!DE_FINANCIAL</vt:lpstr>
      <vt:lpstr>'George Washington'!DE_FINANCIAL</vt:lpstr>
      <vt:lpstr>'Golden State'!DE_FINANCIAL</vt:lpstr>
      <vt:lpstr>'Guarantee Security'!DE_FINANCIAL</vt:lpstr>
      <vt:lpstr>HealthyCT!DE_FINANCIAL</vt:lpstr>
      <vt:lpstr>Imerica!DE_FINANCIAL</vt:lpstr>
      <vt:lpstr>'Inter-American'!DE_FINANCIAL</vt:lpstr>
      <vt:lpstr>'International Fin'!DE_FINANCIAL</vt:lpstr>
      <vt:lpstr>'Investment Life of America'!DE_FINANCIAL</vt:lpstr>
      <vt:lpstr>'Investors Equity'!DE_FINANCIAL</vt:lpstr>
      <vt:lpstr>'Kentucky Central'!DE_FINANCIAL</vt:lpstr>
      <vt:lpstr>'Land of Lincoln'!DE_FINANCIAL</vt:lpstr>
      <vt:lpstr>Legion!DE_FINANCIAL</vt:lpstr>
      <vt:lpstr>'Life Health America'!DE_FINANCIAL</vt:lpstr>
      <vt:lpstr>'Lincoln Memorial'!DE_FINANCIAL</vt:lpstr>
      <vt:lpstr>'London Pac'!DE_FINANCIAL</vt:lpstr>
      <vt:lpstr>Lumbermens!DE_FINANCIAL</vt:lpstr>
      <vt:lpstr>'Medical Savings'!DE_FINANCIAL</vt:lpstr>
      <vt:lpstr>'Memorial Service'!DE_FINANCIAL</vt:lpstr>
      <vt:lpstr>Midcontinent!DE_FINANCIAL</vt:lpstr>
      <vt:lpstr>'Midwest Life'!DE_FINANCIAL</vt:lpstr>
      <vt:lpstr>'Monarch Life'!DE_FINANCIAL</vt:lpstr>
      <vt:lpstr>'Mutual Benefit'!DE_FINANCIAL</vt:lpstr>
      <vt:lpstr>'Mutual Security'!DE_FINANCIAL</vt:lpstr>
      <vt:lpstr>'National Affiliated'!DE_FINANCIAL</vt:lpstr>
      <vt:lpstr>'National Heritage'!DE_FINANCIAL</vt:lpstr>
      <vt:lpstr>'National States'!DE_FINANCIAL</vt:lpstr>
      <vt:lpstr>'Natl American'!DE_FINANCIAL</vt:lpstr>
      <vt:lpstr>'New Jersey Life'!DE_FINANCIAL</vt:lpstr>
      <vt:lpstr>NNIC!DE_FINANCIAL</vt:lpstr>
      <vt:lpstr>'Old Colony Life'!DE_FINANCIAL</vt:lpstr>
      <vt:lpstr>'Old Faithful'!DE_FINANCIAL</vt:lpstr>
      <vt:lpstr>'Pacific Standard'!DE_FINANCIAL</vt:lpstr>
      <vt:lpstr>'Pen  Treaty'!DE_FINANCIAL</vt:lpstr>
      <vt:lpstr>Reliance!DE_FINANCIAL</vt:lpstr>
      <vt:lpstr>SeeChange!DE_FINANCIAL</vt:lpstr>
      <vt:lpstr>'Senior American'!DE_FINANCIAL</vt:lpstr>
      <vt:lpstr>Settlers!DE_FINANCIAL</vt:lpstr>
      <vt:lpstr>Shenandoah!DE_FINANCIAL</vt:lpstr>
      <vt:lpstr>'Standard Life IN'!DE_FINANCIAL</vt:lpstr>
      <vt:lpstr>'States General'!DE_FINANCIAL</vt:lpstr>
      <vt:lpstr>Statesman!DE_FINANCIAL</vt:lpstr>
      <vt:lpstr>'Summit National'!DE_FINANCIAL</vt:lpstr>
      <vt:lpstr>Supreme!DE_FINANCIAL</vt:lpstr>
      <vt:lpstr>'Total Summary'!DE_FINANCIAL</vt:lpstr>
      <vt:lpstr>Underwriters!DE_FINANCIAL</vt:lpstr>
      <vt:lpstr>Unison!DE_FINANCIAL</vt:lpstr>
      <vt:lpstr>'United Republic'!DE_FINANCIAL</vt:lpstr>
      <vt:lpstr>'Universal Health Care'!DE_FINANCIAL</vt:lpstr>
      <vt:lpstr>'Universal Life'!DE_FINANCIAL</vt:lpstr>
      <vt:lpstr>Universe!DE_FINANCIAL</vt:lpstr>
      <vt:lpstr>Villanova!DE_FINANCIAL</vt:lpstr>
      <vt:lpstr>Summary!EC_ALLOC_CALLED</vt:lpstr>
      <vt:lpstr>Summary!EC_ALLOC_REFUNDED</vt:lpstr>
      <vt:lpstr>Summary!EC_ALLOCATED</vt:lpstr>
      <vt:lpstr>Summary!EC_CHANGE</vt:lpstr>
      <vt:lpstr>Summary!EC_HEALTH</vt:lpstr>
      <vt:lpstr>Summary!EC_HEALTH_CALLED</vt:lpstr>
      <vt:lpstr>Summary!EC_HEALTH_REFUNDED</vt:lpstr>
      <vt:lpstr>Summary!EC_LIFE</vt:lpstr>
      <vt:lpstr>Summary!EC_LIFE_CALLED</vt:lpstr>
      <vt:lpstr>Summary!EC_LIFE_REFUNDED</vt:lpstr>
      <vt:lpstr>Summary!EC_LTC</vt:lpstr>
      <vt:lpstr>Summary!EC_RECON</vt:lpstr>
      <vt:lpstr>Summary!EC_TOTAL</vt:lpstr>
      <vt:lpstr>Summary!EC_TOTAL_PREV</vt:lpstr>
      <vt:lpstr>Summary!EC_UNALLOC_CALLED</vt:lpstr>
      <vt:lpstr>Summary!EC_UNALLOC_REFUNDED</vt:lpstr>
      <vt:lpstr>Summary!EC_UNALLOCATED</vt:lpstr>
      <vt:lpstr>'Alabama Life'!FL_FINANCIAL</vt:lpstr>
      <vt:lpstr>'Amer Life Asr'!FL_FINANCIAL</vt:lpstr>
      <vt:lpstr>'Amer Std Life Acc'!FL_FINANCIAL</vt:lpstr>
      <vt:lpstr>'American Chambers'!FL_FINANCIAL</vt:lpstr>
      <vt:lpstr>'American Community'!FL_FINANCIAL</vt:lpstr>
      <vt:lpstr>'American Educators'!FL_FINANCIAL</vt:lpstr>
      <vt:lpstr>'American Integrity'!FL_FINANCIAL</vt:lpstr>
      <vt:lpstr>'American Network'!FL_FINANCIAL</vt:lpstr>
      <vt:lpstr>AmerWstrn!FL_FINANCIAL</vt:lpstr>
      <vt:lpstr>'AMS Life'!FL_FINANCIAL</vt:lpstr>
      <vt:lpstr>'Andrew Jackson'!FL_FINANCIAL</vt:lpstr>
      <vt:lpstr>'Bankers Commercial'!FL_FINANCIAL</vt:lpstr>
      <vt:lpstr>Benicorp!FL_FINANCIAL</vt:lpstr>
      <vt:lpstr>'Booker T Washington'!FL_FINANCIAL</vt:lpstr>
      <vt:lpstr>Centennial!FL_FINANCIAL</vt:lpstr>
      <vt:lpstr>'Coastal States'!FL_FINANCIAL</vt:lpstr>
      <vt:lpstr>'Colorado Health'!FL_FINANCIAL</vt:lpstr>
      <vt:lpstr>'Compass (dbs Meritus)'!FL_FINANCIAL</vt:lpstr>
      <vt:lpstr>'Confed Life &amp; Annty (CLIAC)'!FL_FINANCIAL</vt:lpstr>
      <vt:lpstr>'Confed Life (CLIC)'!FL_FINANCIAL</vt:lpstr>
      <vt:lpstr>'Consolidated National'!FL_FINANCIAL</vt:lpstr>
      <vt:lpstr>'Consumers Choice'!FL_FINANCIAL</vt:lpstr>
      <vt:lpstr>'Consumers Mutual'!FL_FINANCIAL</vt:lpstr>
      <vt:lpstr>'Consumers United'!FL_FINANCIAL</vt:lpstr>
      <vt:lpstr>CoOportunity!FL_FINANCIAL</vt:lpstr>
      <vt:lpstr>'Coordinated Hlth'!FL_FINANCIAL</vt:lpstr>
      <vt:lpstr>'Corporate Life'!FL_FINANCIAL</vt:lpstr>
      <vt:lpstr>'Diamond Benefits'!FL_FINANCIAL</vt:lpstr>
      <vt:lpstr>'EBL Life'!FL_FINANCIAL</vt:lpstr>
      <vt:lpstr>ELNY!FL_FINANCIAL</vt:lpstr>
      <vt:lpstr>'Executive Life'!FL_FINANCIAL</vt:lpstr>
      <vt:lpstr>'Family Guaranty'!FL_FINANCIAL</vt:lpstr>
      <vt:lpstr>'Farmers &amp; Ranchers'!FL_FINANCIAL</vt:lpstr>
      <vt:lpstr>'Fidelity Bankers'!FL_FINANCIAL</vt:lpstr>
      <vt:lpstr>'Fidelity Mutual'!FL_FINANCIAL</vt:lpstr>
      <vt:lpstr>'First Capital'!FL_FINANCIAL</vt:lpstr>
      <vt:lpstr>'First Natl'!FL_FINANCIAL</vt:lpstr>
      <vt:lpstr>'First Natl (Thrnr)'!FL_FINANCIAL</vt:lpstr>
      <vt:lpstr>'Franklin American'!FL_FINANCIAL</vt:lpstr>
      <vt:lpstr>'Franklin Protective'!FL_FINANCIAL</vt:lpstr>
      <vt:lpstr>'Freelancers CO-OP'!FL_FINANCIAL</vt:lpstr>
      <vt:lpstr>'George Washington'!FL_FINANCIAL</vt:lpstr>
      <vt:lpstr>'Golden State'!FL_FINANCIAL</vt:lpstr>
      <vt:lpstr>'Guarantee Security'!FL_FINANCIAL</vt:lpstr>
      <vt:lpstr>HealthyCT!FL_FINANCIAL</vt:lpstr>
      <vt:lpstr>Imerica!FL_FINANCIAL</vt:lpstr>
      <vt:lpstr>'Inter-American'!FL_FINANCIAL</vt:lpstr>
      <vt:lpstr>'International Fin'!FL_FINANCIAL</vt:lpstr>
      <vt:lpstr>'Investment Life of America'!FL_FINANCIAL</vt:lpstr>
      <vt:lpstr>'Investors Equity'!FL_FINANCIAL</vt:lpstr>
      <vt:lpstr>'Kentucky Central'!FL_FINANCIAL</vt:lpstr>
      <vt:lpstr>'Land of Lincoln'!FL_FINANCIAL</vt:lpstr>
      <vt:lpstr>Legion!FL_FINANCIAL</vt:lpstr>
      <vt:lpstr>'Life Health America'!FL_FINANCIAL</vt:lpstr>
      <vt:lpstr>'Lincoln Memorial'!FL_FINANCIAL</vt:lpstr>
      <vt:lpstr>'London Pac'!FL_FINANCIAL</vt:lpstr>
      <vt:lpstr>Lumbermens!FL_FINANCIAL</vt:lpstr>
      <vt:lpstr>'Medical Savings'!FL_FINANCIAL</vt:lpstr>
      <vt:lpstr>'Memorial Service'!FL_FINANCIAL</vt:lpstr>
      <vt:lpstr>Midcontinent!FL_FINANCIAL</vt:lpstr>
      <vt:lpstr>'Midwest Life'!FL_FINANCIAL</vt:lpstr>
      <vt:lpstr>'Monarch Life'!FL_FINANCIAL</vt:lpstr>
      <vt:lpstr>'Mutual Benefit'!FL_FINANCIAL</vt:lpstr>
      <vt:lpstr>'Mutual Security'!FL_FINANCIAL</vt:lpstr>
      <vt:lpstr>'National Affiliated'!FL_FINANCIAL</vt:lpstr>
      <vt:lpstr>'National Heritage'!FL_FINANCIAL</vt:lpstr>
      <vt:lpstr>'National States'!FL_FINANCIAL</vt:lpstr>
      <vt:lpstr>'Natl American'!FL_FINANCIAL</vt:lpstr>
      <vt:lpstr>'New Jersey Life'!FL_FINANCIAL</vt:lpstr>
      <vt:lpstr>NNIC!FL_FINANCIAL</vt:lpstr>
      <vt:lpstr>'Old Colony Life'!FL_FINANCIAL</vt:lpstr>
      <vt:lpstr>'Old Faithful'!FL_FINANCIAL</vt:lpstr>
      <vt:lpstr>'Pacific Standard'!FL_FINANCIAL</vt:lpstr>
      <vt:lpstr>'Pen  Treaty'!FL_FINANCIAL</vt:lpstr>
      <vt:lpstr>Reliance!FL_FINANCIAL</vt:lpstr>
      <vt:lpstr>SeeChange!FL_FINANCIAL</vt:lpstr>
      <vt:lpstr>'Senior American'!FL_FINANCIAL</vt:lpstr>
      <vt:lpstr>Settlers!FL_FINANCIAL</vt:lpstr>
      <vt:lpstr>Shenandoah!FL_FINANCIAL</vt:lpstr>
      <vt:lpstr>'Standard Life IN'!FL_FINANCIAL</vt:lpstr>
      <vt:lpstr>'States General'!FL_FINANCIAL</vt:lpstr>
      <vt:lpstr>Statesman!FL_FINANCIAL</vt:lpstr>
      <vt:lpstr>'Summit National'!FL_FINANCIAL</vt:lpstr>
      <vt:lpstr>Supreme!FL_FINANCIAL</vt:lpstr>
      <vt:lpstr>'Total Summary'!FL_FINANCIAL</vt:lpstr>
      <vt:lpstr>Underwriters!FL_FINANCIAL</vt:lpstr>
      <vt:lpstr>Unison!FL_FINANCIAL</vt:lpstr>
      <vt:lpstr>'United Republic'!FL_FINANCIAL</vt:lpstr>
      <vt:lpstr>'Universal Health Care'!FL_FINANCIAL</vt:lpstr>
      <vt:lpstr>'Universal Life'!FL_FINANCIAL</vt:lpstr>
      <vt:lpstr>Universe!FL_FINANCIAL</vt:lpstr>
      <vt:lpstr>Villanova!FL_FINANCIAL</vt:lpstr>
      <vt:lpstr>'Alabama Life'!GA_FINANCIAL</vt:lpstr>
      <vt:lpstr>'Amer Life Asr'!GA_FINANCIAL</vt:lpstr>
      <vt:lpstr>'Amer Std Life Acc'!GA_FINANCIAL</vt:lpstr>
      <vt:lpstr>'American Chambers'!GA_FINANCIAL</vt:lpstr>
      <vt:lpstr>'American Community'!GA_FINANCIAL</vt:lpstr>
      <vt:lpstr>'American Educators'!GA_FINANCIAL</vt:lpstr>
      <vt:lpstr>'American Integrity'!GA_FINANCIAL</vt:lpstr>
      <vt:lpstr>'American Network'!GA_FINANCIAL</vt:lpstr>
      <vt:lpstr>AmerWstrn!GA_FINANCIAL</vt:lpstr>
      <vt:lpstr>'AMS Life'!GA_FINANCIAL</vt:lpstr>
      <vt:lpstr>'Andrew Jackson'!GA_FINANCIAL</vt:lpstr>
      <vt:lpstr>'Bankers Commercial'!GA_FINANCIAL</vt:lpstr>
      <vt:lpstr>Benicorp!GA_FINANCIAL</vt:lpstr>
      <vt:lpstr>'Booker T Washington'!GA_FINANCIAL</vt:lpstr>
      <vt:lpstr>Centennial!GA_FINANCIAL</vt:lpstr>
      <vt:lpstr>'Coastal States'!GA_FINANCIAL</vt:lpstr>
      <vt:lpstr>'Colorado Health'!GA_FINANCIAL</vt:lpstr>
      <vt:lpstr>'Compass (dbs Meritus)'!GA_FINANCIAL</vt:lpstr>
      <vt:lpstr>'Confed Life &amp; Annty (CLIAC)'!GA_FINANCIAL</vt:lpstr>
      <vt:lpstr>'Confed Life (CLIC)'!GA_FINANCIAL</vt:lpstr>
      <vt:lpstr>'Consolidated National'!GA_FINANCIAL</vt:lpstr>
      <vt:lpstr>'Consumers Choice'!GA_FINANCIAL</vt:lpstr>
      <vt:lpstr>'Consumers Mutual'!GA_FINANCIAL</vt:lpstr>
      <vt:lpstr>'Consumers United'!GA_FINANCIAL</vt:lpstr>
      <vt:lpstr>CoOportunity!GA_FINANCIAL</vt:lpstr>
      <vt:lpstr>'Coordinated Hlth'!GA_FINANCIAL</vt:lpstr>
      <vt:lpstr>'Corporate Life'!GA_FINANCIAL</vt:lpstr>
      <vt:lpstr>'Diamond Benefits'!GA_FINANCIAL</vt:lpstr>
      <vt:lpstr>'EBL Life'!GA_FINANCIAL</vt:lpstr>
      <vt:lpstr>ELNY!GA_FINANCIAL</vt:lpstr>
      <vt:lpstr>'Executive Life'!GA_FINANCIAL</vt:lpstr>
      <vt:lpstr>'Family Guaranty'!GA_FINANCIAL</vt:lpstr>
      <vt:lpstr>'Farmers &amp; Ranchers'!GA_FINANCIAL</vt:lpstr>
      <vt:lpstr>'Fidelity Bankers'!GA_FINANCIAL</vt:lpstr>
      <vt:lpstr>'Fidelity Mutual'!GA_FINANCIAL</vt:lpstr>
      <vt:lpstr>'First Capital'!GA_FINANCIAL</vt:lpstr>
      <vt:lpstr>'First Natl'!GA_FINANCIAL</vt:lpstr>
      <vt:lpstr>'First Natl (Thrnr)'!GA_FINANCIAL</vt:lpstr>
      <vt:lpstr>'Franklin American'!GA_FINANCIAL</vt:lpstr>
      <vt:lpstr>'Franklin Protective'!GA_FINANCIAL</vt:lpstr>
      <vt:lpstr>'Freelancers CO-OP'!GA_FINANCIAL</vt:lpstr>
      <vt:lpstr>'George Washington'!GA_FINANCIAL</vt:lpstr>
      <vt:lpstr>'Golden State'!GA_FINANCIAL</vt:lpstr>
      <vt:lpstr>'Guarantee Security'!GA_FINANCIAL</vt:lpstr>
      <vt:lpstr>HealthyCT!GA_FINANCIAL</vt:lpstr>
      <vt:lpstr>Imerica!GA_FINANCIAL</vt:lpstr>
      <vt:lpstr>'Inter-American'!GA_FINANCIAL</vt:lpstr>
      <vt:lpstr>'International Fin'!GA_FINANCIAL</vt:lpstr>
      <vt:lpstr>'Investment Life of America'!GA_FINANCIAL</vt:lpstr>
      <vt:lpstr>'Investors Equity'!GA_FINANCIAL</vt:lpstr>
      <vt:lpstr>'Kentucky Central'!GA_FINANCIAL</vt:lpstr>
      <vt:lpstr>'Land of Lincoln'!GA_FINANCIAL</vt:lpstr>
      <vt:lpstr>Legion!GA_FINANCIAL</vt:lpstr>
      <vt:lpstr>'Life Health America'!GA_FINANCIAL</vt:lpstr>
      <vt:lpstr>'Lincoln Memorial'!GA_FINANCIAL</vt:lpstr>
      <vt:lpstr>'London Pac'!GA_FINANCIAL</vt:lpstr>
      <vt:lpstr>Lumbermens!GA_FINANCIAL</vt:lpstr>
      <vt:lpstr>'Medical Savings'!GA_FINANCIAL</vt:lpstr>
      <vt:lpstr>'Memorial Service'!GA_FINANCIAL</vt:lpstr>
      <vt:lpstr>Midcontinent!GA_FINANCIAL</vt:lpstr>
      <vt:lpstr>'Midwest Life'!GA_FINANCIAL</vt:lpstr>
      <vt:lpstr>'Monarch Life'!GA_FINANCIAL</vt:lpstr>
      <vt:lpstr>'Mutual Benefit'!GA_FINANCIAL</vt:lpstr>
      <vt:lpstr>'Mutual Security'!GA_FINANCIAL</vt:lpstr>
      <vt:lpstr>'National Affiliated'!GA_FINANCIAL</vt:lpstr>
      <vt:lpstr>'National Heritage'!GA_FINANCIAL</vt:lpstr>
      <vt:lpstr>'National States'!GA_FINANCIAL</vt:lpstr>
      <vt:lpstr>'Natl American'!GA_FINANCIAL</vt:lpstr>
      <vt:lpstr>'New Jersey Life'!GA_FINANCIAL</vt:lpstr>
      <vt:lpstr>NNIC!GA_FINANCIAL</vt:lpstr>
      <vt:lpstr>'Old Colony Life'!GA_FINANCIAL</vt:lpstr>
      <vt:lpstr>'Old Faithful'!GA_FINANCIAL</vt:lpstr>
      <vt:lpstr>'Pacific Standard'!GA_FINANCIAL</vt:lpstr>
      <vt:lpstr>'Pen  Treaty'!GA_FINANCIAL</vt:lpstr>
      <vt:lpstr>Reliance!GA_FINANCIAL</vt:lpstr>
      <vt:lpstr>SeeChange!GA_FINANCIAL</vt:lpstr>
      <vt:lpstr>'Senior American'!GA_FINANCIAL</vt:lpstr>
      <vt:lpstr>Settlers!GA_FINANCIAL</vt:lpstr>
      <vt:lpstr>Shenandoah!GA_FINANCIAL</vt:lpstr>
      <vt:lpstr>'Standard Life IN'!GA_FINANCIAL</vt:lpstr>
      <vt:lpstr>'States General'!GA_FINANCIAL</vt:lpstr>
      <vt:lpstr>Statesman!GA_FINANCIAL</vt:lpstr>
      <vt:lpstr>'Summit National'!GA_FINANCIAL</vt:lpstr>
      <vt:lpstr>Supreme!GA_FINANCIAL</vt:lpstr>
      <vt:lpstr>'Total Summary'!GA_FINANCIAL</vt:lpstr>
      <vt:lpstr>Underwriters!GA_FINANCIAL</vt:lpstr>
      <vt:lpstr>Unison!GA_FINANCIAL</vt:lpstr>
      <vt:lpstr>'United Republic'!GA_FINANCIAL</vt:lpstr>
      <vt:lpstr>'Universal Health Care'!GA_FINANCIAL</vt:lpstr>
      <vt:lpstr>'Universal Life'!GA_FINANCIAL</vt:lpstr>
      <vt:lpstr>Universe!GA_FINANCIAL</vt:lpstr>
      <vt:lpstr>Villanova!GA_FINANCIAL</vt:lpstr>
      <vt:lpstr>'Alabama Life'!HEALTH</vt:lpstr>
      <vt:lpstr>'Amer Life Asr'!HEALTH</vt:lpstr>
      <vt:lpstr>'Amer Std Life Acc'!HEALTH</vt:lpstr>
      <vt:lpstr>'American Chambers'!HEALTH</vt:lpstr>
      <vt:lpstr>'American Community'!HEALTH</vt:lpstr>
      <vt:lpstr>'American Educators'!HEALTH</vt:lpstr>
      <vt:lpstr>'American Integrity'!HEALTH</vt:lpstr>
      <vt:lpstr>'American Network'!HEALTH</vt:lpstr>
      <vt:lpstr>AmerWstrn!HEALTH</vt:lpstr>
      <vt:lpstr>'AMS Life'!HEALTH</vt:lpstr>
      <vt:lpstr>'Andrew Jackson'!HEALTH</vt:lpstr>
      <vt:lpstr>'Bankers Commercial'!HEALTH</vt:lpstr>
      <vt:lpstr>Benicorp!HEALTH</vt:lpstr>
      <vt:lpstr>'Booker T Washington'!HEALTH</vt:lpstr>
      <vt:lpstr>Centennial!HEALTH</vt:lpstr>
      <vt:lpstr>'Closed Summary'!HEALTH</vt:lpstr>
      <vt:lpstr>'Coastal States'!HEALTH</vt:lpstr>
      <vt:lpstr>'Colorado Health'!HEALTH</vt:lpstr>
      <vt:lpstr>'Compass (dbs Meritus)'!HEALTH</vt:lpstr>
      <vt:lpstr>'Confed Life &amp; Annty (CLIAC)'!HEALTH</vt:lpstr>
      <vt:lpstr>'Confed Life (CLIC)'!HEALTH</vt:lpstr>
      <vt:lpstr>'Consolidated National'!HEALTH</vt:lpstr>
      <vt:lpstr>'Consumers Choice'!HEALTH</vt:lpstr>
      <vt:lpstr>'Consumers Mutual'!HEALTH</vt:lpstr>
      <vt:lpstr>'Consumers United'!HEALTH</vt:lpstr>
      <vt:lpstr>CoOportunity!HEALTH</vt:lpstr>
      <vt:lpstr>'Coordinated Hlth'!HEALTH</vt:lpstr>
      <vt:lpstr>'Corporate Life'!HEALTH</vt:lpstr>
      <vt:lpstr>'Diamond Benefits'!HEALTH</vt:lpstr>
      <vt:lpstr>'EBL Life'!HEALTH</vt:lpstr>
      <vt:lpstr>ELNY!HEALTH</vt:lpstr>
      <vt:lpstr>'Estate Closed Summary'!HEALTH</vt:lpstr>
      <vt:lpstr>'Executive Life'!HEALTH</vt:lpstr>
      <vt:lpstr>'Family Guaranty'!HEALTH</vt:lpstr>
      <vt:lpstr>'Farmers &amp; Ranchers'!HEALTH</vt:lpstr>
      <vt:lpstr>'Fidelity Bankers'!HEALTH</vt:lpstr>
      <vt:lpstr>'Fidelity Mutual'!HEALTH</vt:lpstr>
      <vt:lpstr>'First Capital'!HEALTH</vt:lpstr>
      <vt:lpstr>'First Natl'!HEALTH</vt:lpstr>
      <vt:lpstr>'First Natl (Thrnr)'!HEALTH</vt:lpstr>
      <vt:lpstr>'Franklin American'!HEALTH</vt:lpstr>
      <vt:lpstr>'Franklin Protective'!HEALTH</vt:lpstr>
      <vt:lpstr>'Freelancers CO-OP'!HEALTH</vt:lpstr>
      <vt:lpstr>'George Washington'!HEALTH</vt:lpstr>
      <vt:lpstr>'Golden State'!HEALTH</vt:lpstr>
      <vt:lpstr>'Guarantee Security'!HEALTH</vt:lpstr>
      <vt:lpstr>HealthyCT!HEALTH</vt:lpstr>
      <vt:lpstr>Imerica!HEALTH</vt:lpstr>
      <vt:lpstr>'Inter-American'!HEALTH</vt:lpstr>
      <vt:lpstr>'International Fin'!HEALTH</vt:lpstr>
      <vt:lpstr>'Investment Life of America'!HEALTH</vt:lpstr>
      <vt:lpstr>'Investors Equity'!HEALTH</vt:lpstr>
      <vt:lpstr>'Kentucky Central'!HEALTH</vt:lpstr>
      <vt:lpstr>'Land of Lincoln'!HEALTH</vt:lpstr>
      <vt:lpstr>Legion!HEALTH</vt:lpstr>
      <vt:lpstr>'Life Health America'!HEALTH</vt:lpstr>
      <vt:lpstr>'Lincoln Memorial'!HEALTH</vt:lpstr>
      <vt:lpstr>'London Pac'!HEALTH</vt:lpstr>
      <vt:lpstr>Lumbermens!HEALTH</vt:lpstr>
      <vt:lpstr>'Medical Savings'!HEALTH</vt:lpstr>
      <vt:lpstr>'Memorial Service'!HEALTH</vt:lpstr>
      <vt:lpstr>Midcontinent!HEALTH</vt:lpstr>
      <vt:lpstr>'Midwest Life'!HEALTH</vt:lpstr>
      <vt:lpstr>'Monarch Life'!HEALTH</vt:lpstr>
      <vt:lpstr>'Mutual Benefit'!HEALTH</vt:lpstr>
      <vt:lpstr>'Mutual Security'!HEALTH</vt:lpstr>
      <vt:lpstr>'National Affiliated'!HEALTH</vt:lpstr>
      <vt:lpstr>'National Heritage'!HEALTH</vt:lpstr>
      <vt:lpstr>'National States'!HEALTH</vt:lpstr>
      <vt:lpstr>'Natl American'!HEALTH</vt:lpstr>
      <vt:lpstr>'New Jersey Life'!HEALTH</vt:lpstr>
      <vt:lpstr>NNIC!HEALTH</vt:lpstr>
      <vt:lpstr>'Old Colony Life'!HEALTH</vt:lpstr>
      <vt:lpstr>'Old Faithful'!HEALTH</vt:lpstr>
      <vt:lpstr>'Open Summary'!HEALTH</vt:lpstr>
      <vt:lpstr>'Pacific Standard'!HEALTH</vt:lpstr>
      <vt:lpstr>'Pen  Treaty'!HEALTH</vt:lpstr>
      <vt:lpstr>'Pre-Liquidation Summary'!HEALTH</vt:lpstr>
      <vt:lpstr>'Released from Oversight Summary'!HEALTH</vt:lpstr>
      <vt:lpstr>Reliance!HEALTH</vt:lpstr>
      <vt:lpstr>SeeChange!HEALTH</vt:lpstr>
      <vt:lpstr>'Senior American'!HEALTH</vt:lpstr>
      <vt:lpstr>Settlers!HEALTH</vt:lpstr>
      <vt:lpstr>Shenandoah!HEALTH</vt:lpstr>
      <vt:lpstr>'Standard Life IN'!HEALTH</vt:lpstr>
      <vt:lpstr>'States General'!HEALTH</vt:lpstr>
      <vt:lpstr>Statesman!HEALTH</vt:lpstr>
      <vt:lpstr>'Summit National'!HEALTH</vt:lpstr>
      <vt:lpstr>Supreme!HEALTH</vt:lpstr>
      <vt:lpstr>'Total Summary'!HEALTH</vt:lpstr>
      <vt:lpstr>Underwriters!HEALTH</vt:lpstr>
      <vt:lpstr>Unison!HEALTH</vt:lpstr>
      <vt:lpstr>'United Republic'!HEALTH</vt:lpstr>
      <vt:lpstr>'Universal Health Care'!HEALTH</vt:lpstr>
      <vt:lpstr>'Universal Life'!HEALTH</vt:lpstr>
      <vt:lpstr>Universe!HEALTH</vt:lpstr>
      <vt:lpstr>Villanova!HEALTH</vt:lpstr>
      <vt:lpstr>'Alabama Life'!HEALTH_CALLED</vt:lpstr>
      <vt:lpstr>'Amer Life Asr'!HEALTH_CALLED</vt:lpstr>
      <vt:lpstr>'Amer Std Life Acc'!HEALTH_CALLED</vt:lpstr>
      <vt:lpstr>'American Chambers'!HEALTH_CALLED</vt:lpstr>
      <vt:lpstr>'American Community'!HEALTH_CALLED</vt:lpstr>
      <vt:lpstr>'American Educators'!HEALTH_CALLED</vt:lpstr>
      <vt:lpstr>'American Integrity'!HEALTH_CALLED</vt:lpstr>
      <vt:lpstr>'American Network'!HEALTH_CALLED</vt:lpstr>
      <vt:lpstr>AmerWstrn!HEALTH_CALLED</vt:lpstr>
      <vt:lpstr>'AMS Life'!HEALTH_CALLED</vt:lpstr>
      <vt:lpstr>'Andrew Jackson'!HEALTH_CALLED</vt:lpstr>
      <vt:lpstr>'Bankers Commercial'!HEALTH_CALLED</vt:lpstr>
      <vt:lpstr>Benicorp!HEALTH_CALLED</vt:lpstr>
      <vt:lpstr>'Booker T Washington'!HEALTH_CALLED</vt:lpstr>
      <vt:lpstr>Centennial!HEALTH_CALLED</vt:lpstr>
      <vt:lpstr>'Coastal States'!HEALTH_CALLED</vt:lpstr>
      <vt:lpstr>'Colorado Health'!HEALTH_CALLED</vt:lpstr>
      <vt:lpstr>'Compass (dbs Meritus)'!HEALTH_CALLED</vt:lpstr>
      <vt:lpstr>'Confed Life &amp; Annty (CLIAC)'!HEALTH_CALLED</vt:lpstr>
      <vt:lpstr>'Confed Life (CLIC)'!HEALTH_CALLED</vt:lpstr>
      <vt:lpstr>'Consolidated National'!HEALTH_CALLED</vt:lpstr>
      <vt:lpstr>'Consumers Choice'!HEALTH_CALLED</vt:lpstr>
      <vt:lpstr>'Consumers Mutual'!HEALTH_CALLED</vt:lpstr>
      <vt:lpstr>'Consumers United'!HEALTH_CALLED</vt:lpstr>
      <vt:lpstr>CoOportunity!HEALTH_CALLED</vt:lpstr>
      <vt:lpstr>'Coordinated Hlth'!HEALTH_CALLED</vt:lpstr>
      <vt:lpstr>'Corporate Life'!HEALTH_CALLED</vt:lpstr>
      <vt:lpstr>'Diamond Benefits'!HEALTH_CALLED</vt:lpstr>
      <vt:lpstr>'EBL Life'!HEALTH_CALLED</vt:lpstr>
      <vt:lpstr>ELNY!HEALTH_CALLED</vt:lpstr>
      <vt:lpstr>'Executive Life'!HEALTH_CALLED</vt:lpstr>
      <vt:lpstr>'Family Guaranty'!HEALTH_CALLED</vt:lpstr>
      <vt:lpstr>'Farmers &amp; Ranchers'!HEALTH_CALLED</vt:lpstr>
      <vt:lpstr>'Fidelity Bankers'!HEALTH_CALLED</vt:lpstr>
      <vt:lpstr>'Fidelity Mutual'!HEALTH_CALLED</vt:lpstr>
      <vt:lpstr>'First Capital'!HEALTH_CALLED</vt:lpstr>
      <vt:lpstr>'First Natl'!HEALTH_CALLED</vt:lpstr>
      <vt:lpstr>'First Natl (Thrnr)'!HEALTH_CALLED</vt:lpstr>
      <vt:lpstr>'Franklin American'!HEALTH_CALLED</vt:lpstr>
      <vt:lpstr>'Franklin Protective'!HEALTH_CALLED</vt:lpstr>
      <vt:lpstr>'Freelancers CO-OP'!HEALTH_CALLED</vt:lpstr>
      <vt:lpstr>'George Washington'!HEALTH_CALLED</vt:lpstr>
      <vt:lpstr>'Golden State'!HEALTH_CALLED</vt:lpstr>
      <vt:lpstr>'Guarantee Security'!HEALTH_CALLED</vt:lpstr>
      <vt:lpstr>HealthyCT!HEALTH_CALLED</vt:lpstr>
      <vt:lpstr>Imerica!HEALTH_CALLED</vt:lpstr>
      <vt:lpstr>'Inter-American'!HEALTH_CALLED</vt:lpstr>
      <vt:lpstr>'International Fin'!HEALTH_CALLED</vt:lpstr>
      <vt:lpstr>'Investment Life of America'!HEALTH_CALLED</vt:lpstr>
      <vt:lpstr>'Investors Equity'!HEALTH_CALLED</vt:lpstr>
      <vt:lpstr>'Kentucky Central'!HEALTH_CALLED</vt:lpstr>
      <vt:lpstr>'Land of Lincoln'!HEALTH_CALLED</vt:lpstr>
      <vt:lpstr>Legion!HEALTH_CALLED</vt:lpstr>
      <vt:lpstr>'Life Health America'!HEALTH_CALLED</vt:lpstr>
      <vt:lpstr>'Lincoln Memorial'!HEALTH_CALLED</vt:lpstr>
      <vt:lpstr>'London Pac'!HEALTH_CALLED</vt:lpstr>
      <vt:lpstr>Lumbermens!HEALTH_CALLED</vt:lpstr>
      <vt:lpstr>'Medical Savings'!HEALTH_CALLED</vt:lpstr>
      <vt:lpstr>'Memorial Service'!HEALTH_CALLED</vt:lpstr>
      <vt:lpstr>Midcontinent!HEALTH_CALLED</vt:lpstr>
      <vt:lpstr>'Midwest Life'!HEALTH_CALLED</vt:lpstr>
      <vt:lpstr>'Monarch Life'!HEALTH_CALLED</vt:lpstr>
      <vt:lpstr>'Mutual Benefit'!HEALTH_CALLED</vt:lpstr>
      <vt:lpstr>'Mutual Security'!HEALTH_CALLED</vt:lpstr>
      <vt:lpstr>'National Affiliated'!HEALTH_CALLED</vt:lpstr>
      <vt:lpstr>'National Heritage'!HEALTH_CALLED</vt:lpstr>
      <vt:lpstr>'National States'!HEALTH_CALLED</vt:lpstr>
      <vt:lpstr>'Natl American'!HEALTH_CALLED</vt:lpstr>
      <vt:lpstr>'New Jersey Life'!HEALTH_CALLED</vt:lpstr>
      <vt:lpstr>NNIC!HEALTH_CALLED</vt:lpstr>
      <vt:lpstr>'Old Colony Life'!HEALTH_CALLED</vt:lpstr>
      <vt:lpstr>'Old Faithful'!HEALTH_CALLED</vt:lpstr>
      <vt:lpstr>'Pacific Standard'!HEALTH_CALLED</vt:lpstr>
      <vt:lpstr>'Pen  Treaty'!HEALTH_CALLED</vt:lpstr>
      <vt:lpstr>Reliance!HEALTH_CALLED</vt:lpstr>
      <vt:lpstr>SeeChange!HEALTH_CALLED</vt:lpstr>
      <vt:lpstr>'Senior American'!HEALTH_CALLED</vt:lpstr>
      <vt:lpstr>Settlers!HEALTH_CALLED</vt:lpstr>
      <vt:lpstr>Shenandoah!HEALTH_CALLED</vt:lpstr>
      <vt:lpstr>'Standard Life IN'!HEALTH_CALLED</vt:lpstr>
      <vt:lpstr>'States General'!HEALTH_CALLED</vt:lpstr>
      <vt:lpstr>Statesman!HEALTH_CALLED</vt:lpstr>
      <vt:lpstr>'Summit National'!HEALTH_CALLED</vt:lpstr>
      <vt:lpstr>Supreme!HEALTH_CALLED</vt:lpstr>
      <vt:lpstr>'Total Summary'!HEALTH_CALLED</vt:lpstr>
      <vt:lpstr>Underwriters!HEALTH_CALLED</vt:lpstr>
      <vt:lpstr>Unison!HEALTH_CALLED</vt:lpstr>
      <vt:lpstr>'United Republic'!HEALTH_CALLED</vt:lpstr>
      <vt:lpstr>'Universal Health Care'!HEALTH_CALLED</vt:lpstr>
      <vt:lpstr>'Universal Life'!HEALTH_CALLED</vt:lpstr>
      <vt:lpstr>Universe!HEALTH_CALLED</vt:lpstr>
      <vt:lpstr>Villanova!HEALTH_CALLED</vt:lpstr>
      <vt:lpstr>'Alabama Life'!HEALTH_REFUNDED</vt:lpstr>
      <vt:lpstr>'Amer Life Asr'!HEALTH_REFUNDED</vt:lpstr>
      <vt:lpstr>'Amer Std Life Acc'!HEALTH_REFUNDED</vt:lpstr>
      <vt:lpstr>'American Chambers'!HEALTH_REFUNDED</vt:lpstr>
      <vt:lpstr>'American Community'!HEALTH_REFUNDED</vt:lpstr>
      <vt:lpstr>'American Educators'!HEALTH_REFUNDED</vt:lpstr>
      <vt:lpstr>'American Integrity'!HEALTH_REFUNDED</vt:lpstr>
      <vt:lpstr>'American Network'!HEALTH_REFUNDED</vt:lpstr>
      <vt:lpstr>AmerWstrn!HEALTH_REFUNDED</vt:lpstr>
      <vt:lpstr>'AMS Life'!HEALTH_REFUNDED</vt:lpstr>
      <vt:lpstr>'Andrew Jackson'!HEALTH_REFUNDED</vt:lpstr>
      <vt:lpstr>'Bankers Commercial'!HEALTH_REFUNDED</vt:lpstr>
      <vt:lpstr>Benicorp!HEALTH_REFUNDED</vt:lpstr>
      <vt:lpstr>'Booker T Washington'!HEALTH_REFUNDED</vt:lpstr>
      <vt:lpstr>Centennial!HEALTH_REFUNDED</vt:lpstr>
      <vt:lpstr>'Coastal States'!HEALTH_REFUNDED</vt:lpstr>
      <vt:lpstr>'Colorado Health'!HEALTH_REFUNDED</vt:lpstr>
      <vt:lpstr>'Compass (dbs Meritus)'!HEALTH_REFUNDED</vt:lpstr>
      <vt:lpstr>'Confed Life &amp; Annty (CLIAC)'!HEALTH_REFUNDED</vt:lpstr>
      <vt:lpstr>'Confed Life (CLIC)'!HEALTH_REFUNDED</vt:lpstr>
      <vt:lpstr>'Consolidated National'!HEALTH_REFUNDED</vt:lpstr>
      <vt:lpstr>'Consumers Choice'!HEALTH_REFUNDED</vt:lpstr>
      <vt:lpstr>'Consumers Mutual'!HEALTH_REFUNDED</vt:lpstr>
      <vt:lpstr>'Consumers United'!HEALTH_REFUNDED</vt:lpstr>
      <vt:lpstr>CoOportunity!HEALTH_REFUNDED</vt:lpstr>
      <vt:lpstr>'Coordinated Hlth'!HEALTH_REFUNDED</vt:lpstr>
      <vt:lpstr>'Corporate Life'!HEALTH_REFUNDED</vt:lpstr>
      <vt:lpstr>'Diamond Benefits'!HEALTH_REFUNDED</vt:lpstr>
      <vt:lpstr>'EBL Life'!HEALTH_REFUNDED</vt:lpstr>
      <vt:lpstr>ELNY!HEALTH_REFUNDED</vt:lpstr>
      <vt:lpstr>'Executive Life'!HEALTH_REFUNDED</vt:lpstr>
      <vt:lpstr>'Family Guaranty'!HEALTH_REFUNDED</vt:lpstr>
      <vt:lpstr>'Farmers &amp; Ranchers'!HEALTH_REFUNDED</vt:lpstr>
      <vt:lpstr>'Fidelity Bankers'!HEALTH_REFUNDED</vt:lpstr>
      <vt:lpstr>'Fidelity Mutual'!HEALTH_REFUNDED</vt:lpstr>
      <vt:lpstr>'First Capital'!HEALTH_REFUNDED</vt:lpstr>
      <vt:lpstr>'First Natl'!HEALTH_REFUNDED</vt:lpstr>
      <vt:lpstr>'First Natl (Thrnr)'!HEALTH_REFUNDED</vt:lpstr>
      <vt:lpstr>'Franklin American'!HEALTH_REFUNDED</vt:lpstr>
      <vt:lpstr>'Franklin Protective'!HEALTH_REFUNDED</vt:lpstr>
      <vt:lpstr>'Freelancers CO-OP'!HEALTH_REFUNDED</vt:lpstr>
      <vt:lpstr>'George Washington'!HEALTH_REFUNDED</vt:lpstr>
      <vt:lpstr>'Golden State'!HEALTH_REFUNDED</vt:lpstr>
      <vt:lpstr>'Guarantee Security'!HEALTH_REFUNDED</vt:lpstr>
      <vt:lpstr>HealthyCT!HEALTH_REFUNDED</vt:lpstr>
      <vt:lpstr>Imerica!HEALTH_REFUNDED</vt:lpstr>
      <vt:lpstr>'Inter-American'!HEALTH_REFUNDED</vt:lpstr>
      <vt:lpstr>'International Fin'!HEALTH_REFUNDED</vt:lpstr>
      <vt:lpstr>'Investment Life of America'!HEALTH_REFUNDED</vt:lpstr>
      <vt:lpstr>'Investors Equity'!HEALTH_REFUNDED</vt:lpstr>
      <vt:lpstr>'Kentucky Central'!HEALTH_REFUNDED</vt:lpstr>
      <vt:lpstr>'Land of Lincoln'!HEALTH_REFUNDED</vt:lpstr>
      <vt:lpstr>Legion!HEALTH_REFUNDED</vt:lpstr>
      <vt:lpstr>'Life Health America'!HEALTH_REFUNDED</vt:lpstr>
      <vt:lpstr>'Lincoln Memorial'!HEALTH_REFUNDED</vt:lpstr>
      <vt:lpstr>'London Pac'!HEALTH_REFUNDED</vt:lpstr>
      <vt:lpstr>Lumbermens!HEALTH_REFUNDED</vt:lpstr>
      <vt:lpstr>'Medical Savings'!HEALTH_REFUNDED</vt:lpstr>
      <vt:lpstr>'Memorial Service'!HEALTH_REFUNDED</vt:lpstr>
      <vt:lpstr>Midcontinent!HEALTH_REFUNDED</vt:lpstr>
      <vt:lpstr>'Midwest Life'!HEALTH_REFUNDED</vt:lpstr>
      <vt:lpstr>'Monarch Life'!HEALTH_REFUNDED</vt:lpstr>
      <vt:lpstr>'Mutual Benefit'!HEALTH_REFUNDED</vt:lpstr>
      <vt:lpstr>'Mutual Security'!HEALTH_REFUNDED</vt:lpstr>
      <vt:lpstr>'National Affiliated'!HEALTH_REFUNDED</vt:lpstr>
      <vt:lpstr>'National Heritage'!HEALTH_REFUNDED</vt:lpstr>
      <vt:lpstr>'National States'!HEALTH_REFUNDED</vt:lpstr>
      <vt:lpstr>'Natl American'!HEALTH_REFUNDED</vt:lpstr>
      <vt:lpstr>'New Jersey Life'!HEALTH_REFUNDED</vt:lpstr>
      <vt:lpstr>NNIC!HEALTH_REFUNDED</vt:lpstr>
      <vt:lpstr>'Old Colony Life'!HEALTH_REFUNDED</vt:lpstr>
      <vt:lpstr>'Old Faithful'!HEALTH_REFUNDED</vt:lpstr>
      <vt:lpstr>'Pacific Standard'!HEALTH_REFUNDED</vt:lpstr>
      <vt:lpstr>'Pen  Treaty'!HEALTH_REFUNDED</vt:lpstr>
      <vt:lpstr>Reliance!HEALTH_REFUNDED</vt:lpstr>
      <vt:lpstr>SeeChange!HEALTH_REFUNDED</vt:lpstr>
      <vt:lpstr>'Senior American'!HEALTH_REFUNDED</vt:lpstr>
      <vt:lpstr>Settlers!HEALTH_REFUNDED</vt:lpstr>
      <vt:lpstr>Shenandoah!HEALTH_REFUNDED</vt:lpstr>
      <vt:lpstr>'Standard Life IN'!HEALTH_REFUNDED</vt:lpstr>
      <vt:lpstr>'States General'!HEALTH_REFUNDED</vt:lpstr>
      <vt:lpstr>Statesman!HEALTH_REFUNDED</vt:lpstr>
      <vt:lpstr>'Summit National'!HEALTH_REFUNDED</vt:lpstr>
      <vt:lpstr>Supreme!HEALTH_REFUNDED</vt:lpstr>
      <vt:lpstr>'Total Summary'!HEALTH_REFUNDED</vt:lpstr>
      <vt:lpstr>Underwriters!HEALTH_REFUNDED</vt:lpstr>
      <vt:lpstr>Unison!HEALTH_REFUNDED</vt:lpstr>
      <vt:lpstr>'United Republic'!HEALTH_REFUNDED</vt:lpstr>
      <vt:lpstr>'Universal Health Care'!HEALTH_REFUNDED</vt:lpstr>
      <vt:lpstr>'Universal Life'!HEALTH_REFUNDED</vt:lpstr>
      <vt:lpstr>Universe!HEALTH_REFUNDED</vt:lpstr>
      <vt:lpstr>Villanova!HEALTH_REFUNDED</vt:lpstr>
      <vt:lpstr>'Alabama Life'!HI_FINANCIAL</vt:lpstr>
      <vt:lpstr>'Amer Life Asr'!HI_FINANCIAL</vt:lpstr>
      <vt:lpstr>'Amer Std Life Acc'!HI_FINANCIAL</vt:lpstr>
      <vt:lpstr>'American Chambers'!HI_FINANCIAL</vt:lpstr>
      <vt:lpstr>'American Community'!HI_FINANCIAL</vt:lpstr>
      <vt:lpstr>'American Educators'!HI_FINANCIAL</vt:lpstr>
      <vt:lpstr>'American Integrity'!HI_FINANCIAL</vt:lpstr>
      <vt:lpstr>'American Network'!HI_FINANCIAL</vt:lpstr>
      <vt:lpstr>AmerWstrn!HI_FINANCIAL</vt:lpstr>
      <vt:lpstr>'AMS Life'!HI_FINANCIAL</vt:lpstr>
      <vt:lpstr>'Andrew Jackson'!HI_FINANCIAL</vt:lpstr>
      <vt:lpstr>'Bankers Commercial'!HI_FINANCIAL</vt:lpstr>
      <vt:lpstr>Benicorp!HI_FINANCIAL</vt:lpstr>
      <vt:lpstr>'Booker T Washington'!HI_FINANCIAL</vt:lpstr>
      <vt:lpstr>Centennial!HI_FINANCIAL</vt:lpstr>
      <vt:lpstr>'Coastal States'!HI_FINANCIAL</vt:lpstr>
      <vt:lpstr>'Colorado Health'!HI_FINANCIAL</vt:lpstr>
      <vt:lpstr>'Compass (dbs Meritus)'!HI_FINANCIAL</vt:lpstr>
      <vt:lpstr>'Confed Life &amp; Annty (CLIAC)'!HI_FINANCIAL</vt:lpstr>
      <vt:lpstr>'Confed Life (CLIC)'!HI_FINANCIAL</vt:lpstr>
      <vt:lpstr>'Consolidated National'!HI_FINANCIAL</vt:lpstr>
      <vt:lpstr>'Consumers Choice'!HI_FINANCIAL</vt:lpstr>
      <vt:lpstr>'Consumers Mutual'!HI_FINANCIAL</vt:lpstr>
      <vt:lpstr>'Consumers United'!HI_FINANCIAL</vt:lpstr>
      <vt:lpstr>CoOportunity!HI_FINANCIAL</vt:lpstr>
      <vt:lpstr>'Coordinated Hlth'!HI_FINANCIAL</vt:lpstr>
      <vt:lpstr>'Corporate Life'!HI_FINANCIAL</vt:lpstr>
      <vt:lpstr>'Diamond Benefits'!HI_FINANCIAL</vt:lpstr>
      <vt:lpstr>'EBL Life'!HI_FINANCIAL</vt:lpstr>
      <vt:lpstr>ELNY!HI_FINANCIAL</vt:lpstr>
      <vt:lpstr>'Executive Life'!HI_FINANCIAL</vt:lpstr>
      <vt:lpstr>'Family Guaranty'!HI_FINANCIAL</vt:lpstr>
      <vt:lpstr>'Farmers &amp; Ranchers'!HI_FINANCIAL</vt:lpstr>
      <vt:lpstr>'Fidelity Bankers'!HI_FINANCIAL</vt:lpstr>
      <vt:lpstr>'Fidelity Mutual'!HI_FINANCIAL</vt:lpstr>
      <vt:lpstr>'First Capital'!HI_FINANCIAL</vt:lpstr>
      <vt:lpstr>'First Natl'!HI_FINANCIAL</vt:lpstr>
      <vt:lpstr>'First Natl (Thrnr)'!HI_FINANCIAL</vt:lpstr>
      <vt:lpstr>'Franklin American'!HI_FINANCIAL</vt:lpstr>
      <vt:lpstr>'Franklin Protective'!HI_FINANCIAL</vt:lpstr>
      <vt:lpstr>'Freelancers CO-OP'!HI_FINANCIAL</vt:lpstr>
      <vt:lpstr>'George Washington'!HI_FINANCIAL</vt:lpstr>
      <vt:lpstr>'Golden State'!HI_FINANCIAL</vt:lpstr>
      <vt:lpstr>'Guarantee Security'!HI_FINANCIAL</vt:lpstr>
      <vt:lpstr>HealthyCT!HI_FINANCIAL</vt:lpstr>
      <vt:lpstr>Imerica!HI_FINANCIAL</vt:lpstr>
      <vt:lpstr>'Inter-American'!HI_FINANCIAL</vt:lpstr>
      <vt:lpstr>'International Fin'!HI_FINANCIAL</vt:lpstr>
      <vt:lpstr>'Investment Life of America'!HI_FINANCIAL</vt:lpstr>
      <vt:lpstr>'Investors Equity'!HI_FINANCIAL</vt:lpstr>
      <vt:lpstr>'Kentucky Central'!HI_FINANCIAL</vt:lpstr>
      <vt:lpstr>'Land of Lincoln'!HI_FINANCIAL</vt:lpstr>
      <vt:lpstr>Legion!HI_FINANCIAL</vt:lpstr>
      <vt:lpstr>'Life Health America'!HI_FINANCIAL</vt:lpstr>
      <vt:lpstr>'Lincoln Memorial'!HI_FINANCIAL</vt:lpstr>
      <vt:lpstr>'London Pac'!HI_FINANCIAL</vt:lpstr>
      <vt:lpstr>Lumbermens!HI_FINANCIAL</vt:lpstr>
      <vt:lpstr>'Medical Savings'!HI_FINANCIAL</vt:lpstr>
      <vt:lpstr>'Memorial Service'!HI_FINANCIAL</vt:lpstr>
      <vt:lpstr>Midcontinent!HI_FINANCIAL</vt:lpstr>
      <vt:lpstr>'Midwest Life'!HI_FINANCIAL</vt:lpstr>
      <vt:lpstr>'Monarch Life'!HI_FINANCIAL</vt:lpstr>
      <vt:lpstr>'Mutual Benefit'!HI_FINANCIAL</vt:lpstr>
      <vt:lpstr>'Mutual Security'!HI_FINANCIAL</vt:lpstr>
      <vt:lpstr>'National Affiliated'!HI_FINANCIAL</vt:lpstr>
      <vt:lpstr>'National Heritage'!HI_FINANCIAL</vt:lpstr>
      <vt:lpstr>'National States'!HI_FINANCIAL</vt:lpstr>
      <vt:lpstr>'Natl American'!HI_FINANCIAL</vt:lpstr>
      <vt:lpstr>'New Jersey Life'!HI_FINANCIAL</vt:lpstr>
      <vt:lpstr>NNIC!HI_FINANCIAL</vt:lpstr>
      <vt:lpstr>'Old Colony Life'!HI_FINANCIAL</vt:lpstr>
      <vt:lpstr>'Old Faithful'!HI_FINANCIAL</vt:lpstr>
      <vt:lpstr>'Pacific Standard'!HI_FINANCIAL</vt:lpstr>
      <vt:lpstr>'Pen  Treaty'!HI_FINANCIAL</vt:lpstr>
      <vt:lpstr>Reliance!HI_FINANCIAL</vt:lpstr>
      <vt:lpstr>SeeChange!HI_FINANCIAL</vt:lpstr>
      <vt:lpstr>'Senior American'!HI_FINANCIAL</vt:lpstr>
      <vt:lpstr>Settlers!HI_FINANCIAL</vt:lpstr>
      <vt:lpstr>Shenandoah!HI_FINANCIAL</vt:lpstr>
      <vt:lpstr>'Standard Life IN'!HI_FINANCIAL</vt:lpstr>
      <vt:lpstr>'States General'!HI_FINANCIAL</vt:lpstr>
      <vt:lpstr>Statesman!HI_FINANCIAL</vt:lpstr>
      <vt:lpstr>'Summit National'!HI_FINANCIAL</vt:lpstr>
      <vt:lpstr>Supreme!HI_FINANCIAL</vt:lpstr>
      <vt:lpstr>'Total Summary'!HI_FINANCIAL</vt:lpstr>
      <vt:lpstr>Underwriters!HI_FINANCIAL</vt:lpstr>
      <vt:lpstr>Unison!HI_FINANCIAL</vt:lpstr>
      <vt:lpstr>'United Republic'!HI_FINANCIAL</vt:lpstr>
      <vt:lpstr>'Universal Health Care'!HI_FINANCIAL</vt:lpstr>
      <vt:lpstr>'Universal Life'!HI_FINANCIAL</vt:lpstr>
      <vt:lpstr>Universe!HI_FINANCIAL</vt:lpstr>
      <vt:lpstr>Villanova!HI_FINANCIAL</vt:lpstr>
      <vt:lpstr>'Alabama Life'!IA_FINANCIAL</vt:lpstr>
      <vt:lpstr>'Amer Life Asr'!IA_FINANCIAL</vt:lpstr>
      <vt:lpstr>'Amer Std Life Acc'!IA_FINANCIAL</vt:lpstr>
      <vt:lpstr>'American Chambers'!IA_FINANCIAL</vt:lpstr>
      <vt:lpstr>'American Community'!IA_FINANCIAL</vt:lpstr>
      <vt:lpstr>'American Educators'!IA_FINANCIAL</vt:lpstr>
      <vt:lpstr>'American Integrity'!IA_FINANCIAL</vt:lpstr>
      <vt:lpstr>'American Network'!IA_FINANCIAL</vt:lpstr>
      <vt:lpstr>AmerWstrn!IA_FINANCIAL</vt:lpstr>
      <vt:lpstr>'AMS Life'!IA_FINANCIAL</vt:lpstr>
      <vt:lpstr>'Andrew Jackson'!IA_FINANCIAL</vt:lpstr>
      <vt:lpstr>'Bankers Commercial'!IA_FINANCIAL</vt:lpstr>
      <vt:lpstr>Benicorp!IA_FINANCIAL</vt:lpstr>
      <vt:lpstr>'Booker T Washington'!IA_FINANCIAL</vt:lpstr>
      <vt:lpstr>Centennial!IA_FINANCIAL</vt:lpstr>
      <vt:lpstr>'Coastal States'!IA_FINANCIAL</vt:lpstr>
      <vt:lpstr>'Colorado Health'!IA_FINANCIAL</vt:lpstr>
      <vt:lpstr>'Compass (dbs Meritus)'!IA_FINANCIAL</vt:lpstr>
      <vt:lpstr>'Confed Life &amp; Annty (CLIAC)'!IA_FINANCIAL</vt:lpstr>
      <vt:lpstr>'Confed Life (CLIC)'!IA_FINANCIAL</vt:lpstr>
      <vt:lpstr>'Consolidated National'!IA_FINANCIAL</vt:lpstr>
      <vt:lpstr>'Consumers Choice'!IA_FINANCIAL</vt:lpstr>
      <vt:lpstr>'Consumers Mutual'!IA_FINANCIAL</vt:lpstr>
      <vt:lpstr>'Consumers United'!IA_FINANCIAL</vt:lpstr>
      <vt:lpstr>CoOportunity!IA_FINANCIAL</vt:lpstr>
      <vt:lpstr>'Coordinated Hlth'!IA_FINANCIAL</vt:lpstr>
      <vt:lpstr>'Corporate Life'!IA_FINANCIAL</vt:lpstr>
      <vt:lpstr>'Diamond Benefits'!IA_FINANCIAL</vt:lpstr>
      <vt:lpstr>'EBL Life'!IA_FINANCIAL</vt:lpstr>
      <vt:lpstr>ELNY!IA_FINANCIAL</vt:lpstr>
      <vt:lpstr>'Executive Life'!IA_FINANCIAL</vt:lpstr>
      <vt:lpstr>'Family Guaranty'!IA_FINANCIAL</vt:lpstr>
      <vt:lpstr>'Farmers &amp; Ranchers'!IA_FINANCIAL</vt:lpstr>
      <vt:lpstr>'Fidelity Bankers'!IA_FINANCIAL</vt:lpstr>
      <vt:lpstr>'Fidelity Mutual'!IA_FINANCIAL</vt:lpstr>
      <vt:lpstr>'First Capital'!IA_FINANCIAL</vt:lpstr>
      <vt:lpstr>'First Natl'!IA_FINANCIAL</vt:lpstr>
      <vt:lpstr>'First Natl (Thrnr)'!IA_FINANCIAL</vt:lpstr>
      <vt:lpstr>'Franklin American'!IA_FINANCIAL</vt:lpstr>
      <vt:lpstr>'Franklin Protective'!IA_FINANCIAL</vt:lpstr>
      <vt:lpstr>'Freelancers CO-OP'!IA_FINANCIAL</vt:lpstr>
      <vt:lpstr>'George Washington'!IA_FINANCIAL</vt:lpstr>
      <vt:lpstr>'Golden State'!IA_FINANCIAL</vt:lpstr>
      <vt:lpstr>'Guarantee Security'!IA_FINANCIAL</vt:lpstr>
      <vt:lpstr>HealthyCT!IA_FINANCIAL</vt:lpstr>
      <vt:lpstr>Imerica!IA_FINANCIAL</vt:lpstr>
      <vt:lpstr>'Inter-American'!IA_FINANCIAL</vt:lpstr>
      <vt:lpstr>'International Fin'!IA_FINANCIAL</vt:lpstr>
      <vt:lpstr>'Investment Life of America'!IA_FINANCIAL</vt:lpstr>
      <vt:lpstr>'Investors Equity'!IA_FINANCIAL</vt:lpstr>
      <vt:lpstr>'Kentucky Central'!IA_FINANCIAL</vt:lpstr>
      <vt:lpstr>'Land of Lincoln'!IA_FINANCIAL</vt:lpstr>
      <vt:lpstr>Legion!IA_FINANCIAL</vt:lpstr>
      <vt:lpstr>'Life Health America'!IA_FINANCIAL</vt:lpstr>
      <vt:lpstr>'Lincoln Memorial'!IA_FINANCIAL</vt:lpstr>
      <vt:lpstr>'London Pac'!IA_FINANCIAL</vt:lpstr>
      <vt:lpstr>Lumbermens!IA_FINANCIAL</vt:lpstr>
      <vt:lpstr>'Medical Savings'!IA_FINANCIAL</vt:lpstr>
      <vt:lpstr>'Memorial Service'!IA_FINANCIAL</vt:lpstr>
      <vt:lpstr>Midcontinent!IA_FINANCIAL</vt:lpstr>
      <vt:lpstr>'Midwest Life'!IA_FINANCIAL</vt:lpstr>
      <vt:lpstr>'Monarch Life'!IA_FINANCIAL</vt:lpstr>
      <vt:lpstr>'Mutual Benefit'!IA_FINANCIAL</vt:lpstr>
      <vt:lpstr>'Mutual Security'!IA_FINANCIAL</vt:lpstr>
      <vt:lpstr>'National Affiliated'!IA_FINANCIAL</vt:lpstr>
      <vt:lpstr>'National Heritage'!IA_FINANCIAL</vt:lpstr>
      <vt:lpstr>'National States'!IA_FINANCIAL</vt:lpstr>
      <vt:lpstr>'Natl American'!IA_FINANCIAL</vt:lpstr>
      <vt:lpstr>'New Jersey Life'!IA_FINANCIAL</vt:lpstr>
      <vt:lpstr>NNIC!IA_FINANCIAL</vt:lpstr>
      <vt:lpstr>'Old Colony Life'!IA_FINANCIAL</vt:lpstr>
      <vt:lpstr>'Old Faithful'!IA_FINANCIAL</vt:lpstr>
      <vt:lpstr>'Pacific Standard'!IA_FINANCIAL</vt:lpstr>
      <vt:lpstr>'Pen  Treaty'!IA_FINANCIAL</vt:lpstr>
      <vt:lpstr>Reliance!IA_FINANCIAL</vt:lpstr>
      <vt:lpstr>SeeChange!IA_FINANCIAL</vt:lpstr>
      <vt:lpstr>'Senior American'!IA_FINANCIAL</vt:lpstr>
      <vt:lpstr>Settlers!IA_FINANCIAL</vt:lpstr>
      <vt:lpstr>Shenandoah!IA_FINANCIAL</vt:lpstr>
      <vt:lpstr>'Standard Life IN'!IA_FINANCIAL</vt:lpstr>
      <vt:lpstr>'States General'!IA_FINANCIAL</vt:lpstr>
      <vt:lpstr>Statesman!IA_FINANCIAL</vt:lpstr>
      <vt:lpstr>'Summit National'!IA_FINANCIAL</vt:lpstr>
      <vt:lpstr>Supreme!IA_FINANCIAL</vt:lpstr>
      <vt:lpstr>'Total Summary'!IA_FINANCIAL</vt:lpstr>
      <vt:lpstr>Underwriters!IA_FINANCIAL</vt:lpstr>
      <vt:lpstr>Unison!IA_FINANCIAL</vt:lpstr>
      <vt:lpstr>'United Republic'!IA_FINANCIAL</vt:lpstr>
      <vt:lpstr>'Universal Health Care'!IA_FINANCIAL</vt:lpstr>
      <vt:lpstr>'Universal Life'!IA_FINANCIAL</vt:lpstr>
      <vt:lpstr>Universe!IA_FINANCIAL</vt:lpstr>
      <vt:lpstr>Villanova!IA_FINANCIAL</vt:lpstr>
      <vt:lpstr>'Alabama Life'!ID_FINANCIAL</vt:lpstr>
      <vt:lpstr>'Amer Life Asr'!ID_FINANCIAL</vt:lpstr>
      <vt:lpstr>'Amer Std Life Acc'!ID_FINANCIAL</vt:lpstr>
      <vt:lpstr>'American Chambers'!ID_FINANCIAL</vt:lpstr>
      <vt:lpstr>'American Community'!ID_FINANCIAL</vt:lpstr>
      <vt:lpstr>'American Educators'!ID_FINANCIAL</vt:lpstr>
      <vt:lpstr>'American Integrity'!ID_FINANCIAL</vt:lpstr>
      <vt:lpstr>'American Network'!ID_FINANCIAL</vt:lpstr>
      <vt:lpstr>AmerWstrn!ID_FINANCIAL</vt:lpstr>
      <vt:lpstr>'AMS Life'!ID_FINANCIAL</vt:lpstr>
      <vt:lpstr>'Andrew Jackson'!ID_FINANCIAL</vt:lpstr>
      <vt:lpstr>'Bankers Commercial'!ID_FINANCIAL</vt:lpstr>
      <vt:lpstr>Benicorp!ID_FINANCIAL</vt:lpstr>
      <vt:lpstr>'Booker T Washington'!ID_FINANCIAL</vt:lpstr>
      <vt:lpstr>Centennial!ID_FINANCIAL</vt:lpstr>
      <vt:lpstr>'Coastal States'!ID_FINANCIAL</vt:lpstr>
      <vt:lpstr>'Colorado Health'!ID_FINANCIAL</vt:lpstr>
      <vt:lpstr>'Compass (dbs Meritus)'!ID_FINANCIAL</vt:lpstr>
      <vt:lpstr>'Confed Life &amp; Annty (CLIAC)'!ID_FINANCIAL</vt:lpstr>
      <vt:lpstr>'Confed Life (CLIC)'!ID_FINANCIAL</vt:lpstr>
      <vt:lpstr>'Consolidated National'!ID_FINANCIAL</vt:lpstr>
      <vt:lpstr>'Consumers Choice'!ID_FINANCIAL</vt:lpstr>
      <vt:lpstr>'Consumers Mutual'!ID_FINANCIAL</vt:lpstr>
      <vt:lpstr>'Consumers United'!ID_FINANCIAL</vt:lpstr>
      <vt:lpstr>CoOportunity!ID_FINANCIAL</vt:lpstr>
      <vt:lpstr>'Coordinated Hlth'!ID_FINANCIAL</vt:lpstr>
      <vt:lpstr>'Corporate Life'!ID_FINANCIAL</vt:lpstr>
      <vt:lpstr>'Diamond Benefits'!ID_FINANCIAL</vt:lpstr>
      <vt:lpstr>'EBL Life'!ID_FINANCIAL</vt:lpstr>
      <vt:lpstr>ELNY!ID_FINANCIAL</vt:lpstr>
      <vt:lpstr>'Executive Life'!ID_FINANCIAL</vt:lpstr>
      <vt:lpstr>'Family Guaranty'!ID_FINANCIAL</vt:lpstr>
      <vt:lpstr>'Farmers &amp; Ranchers'!ID_FINANCIAL</vt:lpstr>
      <vt:lpstr>'Fidelity Bankers'!ID_FINANCIAL</vt:lpstr>
      <vt:lpstr>'Fidelity Mutual'!ID_FINANCIAL</vt:lpstr>
      <vt:lpstr>'First Capital'!ID_FINANCIAL</vt:lpstr>
      <vt:lpstr>'First Natl'!ID_FINANCIAL</vt:lpstr>
      <vt:lpstr>'First Natl (Thrnr)'!ID_FINANCIAL</vt:lpstr>
      <vt:lpstr>'Franklin American'!ID_FINANCIAL</vt:lpstr>
      <vt:lpstr>'Franklin Protective'!ID_FINANCIAL</vt:lpstr>
      <vt:lpstr>'Freelancers CO-OP'!ID_FINANCIAL</vt:lpstr>
      <vt:lpstr>'George Washington'!ID_FINANCIAL</vt:lpstr>
      <vt:lpstr>'Golden State'!ID_FINANCIAL</vt:lpstr>
      <vt:lpstr>'Guarantee Security'!ID_FINANCIAL</vt:lpstr>
      <vt:lpstr>HealthyCT!ID_FINANCIAL</vt:lpstr>
      <vt:lpstr>Imerica!ID_FINANCIAL</vt:lpstr>
      <vt:lpstr>'Inter-American'!ID_FINANCIAL</vt:lpstr>
      <vt:lpstr>'International Fin'!ID_FINANCIAL</vt:lpstr>
      <vt:lpstr>'Investment Life of America'!ID_FINANCIAL</vt:lpstr>
      <vt:lpstr>'Investors Equity'!ID_FINANCIAL</vt:lpstr>
      <vt:lpstr>'Kentucky Central'!ID_FINANCIAL</vt:lpstr>
      <vt:lpstr>'Land of Lincoln'!ID_FINANCIAL</vt:lpstr>
      <vt:lpstr>Legion!ID_FINANCIAL</vt:lpstr>
      <vt:lpstr>'Life Health America'!ID_FINANCIAL</vt:lpstr>
      <vt:lpstr>'Lincoln Memorial'!ID_FINANCIAL</vt:lpstr>
      <vt:lpstr>'London Pac'!ID_FINANCIAL</vt:lpstr>
      <vt:lpstr>Lumbermens!ID_FINANCIAL</vt:lpstr>
      <vt:lpstr>'Medical Savings'!ID_FINANCIAL</vt:lpstr>
      <vt:lpstr>'Memorial Service'!ID_FINANCIAL</vt:lpstr>
      <vt:lpstr>Midcontinent!ID_FINANCIAL</vt:lpstr>
      <vt:lpstr>'Midwest Life'!ID_FINANCIAL</vt:lpstr>
      <vt:lpstr>'Monarch Life'!ID_FINANCIAL</vt:lpstr>
      <vt:lpstr>'Mutual Benefit'!ID_FINANCIAL</vt:lpstr>
      <vt:lpstr>'Mutual Security'!ID_FINANCIAL</vt:lpstr>
      <vt:lpstr>'National Affiliated'!ID_FINANCIAL</vt:lpstr>
      <vt:lpstr>'National Heritage'!ID_FINANCIAL</vt:lpstr>
      <vt:lpstr>'National States'!ID_FINANCIAL</vt:lpstr>
      <vt:lpstr>'Natl American'!ID_FINANCIAL</vt:lpstr>
      <vt:lpstr>'New Jersey Life'!ID_FINANCIAL</vt:lpstr>
      <vt:lpstr>NNIC!ID_FINANCIAL</vt:lpstr>
      <vt:lpstr>'Old Colony Life'!ID_FINANCIAL</vt:lpstr>
      <vt:lpstr>'Old Faithful'!ID_FINANCIAL</vt:lpstr>
      <vt:lpstr>'Pacific Standard'!ID_FINANCIAL</vt:lpstr>
      <vt:lpstr>'Pen  Treaty'!ID_FINANCIAL</vt:lpstr>
      <vt:lpstr>Reliance!ID_FINANCIAL</vt:lpstr>
      <vt:lpstr>SeeChange!ID_FINANCIAL</vt:lpstr>
      <vt:lpstr>'Senior American'!ID_FINANCIAL</vt:lpstr>
      <vt:lpstr>Settlers!ID_FINANCIAL</vt:lpstr>
      <vt:lpstr>Shenandoah!ID_FINANCIAL</vt:lpstr>
      <vt:lpstr>'Standard Life IN'!ID_FINANCIAL</vt:lpstr>
      <vt:lpstr>'States General'!ID_FINANCIAL</vt:lpstr>
      <vt:lpstr>Statesman!ID_FINANCIAL</vt:lpstr>
      <vt:lpstr>'Summit National'!ID_FINANCIAL</vt:lpstr>
      <vt:lpstr>Supreme!ID_FINANCIAL</vt:lpstr>
      <vt:lpstr>'Total Summary'!ID_FINANCIAL</vt:lpstr>
      <vt:lpstr>Underwriters!ID_FINANCIAL</vt:lpstr>
      <vt:lpstr>Unison!ID_FINANCIAL</vt:lpstr>
      <vt:lpstr>'United Republic'!ID_FINANCIAL</vt:lpstr>
      <vt:lpstr>'Universal Health Care'!ID_FINANCIAL</vt:lpstr>
      <vt:lpstr>'Universal Life'!ID_FINANCIAL</vt:lpstr>
      <vt:lpstr>Universe!ID_FINANCIAL</vt:lpstr>
      <vt:lpstr>Villanova!ID_FINANCIAL</vt:lpstr>
      <vt:lpstr>'Alabama Life'!IL_FINANCIAL</vt:lpstr>
      <vt:lpstr>'Amer Life Asr'!IL_FINANCIAL</vt:lpstr>
      <vt:lpstr>'Amer Std Life Acc'!IL_FINANCIAL</vt:lpstr>
      <vt:lpstr>'American Chambers'!IL_FINANCIAL</vt:lpstr>
      <vt:lpstr>'American Community'!IL_FINANCIAL</vt:lpstr>
      <vt:lpstr>'American Educators'!IL_FINANCIAL</vt:lpstr>
      <vt:lpstr>'American Integrity'!IL_FINANCIAL</vt:lpstr>
      <vt:lpstr>'American Network'!IL_FINANCIAL</vt:lpstr>
      <vt:lpstr>AmerWstrn!IL_FINANCIAL</vt:lpstr>
      <vt:lpstr>'AMS Life'!IL_FINANCIAL</vt:lpstr>
      <vt:lpstr>'Andrew Jackson'!IL_FINANCIAL</vt:lpstr>
      <vt:lpstr>'Bankers Commercial'!IL_FINANCIAL</vt:lpstr>
      <vt:lpstr>Benicorp!IL_FINANCIAL</vt:lpstr>
      <vt:lpstr>'Booker T Washington'!IL_FINANCIAL</vt:lpstr>
      <vt:lpstr>Centennial!IL_FINANCIAL</vt:lpstr>
      <vt:lpstr>'Coastal States'!IL_FINANCIAL</vt:lpstr>
      <vt:lpstr>'Colorado Health'!IL_FINANCIAL</vt:lpstr>
      <vt:lpstr>'Compass (dbs Meritus)'!IL_FINANCIAL</vt:lpstr>
      <vt:lpstr>'Confed Life &amp; Annty (CLIAC)'!IL_FINANCIAL</vt:lpstr>
      <vt:lpstr>'Confed Life (CLIC)'!IL_FINANCIAL</vt:lpstr>
      <vt:lpstr>'Consolidated National'!IL_FINANCIAL</vt:lpstr>
      <vt:lpstr>'Consumers Choice'!IL_FINANCIAL</vt:lpstr>
      <vt:lpstr>'Consumers Mutual'!IL_FINANCIAL</vt:lpstr>
      <vt:lpstr>'Consumers United'!IL_FINANCIAL</vt:lpstr>
      <vt:lpstr>CoOportunity!IL_FINANCIAL</vt:lpstr>
      <vt:lpstr>'Coordinated Hlth'!IL_FINANCIAL</vt:lpstr>
      <vt:lpstr>'Corporate Life'!IL_FINANCIAL</vt:lpstr>
      <vt:lpstr>'Diamond Benefits'!IL_FINANCIAL</vt:lpstr>
      <vt:lpstr>'EBL Life'!IL_FINANCIAL</vt:lpstr>
      <vt:lpstr>ELNY!IL_FINANCIAL</vt:lpstr>
      <vt:lpstr>'Executive Life'!IL_FINANCIAL</vt:lpstr>
      <vt:lpstr>'Family Guaranty'!IL_FINANCIAL</vt:lpstr>
      <vt:lpstr>'Farmers &amp; Ranchers'!IL_FINANCIAL</vt:lpstr>
      <vt:lpstr>'Fidelity Bankers'!IL_FINANCIAL</vt:lpstr>
      <vt:lpstr>'Fidelity Mutual'!IL_FINANCIAL</vt:lpstr>
      <vt:lpstr>'First Capital'!IL_FINANCIAL</vt:lpstr>
      <vt:lpstr>'First Natl'!IL_FINANCIAL</vt:lpstr>
      <vt:lpstr>'First Natl (Thrnr)'!IL_FINANCIAL</vt:lpstr>
      <vt:lpstr>'Franklin American'!IL_FINANCIAL</vt:lpstr>
      <vt:lpstr>'Franklin Protective'!IL_FINANCIAL</vt:lpstr>
      <vt:lpstr>'Freelancers CO-OP'!IL_FINANCIAL</vt:lpstr>
      <vt:lpstr>'George Washington'!IL_FINANCIAL</vt:lpstr>
      <vt:lpstr>'Golden State'!IL_FINANCIAL</vt:lpstr>
      <vt:lpstr>'Guarantee Security'!IL_FINANCIAL</vt:lpstr>
      <vt:lpstr>HealthyCT!IL_FINANCIAL</vt:lpstr>
      <vt:lpstr>Imerica!IL_FINANCIAL</vt:lpstr>
      <vt:lpstr>'Inter-American'!IL_FINANCIAL</vt:lpstr>
      <vt:lpstr>'International Fin'!IL_FINANCIAL</vt:lpstr>
      <vt:lpstr>'Investment Life of America'!IL_FINANCIAL</vt:lpstr>
      <vt:lpstr>'Investors Equity'!IL_FINANCIAL</vt:lpstr>
      <vt:lpstr>'Kentucky Central'!IL_FINANCIAL</vt:lpstr>
      <vt:lpstr>'Land of Lincoln'!IL_FINANCIAL</vt:lpstr>
      <vt:lpstr>Legion!IL_FINANCIAL</vt:lpstr>
      <vt:lpstr>'Life Health America'!IL_FINANCIAL</vt:lpstr>
      <vt:lpstr>'Lincoln Memorial'!IL_FINANCIAL</vt:lpstr>
      <vt:lpstr>'London Pac'!IL_FINANCIAL</vt:lpstr>
      <vt:lpstr>Lumbermens!IL_FINANCIAL</vt:lpstr>
      <vt:lpstr>'Medical Savings'!IL_FINANCIAL</vt:lpstr>
      <vt:lpstr>'Memorial Service'!IL_FINANCIAL</vt:lpstr>
      <vt:lpstr>Midcontinent!IL_FINANCIAL</vt:lpstr>
      <vt:lpstr>'Midwest Life'!IL_FINANCIAL</vt:lpstr>
      <vt:lpstr>'Monarch Life'!IL_FINANCIAL</vt:lpstr>
      <vt:lpstr>'Mutual Benefit'!IL_FINANCIAL</vt:lpstr>
      <vt:lpstr>'Mutual Security'!IL_FINANCIAL</vt:lpstr>
      <vt:lpstr>'National Affiliated'!IL_FINANCIAL</vt:lpstr>
      <vt:lpstr>'National Heritage'!IL_FINANCIAL</vt:lpstr>
      <vt:lpstr>'National States'!IL_FINANCIAL</vt:lpstr>
      <vt:lpstr>'Natl American'!IL_FINANCIAL</vt:lpstr>
      <vt:lpstr>'New Jersey Life'!IL_FINANCIAL</vt:lpstr>
      <vt:lpstr>NNIC!IL_FINANCIAL</vt:lpstr>
      <vt:lpstr>'Old Colony Life'!IL_FINANCIAL</vt:lpstr>
      <vt:lpstr>'Old Faithful'!IL_FINANCIAL</vt:lpstr>
      <vt:lpstr>'Pacific Standard'!IL_FINANCIAL</vt:lpstr>
      <vt:lpstr>'Pen  Treaty'!IL_FINANCIAL</vt:lpstr>
      <vt:lpstr>Reliance!IL_FINANCIAL</vt:lpstr>
      <vt:lpstr>SeeChange!IL_FINANCIAL</vt:lpstr>
      <vt:lpstr>'Senior American'!IL_FINANCIAL</vt:lpstr>
      <vt:lpstr>Settlers!IL_FINANCIAL</vt:lpstr>
      <vt:lpstr>Shenandoah!IL_FINANCIAL</vt:lpstr>
      <vt:lpstr>'Standard Life IN'!IL_FINANCIAL</vt:lpstr>
      <vt:lpstr>'States General'!IL_FINANCIAL</vt:lpstr>
      <vt:lpstr>Statesman!IL_FINANCIAL</vt:lpstr>
      <vt:lpstr>'Summit National'!IL_FINANCIAL</vt:lpstr>
      <vt:lpstr>Supreme!IL_FINANCIAL</vt:lpstr>
      <vt:lpstr>'Total Summary'!IL_FINANCIAL</vt:lpstr>
      <vt:lpstr>Underwriters!IL_FINANCIAL</vt:lpstr>
      <vt:lpstr>Unison!IL_FINANCIAL</vt:lpstr>
      <vt:lpstr>'United Republic'!IL_FINANCIAL</vt:lpstr>
      <vt:lpstr>'Universal Health Care'!IL_FINANCIAL</vt:lpstr>
      <vt:lpstr>'Universal Life'!IL_FINANCIAL</vt:lpstr>
      <vt:lpstr>Universe!IL_FINANCIAL</vt:lpstr>
      <vt:lpstr>Villanova!IL_FINANCIAL</vt:lpstr>
      <vt:lpstr>'Alabama Life'!IN_FINANCIAL</vt:lpstr>
      <vt:lpstr>'Amer Life Asr'!IN_FINANCIAL</vt:lpstr>
      <vt:lpstr>'Amer Std Life Acc'!IN_FINANCIAL</vt:lpstr>
      <vt:lpstr>'American Chambers'!IN_FINANCIAL</vt:lpstr>
      <vt:lpstr>'American Community'!IN_FINANCIAL</vt:lpstr>
      <vt:lpstr>'American Educators'!IN_FINANCIAL</vt:lpstr>
      <vt:lpstr>'American Integrity'!IN_FINANCIAL</vt:lpstr>
      <vt:lpstr>'American Network'!IN_FINANCIAL</vt:lpstr>
      <vt:lpstr>AmerWstrn!IN_FINANCIAL</vt:lpstr>
      <vt:lpstr>'AMS Life'!IN_FINANCIAL</vt:lpstr>
      <vt:lpstr>'Andrew Jackson'!IN_FINANCIAL</vt:lpstr>
      <vt:lpstr>'Bankers Commercial'!IN_FINANCIAL</vt:lpstr>
      <vt:lpstr>Benicorp!IN_FINANCIAL</vt:lpstr>
      <vt:lpstr>'Booker T Washington'!IN_FINANCIAL</vt:lpstr>
      <vt:lpstr>Centennial!IN_FINANCIAL</vt:lpstr>
      <vt:lpstr>'Coastal States'!IN_FINANCIAL</vt:lpstr>
      <vt:lpstr>'Colorado Health'!IN_FINANCIAL</vt:lpstr>
      <vt:lpstr>'Compass (dbs Meritus)'!IN_FINANCIAL</vt:lpstr>
      <vt:lpstr>'Confed Life &amp; Annty (CLIAC)'!IN_FINANCIAL</vt:lpstr>
      <vt:lpstr>'Confed Life (CLIC)'!IN_FINANCIAL</vt:lpstr>
      <vt:lpstr>'Consolidated National'!IN_FINANCIAL</vt:lpstr>
      <vt:lpstr>'Consumers Choice'!IN_FINANCIAL</vt:lpstr>
      <vt:lpstr>'Consumers Mutual'!IN_FINANCIAL</vt:lpstr>
      <vt:lpstr>'Consumers United'!IN_FINANCIAL</vt:lpstr>
      <vt:lpstr>CoOportunity!IN_FINANCIAL</vt:lpstr>
      <vt:lpstr>'Coordinated Hlth'!IN_FINANCIAL</vt:lpstr>
      <vt:lpstr>'Corporate Life'!IN_FINANCIAL</vt:lpstr>
      <vt:lpstr>'Diamond Benefits'!IN_FINANCIAL</vt:lpstr>
      <vt:lpstr>'EBL Life'!IN_FINANCIAL</vt:lpstr>
      <vt:lpstr>ELNY!IN_FINANCIAL</vt:lpstr>
      <vt:lpstr>'Executive Life'!IN_FINANCIAL</vt:lpstr>
      <vt:lpstr>'Family Guaranty'!IN_FINANCIAL</vt:lpstr>
      <vt:lpstr>'Farmers &amp; Ranchers'!IN_FINANCIAL</vt:lpstr>
      <vt:lpstr>'Fidelity Bankers'!IN_FINANCIAL</vt:lpstr>
      <vt:lpstr>'Fidelity Mutual'!IN_FINANCIAL</vt:lpstr>
      <vt:lpstr>'First Capital'!IN_FINANCIAL</vt:lpstr>
      <vt:lpstr>'First Natl'!IN_FINANCIAL</vt:lpstr>
      <vt:lpstr>'First Natl (Thrnr)'!IN_FINANCIAL</vt:lpstr>
      <vt:lpstr>'Franklin American'!IN_FINANCIAL</vt:lpstr>
      <vt:lpstr>'Franklin Protective'!IN_FINANCIAL</vt:lpstr>
      <vt:lpstr>'Freelancers CO-OP'!IN_FINANCIAL</vt:lpstr>
      <vt:lpstr>'George Washington'!IN_FINANCIAL</vt:lpstr>
      <vt:lpstr>'Golden State'!IN_FINANCIAL</vt:lpstr>
      <vt:lpstr>'Guarantee Security'!IN_FINANCIAL</vt:lpstr>
      <vt:lpstr>HealthyCT!IN_FINANCIAL</vt:lpstr>
      <vt:lpstr>Imerica!IN_FINANCIAL</vt:lpstr>
      <vt:lpstr>'Inter-American'!IN_FINANCIAL</vt:lpstr>
      <vt:lpstr>'International Fin'!IN_FINANCIAL</vt:lpstr>
      <vt:lpstr>'Investment Life of America'!IN_FINANCIAL</vt:lpstr>
      <vt:lpstr>'Investors Equity'!IN_FINANCIAL</vt:lpstr>
      <vt:lpstr>'Kentucky Central'!IN_FINANCIAL</vt:lpstr>
      <vt:lpstr>'Land of Lincoln'!IN_FINANCIAL</vt:lpstr>
      <vt:lpstr>Legion!IN_FINANCIAL</vt:lpstr>
      <vt:lpstr>'Life Health America'!IN_FINANCIAL</vt:lpstr>
      <vt:lpstr>'Lincoln Memorial'!IN_FINANCIAL</vt:lpstr>
      <vt:lpstr>'London Pac'!IN_FINANCIAL</vt:lpstr>
      <vt:lpstr>Lumbermens!IN_FINANCIAL</vt:lpstr>
      <vt:lpstr>'Medical Savings'!IN_FINANCIAL</vt:lpstr>
      <vt:lpstr>'Memorial Service'!IN_FINANCIAL</vt:lpstr>
      <vt:lpstr>Midcontinent!IN_FINANCIAL</vt:lpstr>
      <vt:lpstr>'Midwest Life'!IN_FINANCIAL</vt:lpstr>
      <vt:lpstr>'Monarch Life'!IN_FINANCIAL</vt:lpstr>
      <vt:lpstr>'Mutual Benefit'!IN_FINANCIAL</vt:lpstr>
      <vt:lpstr>'Mutual Security'!IN_FINANCIAL</vt:lpstr>
      <vt:lpstr>'National Affiliated'!IN_FINANCIAL</vt:lpstr>
      <vt:lpstr>'National Heritage'!IN_FINANCIAL</vt:lpstr>
      <vt:lpstr>'National States'!IN_FINANCIAL</vt:lpstr>
      <vt:lpstr>'Natl American'!IN_FINANCIAL</vt:lpstr>
      <vt:lpstr>'New Jersey Life'!IN_FINANCIAL</vt:lpstr>
      <vt:lpstr>NNIC!IN_FINANCIAL</vt:lpstr>
      <vt:lpstr>'Old Colony Life'!IN_FINANCIAL</vt:lpstr>
      <vt:lpstr>'Old Faithful'!IN_FINANCIAL</vt:lpstr>
      <vt:lpstr>'Pacific Standard'!IN_FINANCIAL</vt:lpstr>
      <vt:lpstr>'Pen  Treaty'!IN_FINANCIAL</vt:lpstr>
      <vt:lpstr>Reliance!IN_FINANCIAL</vt:lpstr>
      <vt:lpstr>SeeChange!IN_FINANCIAL</vt:lpstr>
      <vt:lpstr>'Senior American'!IN_FINANCIAL</vt:lpstr>
      <vt:lpstr>Settlers!IN_FINANCIAL</vt:lpstr>
      <vt:lpstr>Shenandoah!IN_FINANCIAL</vt:lpstr>
      <vt:lpstr>'Standard Life IN'!IN_FINANCIAL</vt:lpstr>
      <vt:lpstr>'States General'!IN_FINANCIAL</vt:lpstr>
      <vt:lpstr>Statesman!IN_FINANCIAL</vt:lpstr>
      <vt:lpstr>'Summit National'!IN_FINANCIAL</vt:lpstr>
      <vt:lpstr>Supreme!IN_FINANCIAL</vt:lpstr>
      <vt:lpstr>'Total Summary'!IN_FINANCIAL</vt:lpstr>
      <vt:lpstr>Underwriters!IN_FINANCIAL</vt:lpstr>
      <vt:lpstr>Unison!IN_FINANCIAL</vt:lpstr>
      <vt:lpstr>'United Republic'!IN_FINANCIAL</vt:lpstr>
      <vt:lpstr>'Universal Health Care'!IN_FINANCIAL</vt:lpstr>
      <vt:lpstr>'Universal Life'!IN_FINANCIAL</vt:lpstr>
      <vt:lpstr>Universe!IN_FINANCIAL</vt:lpstr>
      <vt:lpstr>Villanova!IN_FINANCIAL</vt:lpstr>
      <vt:lpstr>'Alabama Life'!KS_FINANCIAL</vt:lpstr>
      <vt:lpstr>'Amer Life Asr'!KS_FINANCIAL</vt:lpstr>
      <vt:lpstr>'Amer Std Life Acc'!KS_FINANCIAL</vt:lpstr>
      <vt:lpstr>'American Chambers'!KS_FINANCIAL</vt:lpstr>
      <vt:lpstr>'American Community'!KS_FINANCIAL</vt:lpstr>
      <vt:lpstr>'American Educators'!KS_FINANCIAL</vt:lpstr>
      <vt:lpstr>'American Integrity'!KS_FINANCIAL</vt:lpstr>
      <vt:lpstr>'American Network'!KS_FINANCIAL</vt:lpstr>
      <vt:lpstr>AmerWstrn!KS_FINANCIAL</vt:lpstr>
      <vt:lpstr>'AMS Life'!KS_FINANCIAL</vt:lpstr>
      <vt:lpstr>'Andrew Jackson'!KS_FINANCIAL</vt:lpstr>
      <vt:lpstr>'Bankers Commercial'!KS_FINANCIAL</vt:lpstr>
      <vt:lpstr>Benicorp!KS_FINANCIAL</vt:lpstr>
      <vt:lpstr>'Booker T Washington'!KS_FINANCIAL</vt:lpstr>
      <vt:lpstr>Centennial!KS_FINANCIAL</vt:lpstr>
      <vt:lpstr>'Coastal States'!KS_FINANCIAL</vt:lpstr>
      <vt:lpstr>'Colorado Health'!KS_FINANCIAL</vt:lpstr>
      <vt:lpstr>'Compass (dbs Meritus)'!KS_FINANCIAL</vt:lpstr>
      <vt:lpstr>'Confed Life &amp; Annty (CLIAC)'!KS_FINANCIAL</vt:lpstr>
      <vt:lpstr>'Confed Life (CLIC)'!KS_FINANCIAL</vt:lpstr>
      <vt:lpstr>'Consolidated National'!KS_FINANCIAL</vt:lpstr>
      <vt:lpstr>'Consumers Choice'!KS_FINANCIAL</vt:lpstr>
      <vt:lpstr>'Consumers Mutual'!KS_FINANCIAL</vt:lpstr>
      <vt:lpstr>'Consumers United'!KS_FINANCIAL</vt:lpstr>
      <vt:lpstr>CoOportunity!KS_FINANCIAL</vt:lpstr>
      <vt:lpstr>'Coordinated Hlth'!KS_FINANCIAL</vt:lpstr>
      <vt:lpstr>'Corporate Life'!KS_FINANCIAL</vt:lpstr>
      <vt:lpstr>'Diamond Benefits'!KS_FINANCIAL</vt:lpstr>
      <vt:lpstr>'EBL Life'!KS_FINANCIAL</vt:lpstr>
      <vt:lpstr>ELNY!KS_FINANCIAL</vt:lpstr>
      <vt:lpstr>'Executive Life'!KS_FINANCIAL</vt:lpstr>
      <vt:lpstr>'Family Guaranty'!KS_FINANCIAL</vt:lpstr>
      <vt:lpstr>'Farmers &amp; Ranchers'!KS_FINANCIAL</vt:lpstr>
      <vt:lpstr>'Fidelity Bankers'!KS_FINANCIAL</vt:lpstr>
      <vt:lpstr>'Fidelity Mutual'!KS_FINANCIAL</vt:lpstr>
      <vt:lpstr>'First Capital'!KS_FINANCIAL</vt:lpstr>
      <vt:lpstr>'First Natl'!KS_FINANCIAL</vt:lpstr>
      <vt:lpstr>'First Natl (Thrnr)'!KS_FINANCIAL</vt:lpstr>
      <vt:lpstr>'Franklin American'!KS_FINANCIAL</vt:lpstr>
      <vt:lpstr>'Franklin Protective'!KS_FINANCIAL</vt:lpstr>
      <vt:lpstr>'Freelancers CO-OP'!KS_FINANCIAL</vt:lpstr>
      <vt:lpstr>'George Washington'!KS_FINANCIAL</vt:lpstr>
      <vt:lpstr>'Golden State'!KS_FINANCIAL</vt:lpstr>
      <vt:lpstr>'Guarantee Security'!KS_FINANCIAL</vt:lpstr>
      <vt:lpstr>HealthyCT!KS_FINANCIAL</vt:lpstr>
      <vt:lpstr>Imerica!KS_FINANCIAL</vt:lpstr>
      <vt:lpstr>'Inter-American'!KS_FINANCIAL</vt:lpstr>
      <vt:lpstr>'International Fin'!KS_FINANCIAL</vt:lpstr>
      <vt:lpstr>'Investment Life of America'!KS_FINANCIAL</vt:lpstr>
      <vt:lpstr>'Investors Equity'!KS_FINANCIAL</vt:lpstr>
      <vt:lpstr>'Kentucky Central'!KS_FINANCIAL</vt:lpstr>
      <vt:lpstr>'Land of Lincoln'!KS_FINANCIAL</vt:lpstr>
      <vt:lpstr>Legion!KS_FINANCIAL</vt:lpstr>
      <vt:lpstr>'Life Health America'!KS_FINANCIAL</vt:lpstr>
      <vt:lpstr>'Lincoln Memorial'!KS_FINANCIAL</vt:lpstr>
      <vt:lpstr>'London Pac'!KS_FINANCIAL</vt:lpstr>
      <vt:lpstr>Lumbermens!KS_FINANCIAL</vt:lpstr>
      <vt:lpstr>'Medical Savings'!KS_FINANCIAL</vt:lpstr>
      <vt:lpstr>'Memorial Service'!KS_FINANCIAL</vt:lpstr>
      <vt:lpstr>Midcontinent!KS_FINANCIAL</vt:lpstr>
      <vt:lpstr>'Midwest Life'!KS_FINANCIAL</vt:lpstr>
      <vt:lpstr>'Monarch Life'!KS_FINANCIAL</vt:lpstr>
      <vt:lpstr>'Mutual Benefit'!KS_FINANCIAL</vt:lpstr>
      <vt:lpstr>'Mutual Security'!KS_FINANCIAL</vt:lpstr>
      <vt:lpstr>'National Affiliated'!KS_FINANCIAL</vt:lpstr>
      <vt:lpstr>'National Heritage'!KS_FINANCIAL</vt:lpstr>
      <vt:lpstr>'National States'!KS_FINANCIAL</vt:lpstr>
      <vt:lpstr>'Natl American'!KS_FINANCIAL</vt:lpstr>
      <vt:lpstr>'New Jersey Life'!KS_FINANCIAL</vt:lpstr>
      <vt:lpstr>NNIC!KS_FINANCIAL</vt:lpstr>
      <vt:lpstr>'Old Colony Life'!KS_FINANCIAL</vt:lpstr>
      <vt:lpstr>'Old Faithful'!KS_FINANCIAL</vt:lpstr>
      <vt:lpstr>'Pacific Standard'!KS_FINANCIAL</vt:lpstr>
      <vt:lpstr>'Pen  Treaty'!KS_FINANCIAL</vt:lpstr>
      <vt:lpstr>Reliance!KS_FINANCIAL</vt:lpstr>
      <vt:lpstr>SeeChange!KS_FINANCIAL</vt:lpstr>
      <vt:lpstr>'Senior American'!KS_FINANCIAL</vt:lpstr>
      <vt:lpstr>Settlers!KS_FINANCIAL</vt:lpstr>
      <vt:lpstr>Shenandoah!KS_FINANCIAL</vt:lpstr>
      <vt:lpstr>'Standard Life IN'!KS_FINANCIAL</vt:lpstr>
      <vt:lpstr>'States General'!KS_FINANCIAL</vt:lpstr>
      <vt:lpstr>Statesman!KS_FINANCIAL</vt:lpstr>
      <vt:lpstr>'Summit National'!KS_FINANCIAL</vt:lpstr>
      <vt:lpstr>Supreme!KS_FINANCIAL</vt:lpstr>
      <vt:lpstr>'Total Summary'!KS_FINANCIAL</vt:lpstr>
      <vt:lpstr>Underwriters!KS_FINANCIAL</vt:lpstr>
      <vt:lpstr>Unison!KS_FINANCIAL</vt:lpstr>
      <vt:lpstr>'United Republic'!KS_FINANCIAL</vt:lpstr>
      <vt:lpstr>'Universal Health Care'!KS_FINANCIAL</vt:lpstr>
      <vt:lpstr>'Universal Life'!KS_FINANCIAL</vt:lpstr>
      <vt:lpstr>Universe!KS_FINANCIAL</vt:lpstr>
      <vt:lpstr>Villanova!KS_FINANCIAL</vt:lpstr>
      <vt:lpstr>'Alabama Life'!KY_FINANCIAL</vt:lpstr>
      <vt:lpstr>'Amer Life Asr'!KY_FINANCIAL</vt:lpstr>
      <vt:lpstr>'Amer Std Life Acc'!KY_FINANCIAL</vt:lpstr>
      <vt:lpstr>'American Chambers'!KY_FINANCIAL</vt:lpstr>
      <vt:lpstr>'American Community'!KY_FINANCIAL</vt:lpstr>
      <vt:lpstr>'American Educators'!KY_FINANCIAL</vt:lpstr>
      <vt:lpstr>'American Integrity'!KY_FINANCIAL</vt:lpstr>
      <vt:lpstr>'American Network'!KY_FINANCIAL</vt:lpstr>
      <vt:lpstr>AmerWstrn!KY_FINANCIAL</vt:lpstr>
      <vt:lpstr>'AMS Life'!KY_FINANCIAL</vt:lpstr>
      <vt:lpstr>'Andrew Jackson'!KY_FINANCIAL</vt:lpstr>
      <vt:lpstr>'Bankers Commercial'!KY_FINANCIAL</vt:lpstr>
      <vt:lpstr>Benicorp!KY_FINANCIAL</vt:lpstr>
      <vt:lpstr>'Booker T Washington'!KY_FINANCIAL</vt:lpstr>
      <vt:lpstr>Centennial!KY_FINANCIAL</vt:lpstr>
      <vt:lpstr>'Coastal States'!KY_FINANCIAL</vt:lpstr>
      <vt:lpstr>'Colorado Health'!KY_FINANCIAL</vt:lpstr>
      <vt:lpstr>'Compass (dbs Meritus)'!KY_FINANCIAL</vt:lpstr>
      <vt:lpstr>'Confed Life &amp; Annty (CLIAC)'!KY_FINANCIAL</vt:lpstr>
      <vt:lpstr>'Confed Life (CLIC)'!KY_FINANCIAL</vt:lpstr>
      <vt:lpstr>'Consolidated National'!KY_FINANCIAL</vt:lpstr>
      <vt:lpstr>'Consumers Choice'!KY_FINANCIAL</vt:lpstr>
      <vt:lpstr>'Consumers Mutual'!KY_FINANCIAL</vt:lpstr>
      <vt:lpstr>'Consumers United'!KY_FINANCIAL</vt:lpstr>
      <vt:lpstr>CoOportunity!KY_FINANCIAL</vt:lpstr>
      <vt:lpstr>'Coordinated Hlth'!KY_FINANCIAL</vt:lpstr>
      <vt:lpstr>'Corporate Life'!KY_FINANCIAL</vt:lpstr>
      <vt:lpstr>'Diamond Benefits'!KY_FINANCIAL</vt:lpstr>
      <vt:lpstr>'EBL Life'!KY_FINANCIAL</vt:lpstr>
      <vt:lpstr>ELNY!KY_FINANCIAL</vt:lpstr>
      <vt:lpstr>'Executive Life'!KY_FINANCIAL</vt:lpstr>
      <vt:lpstr>'Family Guaranty'!KY_FINANCIAL</vt:lpstr>
      <vt:lpstr>'Farmers &amp; Ranchers'!KY_FINANCIAL</vt:lpstr>
      <vt:lpstr>'Fidelity Bankers'!KY_FINANCIAL</vt:lpstr>
      <vt:lpstr>'Fidelity Mutual'!KY_FINANCIAL</vt:lpstr>
      <vt:lpstr>'First Capital'!KY_FINANCIAL</vt:lpstr>
      <vt:lpstr>'First Natl'!KY_FINANCIAL</vt:lpstr>
      <vt:lpstr>'First Natl (Thrnr)'!KY_FINANCIAL</vt:lpstr>
      <vt:lpstr>'Franklin American'!KY_FINANCIAL</vt:lpstr>
      <vt:lpstr>'Franklin Protective'!KY_FINANCIAL</vt:lpstr>
      <vt:lpstr>'Freelancers CO-OP'!KY_FINANCIAL</vt:lpstr>
      <vt:lpstr>'George Washington'!KY_FINANCIAL</vt:lpstr>
      <vt:lpstr>'Golden State'!KY_FINANCIAL</vt:lpstr>
      <vt:lpstr>'Guarantee Security'!KY_FINANCIAL</vt:lpstr>
      <vt:lpstr>HealthyCT!KY_FINANCIAL</vt:lpstr>
      <vt:lpstr>Imerica!KY_FINANCIAL</vt:lpstr>
      <vt:lpstr>'Inter-American'!KY_FINANCIAL</vt:lpstr>
      <vt:lpstr>'International Fin'!KY_FINANCIAL</vt:lpstr>
      <vt:lpstr>'Investment Life of America'!KY_FINANCIAL</vt:lpstr>
      <vt:lpstr>'Investors Equity'!KY_FINANCIAL</vt:lpstr>
      <vt:lpstr>'Kentucky Central'!KY_FINANCIAL</vt:lpstr>
      <vt:lpstr>'Land of Lincoln'!KY_FINANCIAL</vt:lpstr>
      <vt:lpstr>Legion!KY_FINANCIAL</vt:lpstr>
      <vt:lpstr>'Life Health America'!KY_FINANCIAL</vt:lpstr>
      <vt:lpstr>'Lincoln Memorial'!KY_FINANCIAL</vt:lpstr>
      <vt:lpstr>'London Pac'!KY_FINANCIAL</vt:lpstr>
      <vt:lpstr>Lumbermens!KY_FINANCIAL</vt:lpstr>
      <vt:lpstr>'Medical Savings'!KY_FINANCIAL</vt:lpstr>
      <vt:lpstr>'Memorial Service'!KY_FINANCIAL</vt:lpstr>
      <vt:lpstr>Midcontinent!KY_FINANCIAL</vt:lpstr>
      <vt:lpstr>'Midwest Life'!KY_FINANCIAL</vt:lpstr>
      <vt:lpstr>'Monarch Life'!KY_FINANCIAL</vt:lpstr>
      <vt:lpstr>'Mutual Benefit'!KY_FINANCIAL</vt:lpstr>
      <vt:lpstr>'Mutual Security'!KY_FINANCIAL</vt:lpstr>
      <vt:lpstr>'National Affiliated'!KY_FINANCIAL</vt:lpstr>
      <vt:lpstr>'National Heritage'!KY_FINANCIAL</vt:lpstr>
      <vt:lpstr>'National States'!KY_FINANCIAL</vt:lpstr>
      <vt:lpstr>'Natl American'!KY_FINANCIAL</vt:lpstr>
      <vt:lpstr>'New Jersey Life'!KY_FINANCIAL</vt:lpstr>
      <vt:lpstr>NNIC!KY_FINANCIAL</vt:lpstr>
      <vt:lpstr>'Old Colony Life'!KY_FINANCIAL</vt:lpstr>
      <vt:lpstr>'Old Faithful'!KY_FINANCIAL</vt:lpstr>
      <vt:lpstr>'Pacific Standard'!KY_FINANCIAL</vt:lpstr>
      <vt:lpstr>'Pen  Treaty'!KY_FINANCIAL</vt:lpstr>
      <vt:lpstr>Reliance!KY_FINANCIAL</vt:lpstr>
      <vt:lpstr>SeeChange!KY_FINANCIAL</vt:lpstr>
      <vt:lpstr>'Senior American'!KY_FINANCIAL</vt:lpstr>
      <vt:lpstr>Settlers!KY_FINANCIAL</vt:lpstr>
      <vt:lpstr>Shenandoah!KY_FINANCIAL</vt:lpstr>
      <vt:lpstr>'Standard Life IN'!KY_FINANCIAL</vt:lpstr>
      <vt:lpstr>'States General'!KY_FINANCIAL</vt:lpstr>
      <vt:lpstr>Statesman!KY_FINANCIAL</vt:lpstr>
      <vt:lpstr>'Summit National'!KY_FINANCIAL</vt:lpstr>
      <vt:lpstr>Supreme!KY_FINANCIAL</vt:lpstr>
      <vt:lpstr>'Total Summary'!KY_FINANCIAL</vt:lpstr>
      <vt:lpstr>Underwriters!KY_FINANCIAL</vt:lpstr>
      <vt:lpstr>Unison!KY_FINANCIAL</vt:lpstr>
      <vt:lpstr>'United Republic'!KY_FINANCIAL</vt:lpstr>
      <vt:lpstr>'Universal Health Care'!KY_FINANCIAL</vt:lpstr>
      <vt:lpstr>'Universal Life'!KY_FINANCIAL</vt:lpstr>
      <vt:lpstr>Universe!KY_FINANCIAL</vt:lpstr>
      <vt:lpstr>Villanova!KY_FINANCIAL</vt:lpstr>
      <vt:lpstr>'Alabama Life'!LA_FINANCIAL</vt:lpstr>
      <vt:lpstr>'Amer Life Asr'!LA_FINANCIAL</vt:lpstr>
      <vt:lpstr>'Amer Std Life Acc'!LA_FINANCIAL</vt:lpstr>
      <vt:lpstr>'American Chambers'!LA_FINANCIAL</vt:lpstr>
      <vt:lpstr>'American Community'!LA_FINANCIAL</vt:lpstr>
      <vt:lpstr>'American Educators'!LA_FINANCIAL</vt:lpstr>
      <vt:lpstr>'American Integrity'!LA_FINANCIAL</vt:lpstr>
      <vt:lpstr>'American Network'!LA_FINANCIAL</vt:lpstr>
      <vt:lpstr>AmerWstrn!LA_FINANCIAL</vt:lpstr>
      <vt:lpstr>'AMS Life'!LA_FINANCIAL</vt:lpstr>
      <vt:lpstr>'Andrew Jackson'!LA_FINANCIAL</vt:lpstr>
      <vt:lpstr>'Bankers Commercial'!LA_FINANCIAL</vt:lpstr>
      <vt:lpstr>Benicorp!LA_FINANCIAL</vt:lpstr>
      <vt:lpstr>'Booker T Washington'!LA_FINANCIAL</vt:lpstr>
      <vt:lpstr>Centennial!LA_FINANCIAL</vt:lpstr>
      <vt:lpstr>'Coastal States'!LA_FINANCIAL</vt:lpstr>
      <vt:lpstr>'Colorado Health'!LA_FINANCIAL</vt:lpstr>
      <vt:lpstr>'Compass (dbs Meritus)'!LA_FINANCIAL</vt:lpstr>
      <vt:lpstr>'Confed Life &amp; Annty (CLIAC)'!LA_FINANCIAL</vt:lpstr>
      <vt:lpstr>'Confed Life (CLIC)'!LA_FINANCIAL</vt:lpstr>
      <vt:lpstr>'Consolidated National'!LA_FINANCIAL</vt:lpstr>
      <vt:lpstr>'Consumers Choice'!LA_FINANCIAL</vt:lpstr>
      <vt:lpstr>'Consumers Mutual'!LA_FINANCIAL</vt:lpstr>
      <vt:lpstr>'Consumers United'!LA_FINANCIAL</vt:lpstr>
      <vt:lpstr>CoOportunity!LA_FINANCIAL</vt:lpstr>
      <vt:lpstr>'Coordinated Hlth'!LA_FINANCIAL</vt:lpstr>
      <vt:lpstr>'Corporate Life'!LA_FINANCIAL</vt:lpstr>
      <vt:lpstr>'Diamond Benefits'!LA_FINANCIAL</vt:lpstr>
      <vt:lpstr>'EBL Life'!LA_FINANCIAL</vt:lpstr>
      <vt:lpstr>ELNY!LA_FINANCIAL</vt:lpstr>
      <vt:lpstr>'Executive Life'!LA_FINANCIAL</vt:lpstr>
      <vt:lpstr>'Family Guaranty'!LA_FINANCIAL</vt:lpstr>
      <vt:lpstr>'Farmers &amp; Ranchers'!LA_FINANCIAL</vt:lpstr>
      <vt:lpstr>'Fidelity Bankers'!LA_FINANCIAL</vt:lpstr>
      <vt:lpstr>'Fidelity Mutual'!LA_FINANCIAL</vt:lpstr>
      <vt:lpstr>'First Capital'!LA_FINANCIAL</vt:lpstr>
      <vt:lpstr>'First Natl'!LA_FINANCIAL</vt:lpstr>
      <vt:lpstr>'First Natl (Thrnr)'!LA_FINANCIAL</vt:lpstr>
      <vt:lpstr>'Franklin American'!LA_FINANCIAL</vt:lpstr>
      <vt:lpstr>'Franklin Protective'!LA_FINANCIAL</vt:lpstr>
      <vt:lpstr>'Freelancers CO-OP'!LA_FINANCIAL</vt:lpstr>
      <vt:lpstr>'George Washington'!LA_FINANCIAL</vt:lpstr>
      <vt:lpstr>'Golden State'!LA_FINANCIAL</vt:lpstr>
      <vt:lpstr>'Guarantee Security'!LA_FINANCIAL</vt:lpstr>
      <vt:lpstr>HealthyCT!LA_FINANCIAL</vt:lpstr>
      <vt:lpstr>Imerica!LA_FINANCIAL</vt:lpstr>
      <vt:lpstr>'Inter-American'!LA_FINANCIAL</vt:lpstr>
      <vt:lpstr>'International Fin'!LA_FINANCIAL</vt:lpstr>
      <vt:lpstr>'Investment Life of America'!LA_FINANCIAL</vt:lpstr>
      <vt:lpstr>'Investors Equity'!LA_FINANCIAL</vt:lpstr>
      <vt:lpstr>'Kentucky Central'!LA_FINANCIAL</vt:lpstr>
      <vt:lpstr>'Land of Lincoln'!LA_FINANCIAL</vt:lpstr>
      <vt:lpstr>Legion!LA_FINANCIAL</vt:lpstr>
      <vt:lpstr>'Life Health America'!LA_FINANCIAL</vt:lpstr>
      <vt:lpstr>'Lincoln Memorial'!LA_FINANCIAL</vt:lpstr>
      <vt:lpstr>'London Pac'!LA_FINANCIAL</vt:lpstr>
      <vt:lpstr>Lumbermens!LA_FINANCIAL</vt:lpstr>
      <vt:lpstr>'Medical Savings'!LA_FINANCIAL</vt:lpstr>
      <vt:lpstr>'Memorial Service'!LA_FINANCIAL</vt:lpstr>
      <vt:lpstr>Midcontinent!LA_FINANCIAL</vt:lpstr>
      <vt:lpstr>'Midwest Life'!LA_FINANCIAL</vt:lpstr>
      <vt:lpstr>'Monarch Life'!LA_FINANCIAL</vt:lpstr>
      <vt:lpstr>'Mutual Benefit'!LA_FINANCIAL</vt:lpstr>
      <vt:lpstr>'Mutual Security'!LA_FINANCIAL</vt:lpstr>
      <vt:lpstr>'National Affiliated'!LA_FINANCIAL</vt:lpstr>
      <vt:lpstr>'National Heritage'!LA_FINANCIAL</vt:lpstr>
      <vt:lpstr>'National States'!LA_FINANCIAL</vt:lpstr>
      <vt:lpstr>'Natl American'!LA_FINANCIAL</vt:lpstr>
      <vt:lpstr>'New Jersey Life'!LA_FINANCIAL</vt:lpstr>
      <vt:lpstr>NNIC!LA_FINANCIAL</vt:lpstr>
      <vt:lpstr>'Old Colony Life'!LA_FINANCIAL</vt:lpstr>
      <vt:lpstr>'Old Faithful'!LA_FINANCIAL</vt:lpstr>
      <vt:lpstr>'Pacific Standard'!LA_FINANCIAL</vt:lpstr>
      <vt:lpstr>'Pen  Treaty'!LA_FINANCIAL</vt:lpstr>
      <vt:lpstr>Reliance!LA_FINANCIAL</vt:lpstr>
      <vt:lpstr>SeeChange!LA_FINANCIAL</vt:lpstr>
      <vt:lpstr>'Senior American'!LA_FINANCIAL</vt:lpstr>
      <vt:lpstr>Settlers!LA_FINANCIAL</vt:lpstr>
      <vt:lpstr>Shenandoah!LA_FINANCIAL</vt:lpstr>
      <vt:lpstr>'Standard Life IN'!LA_FINANCIAL</vt:lpstr>
      <vt:lpstr>'States General'!LA_FINANCIAL</vt:lpstr>
      <vt:lpstr>Statesman!LA_FINANCIAL</vt:lpstr>
      <vt:lpstr>'Summit National'!LA_FINANCIAL</vt:lpstr>
      <vt:lpstr>Supreme!LA_FINANCIAL</vt:lpstr>
      <vt:lpstr>'Total Summary'!LA_FINANCIAL</vt:lpstr>
      <vt:lpstr>Underwriters!LA_FINANCIAL</vt:lpstr>
      <vt:lpstr>Unison!LA_FINANCIAL</vt:lpstr>
      <vt:lpstr>'United Republic'!LA_FINANCIAL</vt:lpstr>
      <vt:lpstr>'Universal Health Care'!LA_FINANCIAL</vt:lpstr>
      <vt:lpstr>'Universal Life'!LA_FINANCIAL</vt:lpstr>
      <vt:lpstr>Universe!LA_FINANCIAL</vt:lpstr>
      <vt:lpstr>Villanova!LA_FINANCIAL</vt:lpstr>
      <vt:lpstr>'Alabama Life'!LESS_FINANCIAL</vt:lpstr>
      <vt:lpstr>'Amer Life Asr'!LESS_FINANCIAL</vt:lpstr>
      <vt:lpstr>'Amer Std Life Acc'!LESS_FINANCIAL</vt:lpstr>
      <vt:lpstr>'American Chambers'!LESS_FINANCIAL</vt:lpstr>
      <vt:lpstr>'American Community'!LESS_FINANCIAL</vt:lpstr>
      <vt:lpstr>'American Educators'!LESS_FINANCIAL</vt:lpstr>
      <vt:lpstr>'American Integrity'!LESS_FINANCIAL</vt:lpstr>
      <vt:lpstr>'American Network'!LESS_FINANCIAL</vt:lpstr>
      <vt:lpstr>AmerWstrn!LESS_FINANCIAL</vt:lpstr>
      <vt:lpstr>'AMS Life'!LESS_FINANCIAL</vt:lpstr>
      <vt:lpstr>'Andrew Jackson'!LESS_FINANCIAL</vt:lpstr>
      <vt:lpstr>'Bankers Commercial'!LESS_FINANCIAL</vt:lpstr>
      <vt:lpstr>Benicorp!LESS_FINANCIAL</vt:lpstr>
      <vt:lpstr>'Booker T Washington'!LESS_FINANCIAL</vt:lpstr>
      <vt:lpstr>Centennial!LESS_FINANCIAL</vt:lpstr>
      <vt:lpstr>'Coastal States'!LESS_FINANCIAL</vt:lpstr>
      <vt:lpstr>'Colorado Health'!LESS_FINANCIAL</vt:lpstr>
      <vt:lpstr>'Compass (dbs Meritus)'!LESS_FINANCIAL</vt:lpstr>
      <vt:lpstr>'Confed Life &amp; Annty (CLIAC)'!LESS_FINANCIAL</vt:lpstr>
      <vt:lpstr>'Confed Life (CLIC)'!LESS_FINANCIAL</vt:lpstr>
      <vt:lpstr>'Consolidated National'!LESS_FINANCIAL</vt:lpstr>
      <vt:lpstr>'Consumers Choice'!LESS_FINANCIAL</vt:lpstr>
      <vt:lpstr>'Consumers Mutual'!LESS_FINANCIAL</vt:lpstr>
      <vt:lpstr>'Consumers United'!LESS_FINANCIAL</vt:lpstr>
      <vt:lpstr>CoOportunity!LESS_FINANCIAL</vt:lpstr>
      <vt:lpstr>'Coordinated Hlth'!LESS_FINANCIAL</vt:lpstr>
      <vt:lpstr>'Corporate Life'!LESS_FINANCIAL</vt:lpstr>
      <vt:lpstr>'Diamond Benefits'!LESS_FINANCIAL</vt:lpstr>
      <vt:lpstr>'EBL Life'!LESS_FINANCIAL</vt:lpstr>
      <vt:lpstr>ELNY!LESS_FINANCIAL</vt:lpstr>
      <vt:lpstr>'Executive Life'!LESS_FINANCIAL</vt:lpstr>
      <vt:lpstr>'Family Guaranty'!LESS_FINANCIAL</vt:lpstr>
      <vt:lpstr>'Farmers &amp; Ranchers'!LESS_FINANCIAL</vt:lpstr>
      <vt:lpstr>'Fidelity Bankers'!LESS_FINANCIAL</vt:lpstr>
      <vt:lpstr>'Fidelity Mutual'!LESS_FINANCIAL</vt:lpstr>
      <vt:lpstr>'First Capital'!LESS_FINANCIAL</vt:lpstr>
      <vt:lpstr>'First Natl'!LESS_FINANCIAL</vt:lpstr>
      <vt:lpstr>'First Natl (Thrnr)'!LESS_FINANCIAL</vt:lpstr>
      <vt:lpstr>'Franklin American'!LESS_FINANCIAL</vt:lpstr>
      <vt:lpstr>'Franklin Protective'!LESS_FINANCIAL</vt:lpstr>
      <vt:lpstr>'Freelancers CO-OP'!LESS_FINANCIAL</vt:lpstr>
      <vt:lpstr>'George Washington'!LESS_FINANCIAL</vt:lpstr>
      <vt:lpstr>'Golden State'!LESS_FINANCIAL</vt:lpstr>
      <vt:lpstr>'Guarantee Security'!LESS_FINANCIAL</vt:lpstr>
      <vt:lpstr>HealthyCT!LESS_FINANCIAL</vt:lpstr>
      <vt:lpstr>Imerica!LESS_FINANCIAL</vt:lpstr>
      <vt:lpstr>'Inter-American'!LESS_FINANCIAL</vt:lpstr>
      <vt:lpstr>'International Fin'!LESS_FINANCIAL</vt:lpstr>
      <vt:lpstr>'Investment Life of America'!LESS_FINANCIAL</vt:lpstr>
      <vt:lpstr>'Investors Equity'!LESS_FINANCIAL</vt:lpstr>
      <vt:lpstr>'Kentucky Central'!LESS_FINANCIAL</vt:lpstr>
      <vt:lpstr>'Land of Lincoln'!LESS_FINANCIAL</vt:lpstr>
      <vt:lpstr>Legion!LESS_FINANCIAL</vt:lpstr>
      <vt:lpstr>'Life Health America'!LESS_FINANCIAL</vt:lpstr>
      <vt:lpstr>'Lincoln Memorial'!LESS_FINANCIAL</vt:lpstr>
      <vt:lpstr>'London Pac'!LESS_FINANCIAL</vt:lpstr>
      <vt:lpstr>Lumbermens!LESS_FINANCIAL</vt:lpstr>
      <vt:lpstr>'Medical Savings'!LESS_FINANCIAL</vt:lpstr>
      <vt:lpstr>'Memorial Service'!LESS_FINANCIAL</vt:lpstr>
      <vt:lpstr>Midcontinent!LESS_FINANCIAL</vt:lpstr>
      <vt:lpstr>'Midwest Life'!LESS_FINANCIAL</vt:lpstr>
      <vt:lpstr>'Monarch Life'!LESS_FINANCIAL</vt:lpstr>
      <vt:lpstr>'Mutual Benefit'!LESS_FINANCIAL</vt:lpstr>
      <vt:lpstr>'Mutual Security'!LESS_FINANCIAL</vt:lpstr>
      <vt:lpstr>'National Affiliated'!LESS_FINANCIAL</vt:lpstr>
      <vt:lpstr>'National Heritage'!LESS_FINANCIAL</vt:lpstr>
      <vt:lpstr>'National States'!LESS_FINANCIAL</vt:lpstr>
      <vt:lpstr>'Natl American'!LESS_FINANCIAL</vt:lpstr>
      <vt:lpstr>'New Jersey Life'!LESS_FINANCIAL</vt:lpstr>
      <vt:lpstr>NNIC!LESS_FINANCIAL</vt:lpstr>
      <vt:lpstr>'Old Colony Life'!LESS_FINANCIAL</vt:lpstr>
      <vt:lpstr>'Old Faithful'!LESS_FINANCIAL</vt:lpstr>
      <vt:lpstr>'Pacific Standard'!LESS_FINANCIAL</vt:lpstr>
      <vt:lpstr>'Pen  Treaty'!LESS_FINANCIAL</vt:lpstr>
      <vt:lpstr>Reliance!LESS_FINANCIAL</vt:lpstr>
      <vt:lpstr>SeeChange!LESS_FINANCIAL</vt:lpstr>
      <vt:lpstr>'Senior American'!LESS_FINANCIAL</vt:lpstr>
      <vt:lpstr>Settlers!LESS_FINANCIAL</vt:lpstr>
      <vt:lpstr>Shenandoah!LESS_FINANCIAL</vt:lpstr>
      <vt:lpstr>'Standard Life IN'!LESS_FINANCIAL</vt:lpstr>
      <vt:lpstr>'States General'!LESS_FINANCIAL</vt:lpstr>
      <vt:lpstr>Statesman!LESS_FINANCIAL</vt:lpstr>
      <vt:lpstr>'Summit National'!LESS_FINANCIAL</vt:lpstr>
      <vt:lpstr>Supreme!LESS_FINANCIAL</vt:lpstr>
      <vt:lpstr>Underwriters!LESS_FINANCIAL</vt:lpstr>
      <vt:lpstr>Unison!LESS_FINANCIAL</vt:lpstr>
      <vt:lpstr>'United Republic'!LESS_FINANCIAL</vt:lpstr>
      <vt:lpstr>'Universal Health Care'!LESS_FINANCIAL</vt:lpstr>
      <vt:lpstr>'Universal Life'!LESS_FINANCIAL</vt:lpstr>
      <vt:lpstr>Universe!LESS_FINANCIAL</vt:lpstr>
      <vt:lpstr>Villanova!LESS_FINANCIAL</vt:lpstr>
      <vt:lpstr>'Alabama Life'!LIFE</vt:lpstr>
      <vt:lpstr>'Amer Life Asr'!LIFE</vt:lpstr>
      <vt:lpstr>'Amer Std Life Acc'!LIFE</vt:lpstr>
      <vt:lpstr>'American Chambers'!LIFE</vt:lpstr>
      <vt:lpstr>'American Community'!LIFE</vt:lpstr>
      <vt:lpstr>'American Educators'!LIFE</vt:lpstr>
      <vt:lpstr>'American Integrity'!LIFE</vt:lpstr>
      <vt:lpstr>'American Network'!LIFE</vt:lpstr>
      <vt:lpstr>AmerWstrn!LIFE</vt:lpstr>
      <vt:lpstr>'AMS Life'!LIFE</vt:lpstr>
      <vt:lpstr>'Andrew Jackson'!LIFE</vt:lpstr>
      <vt:lpstr>'Bankers Commercial'!LIFE</vt:lpstr>
      <vt:lpstr>Benicorp!LIFE</vt:lpstr>
      <vt:lpstr>'Booker T Washington'!LIFE</vt:lpstr>
      <vt:lpstr>Centennial!LIFE</vt:lpstr>
      <vt:lpstr>'Closed Summary'!LIFE</vt:lpstr>
      <vt:lpstr>'Coastal States'!LIFE</vt:lpstr>
      <vt:lpstr>'Colorado Health'!LIFE</vt:lpstr>
      <vt:lpstr>'Compass (dbs Meritus)'!LIFE</vt:lpstr>
      <vt:lpstr>'Confed Life &amp; Annty (CLIAC)'!LIFE</vt:lpstr>
      <vt:lpstr>'Confed Life (CLIC)'!LIFE</vt:lpstr>
      <vt:lpstr>'Consolidated National'!LIFE</vt:lpstr>
      <vt:lpstr>'Consumers Choice'!LIFE</vt:lpstr>
      <vt:lpstr>'Consumers Mutual'!LIFE</vt:lpstr>
      <vt:lpstr>'Consumers United'!LIFE</vt:lpstr>
      <vt:lpstr>CoOportunity!LIFE</vt:lpstr>
      <vt:lpstr>'Coordinated Hlth'!LIFE</vt:lpstr>
      <vt:lpstr>'Corporate Life'!LIFE</vt:lpstr>
      <vt:lpstr>'Diamond Benefits'!LIFE</vt:lpstr>
      <vt:lpstr>'EBL Life'!LIFE</vt:lpstr>
      <vt:lpstr>ELNY!LIFE</vt:lpstr>
      <vt:lpstr>'Estate Closed Summary'!LIFE</vt:lpstr>
      <vt:lpstr>'Executive Life'!LIFE</vt:lpstr>
      <vt:lpstr>'Family Guaranty'!LIFE</vt:lpstr>
      <vt:lpstr>'Farmers &amp; Ranchers'!LIFE</vt:lpstr>
      <vt:lpstr>'Fidelity Bankers'!LIFE</vt:lpstr>
      <vt:lpstr>'Fidelity Mutual'!LIFE</vt:lpstr>
      <vt:lpstr>'First Capital'!LIFE</vt:lpstr>
      <vt:lpstr>'First Natl'!LIFE</vt:lpstr>
      <vt:lpstr>'First Natl (Thrnr)'!LIFE</vt:lpstr>
      <vt:lpstr>'Franklin American'!LIFE</vt:lpstr>
      <vt:lpstr>'Franklin Protective'!LIFE</vt:lpstr>
      <vt:lpstr>'Freelancers CO-OP'!LIFE</vt:lpstr>
      <vt:lpstr>'George Washington'!LIFE</vt:lpstr>
      <vt:lpstr>'Golden State'!LIFE</vt:lpstr>
      <vt:lpstr>'Guarantee Security'!LIFE</vt:lpstr>
      <vt:lpstr>HealthyCT!LIFE</vt:lpstr>
      <vt:lpstr>Imerica!LIFE</vt:lpstr>
      <vt:lpstr>'Inter-American'!LIFE</vt:lpstr>
      <vt:lpstr>'International Fin'!LIFE</vt:lpstr>
      <vt:lpstr>'Investment Life of America'!LIFE</vt:lpstr>
      <vt:lpstr>'Investors Equity'!LIFE</vt:lpstr>
      <vt:lpstr>'Kentucky Central'!LIFE</vt:lpstr>
      <vt:lpstr>'Land of Lincoln'!LIFE</vt:lpstr>
      <vt:lpstr>Legion!LIFE</vt:lpstr>
      <vt:lpstr>'Life Health America'!LIFE</vt:lpstr>
      <vt:lpstr>'Lincoln Memorial'!LIFE</vt:lpstr>
      <vt:lpstr>'London Pac'!LIFE</vt:lpstr>
      <vt:lpstr>Lumbermens!LIFE</vt:lpstr>
      <vt:lpstr>'Medical Savings'!LIFE</vt:lpstr>
      <vt:lpstr>'Memorial Service'!LIFE</vt:lpstr>
      <vt:lpstr>Midcontinent!LIFE</vt:lpstr>
      <vt:lpstr>'Midwest Life'!LIFE</vt:lpstr>
      <vt:lpstr>'Monarch Life'!LIFE</vt:lpstr>
      <vt:lpstr>'Mutual Benefit'!LIFE</vt:lpstr>
      <vt:lpstr>'Mutual Security'!LIFE</vt:lpstr>
      <vt:lpstr>'National Affiliated'!LIFE</vt:lpstr>
      <vt:lpstr>'National Heritage'!LIFE</vt:lpstr>
      <vt:lpstr>'National States'!LIFE</vt:lpstr>
      <vt:lpstr>'Natl American'!LIFE</vt:lpstr>
      <vt:lpstr>'New Jersey Life'!LIFE</vt:lpstr>
      <vt:lpstr>NNIC!LIFE</vt:lpstr>
      <vt:lpstr>'Old Colony Life'!LIFE</vt:lpstr>
      <vt:lpstr>'Old Faithful'!LIFE</vt:lpstr>
      <vt:lpstr>'Open Summary'!LIFE</vt:lpstr>
      <vt:lpstr>'Pacific Standard'!LIFE</vt:lpstr>
      <vt:lpstr>'Pen  Treaty'!LIFE</vt:lpstr>
      <vt:lpstr>'Pre-Liquidation Summary'!LIFE</vt:lpstr>
      <vt:lpstr>'Released from Oversight Summary'!LIFE</vt:lpstr>
      <vt:lpstr>Reliance!LIFE</vt:lpstr>
      <vt:lpstr>SeeChange!LIFE</vt:lpstr>
      <vt:lpstr>'Senior American'!LIFE</vt:lpstr>
      <vt:lpstr>Settlers!LIFE</vt:lpstr>
      <vt:lpstr>Shenandoah!LIFE</vt:lpstr>
      <vt:lpstr>'Standard Life IN'!LIFE</vt:lpstr>
      <vt:lpstr>'States General'!LIFE</vt:lpstr>
      <vt:lpstr>Statesman!LIFE</vt:lpstr>
      <vt:lpstr>'Summit National'!LIFE</vt:lpstr>
      <vt:lpstr>Supreme!LIFE</vt:lpstr>
      <vt:lpstr>'Total Summary'!LIFE</vt:lpstr>
      <vt:lpstr>Underwriters!LIFE</vt:lpstr>
      <vt:lpstr>Unison!LIFE</vt:lpstr>
      <vt:lpstr>'United Republic'!LIFE</vt:lpstr>
      <vt:lpstr>'Universal Health Care'!LIFE</vt:lpstr>
      <vt:lpstr>'Universal Life'!LIFE</vt:lpstr>
      <vt:lpstr>Universe!LIFE</vt:lpstr>
      <vt:lpstr>Villanova!LIFE</vt:lpstr>
      <vt:lpstr>'Alabama Life'!LIFE_CALLED</vt:lpstr>
      <vt:lpstr>'Amer Life Asr'!LIFE_CALLED</vt:lpstr>
      <vt:lpstr>'Amer Std Life Acc'!LIFE_CALLED</vt:lpstr>
      <vt:lpstr>'American Chambers'!LIFE_CALLED</vt:lpstr>
      <vt:lpstr>'American Community'!LIFE_CALLED</vt:lpstr>
      <vt:lpstr>'American Educators'!LIFE_CALLED</vt:lpstr>
      <vt:lpstr>'American Integrity'!LIFE_CALLED</vt:lpstr>
      <vt:lpstr>'American Network'!LIFE_CALLED</vt:lpstr>
      <vt:lpstr>AmerWstrn!LIFE_CALLED</vt:lpstr>
      <vt:lpstr>'AMS Life'!LIFE_CALLED</vt:lpstr>
      <vt:lpstr>'Andrew Jackson'!LIFE_CALLED</vt:lpstr>
      <vt:lpstr>'Bankers Commercial'!LIFE_CALLED</vt:lpstr>
      <vt:lpstr>Benicorp!LIFE_CALLED</vt:lpstr>
      <vt:lpstr>'Booker T Washington'!LIFE_CALLED</vt:lpstr>
      <vt:lpstr>Centennial!LIFE_CALLED</vt:lpstr>
      <vt:lpstr>'Coastal States'!LIFE_CALLED</vt:lpstr>
      <vt:lpstr>'Colorado Health'!LIFE_CALLED</vt:lpstr>
      <vt:lpstr>'Compass (dbs Meritus)'!LIFE_CALLED</vt:lpstr>
      <vt:lpstr>'Confed Life &amp; Annty (CLIAC)'!LIFE_CALLED</vt:lpstr>
      <vt:lpstr>'Confed Life (CLIC)'!LIFE_CALLED</vt:lpstr>
      <vt:lpstr>'Consolidated National'!LIFE_CALLED</vt:lpstr>
      <vt:lpstr>'Consumers Choice'!LIFE_CALLED</vt:lpstr>
      <vt:lpstr>'Consumers Mutual'!LIFE_CALLED</vt:lpstr>
      <vt:lpstr>'Consumers United'!LIFE_CALLED</vt:lpstr>
      <vt:lpstr>CoOportunity!LIFE_CALLED</vt:lpstr>
      <vt:lpstr>'Coordinated Hlth'!LIFE_CALLED</vt:lpstr>
      <vt:lpstr>'Corporate Life'!LIFE_CALLED</vt:lpstr>
      <vt:lpstr>'Diamond Benefits'!LIFE_CALLED</vt:lpstr>
      <vt:lpstr>'EBL Life'!LIFE_CALLED</vt:lpstr>
      <vt:lpstr>ELNY!LIFE_CALLED</vt:lpstr>
      <vt:lpstr>'Executive Life'!LIFE_CALLED</vt:lpstr>
      <vt:lpstr>'Family Guaranty'!LIFE_CALLED</vt:lpstr>
      <vt:lpstr>'Farmers &amp; Ranchers'!LIFE_CALLED</vt:lpstr>
      <vt:lpstr>'Fidelity Bankers'!LIFE_CALLED</vt:lpstr>
      <vt:lpstr>'Fidelity Mutual'!LIFE_CALLED</vt:lpstr>
      <vt:lpstr>'First Capital'!LIFE_CALLED</vt:lpstr>
      <vt:lpstr>'First Natl'!LIFE_CALLED</vt:lpstr>
      <vt:lpstr>'First Natl (Thrnr)'!LIFE_CALLED</vt:lpstr>
      <vt:lpstr>'Franklin American'!LIFE_CALLED</vt:lpstr>
      <vt:lpstr>'Franklin Protective'!LIFE_CALLED</vt:lpstr>
      <vt:lpstr>'Freelancers CO-OP'!LIFE_CALLED</vt:lpstr>
      <vt:lpstr>'George Washington'!LIFE_CALLED</vt:lpstr>
      <vt:lpstr>'Golden State'!LIFE_CALLED</vt:lpstr>
      <vt:lpstr>'Guarantee Security'!LIFE_CALLED</vt:lpstr>
      <vt:lpstr>HealthyCT!LIFE_CALLED</vt:lpstr>
      <vt:lpstr>Imerica!LIFE_CALLED</vt:lpstr>
      <vt:lpstr>'Inter-American'!LIFE_CALLED</vt:lpstr>
      <vt:lpstr>'International Fin'!LIFE_CALLED</vt:lpstr>
      <vt:lpstr>'Investment Life of America'!LIFE_CALLED</vt:lpstr>
      <vt:lpstr>'Investors Equity'!LIFE_CALLED</vt:lpstr>
      <vt:lpstr>'Kentucky Central'!LIFE_CALLED</vt:lpstr>
      <vt:lpstr>'Land of Lincoln'!LIFE_CALLED</vt:lpstr>
      <vt:lpstr>Legion!LIFE_CALLED</vt:lpstr>
      <vt:lpstr>'Life Health America'!LIFE_CALLED</vt:lpstr>
      <vt:lpstr>'Lincoln Memorial'!LIFE_CALLED</vt:lpstr>
      <vt:lpstr>'London Pac'!LIFE_CALLED</vt:lpstr>
      <vt:lpstr>Lumbermens!LIFE_CALLED</vt:lpstr>
      <vt:lpstr>'Medical Savings'!LIFE_CALLED</vt:lpstr>
      <vt:lpstr>'Memorial Service'!LIFE_CALLED</vt:lpstr>
      <vt:lpstr>Midcontinent!LIFE_CALLED</vt:lpstr>
      <vt:lpstr>'Midwest Life'!LIFE_CALLED</vt:lpstr>
      <vt:lpstr>'Monarch Life'!LIFE_CALLED</vt:lpstr>
      <vt:lpstr>'Mutual Benefit'!LIFE_CALLED</vt:lpstr>
      <vt:lpstr>'Mutual Security'!LIFE_CALLED</vt:lpstr>
      <vt:lpstr>'National Affiliated'!LIFE_CALLED</vt:lpstr>
      <vt:lpstr>'National Heritage'!LIFE_CALLED</vt:lpstr>
      <vt:lpstr>'National States'!LIFE_CALLED</vt:lpstr>
      <vt:lpstr>'Natl American'!LIFE_CALLED</vt:lpstr>
      <vt:lpstr>'New Jersey Life'!LIFE_CALLED</vt:lpstr>
      <vt:lpstr>NNIC!LIFE_CALLED</vt:lpstr>
      <vt:lpstr>'Old Colony Life'!LIFE_CALLED</vt:lpstr>
      <vt:lpstr>'Old Faithful'!LIFE_CALLED</vt:lpstr>
      <vt:lpstr>'Pacific Standard'!LIFE_CALLED</vt:lpstr>
      <vt:lpstr>'Pen  Treaty'!LIFE_CALLED</vt:lpstr>
      <vt:lpstr>Reliance!LIFE_CALLED</vt:lpstr>
      <vt:lpstr>SeeChange!LIFE_CALLED</vt:lpstr>
      <vt:lpstr>'Senior American'!LIFE_CALLED</vt:lpstr>
      <vt:lpstr>Settlers!LIFE_CALLED</vt:lpstr>
      <vt:lpstr>Shenandoah!LIFE_CALLED</vt:lpstr>
      <vt:lpstr>'Standard Life IN'!LIFE_CALLED</vt:lpstr>
      <vt:lpstr>'States General'!LIFE_CALLED</vt:lpstr>
      <vt:lpstr>Statesman!LIFE_CALLED</vt:lpstr>
      <vt:lpstr>'Summit National'!LIFE_CALLED</vt:lpstr>
      <vt:lpstr>Supreme!LIFE_CALLED</vt:lpstr>
      <vt:lpstr>'Total Summary'!LIFE_CALLED</vt:lpstr>
      <vt:lpstr>Underwriters!LIFE_CALLED</vt:lpstr>
      <vt:lpstr>Unison!LIFE_CALLED</vt:lpstr>
      <vt:lpstr>'United Republic'!LIFE_CALLED</vt:lpstr>
      <vt:lpstr>'Universal Health Care'!LIFE_CALLED</vt:lpstr>
      <vt:lpstr>'Universal Life'!LIFE_CALLED</vt:lpstr>
      <vt:lpstr>Universe!LIFE_CALLED</vt:lpstr>
      <vt:lpstr>Villanova!LIFE_CALLED</vt:lpstr>
      <vt:lpstr>'Alabama Life'!LIFE_REFUNDED</vt:lpstr>
      <vt:lpstr>'Amer Life Asr'!LIFE_REFUNDED</vt:lpstr>
      <vt:lpstr>'Amer Std Life Acc'!LIFE_REFUNDED</vt:lpstr>
      <vt:lpstr>'American Chambers'!LIFE_REFUNDED</vt:lpstr>
      <vt:lpstr>'American Community'!LIFE_REFUNDED</vt:lpstr>
      <vt:lpstr>'American Educators'!LIFE_REFUNDED</vt:lpstr>
      <vt:lpstr>'American Integrity'!LIFE_REFUNDED</vt:lpstr>
      <vt:lpstr>'American Network'!LIFE_REFUNDED</vt:lpstr>
      <vt:lpstr>AmerWstrn!LIFE_REFUNDED</vt:lpstr>
      <vt:lpstr>'AMS Life'!LIFE_REFUNDED</vt:lpstr>
      <vt:lpstr>'Andrew Jackson'!LIFE_REFUNDED</vt:lpstr>
      <vt:lpstr>'Bankers Commercial'!LIFE_REFUNDED</vt:lpstr>
      <vt:lpstr>Benicorp!LIFE_REFUNDED</vt:lpstr>
      <vt:lpstr>'Booker T Washington'!LIFE_REFUNDED</vt:lpstr>
      <vt:lpstr>Centennial!LIFE_REFUNDED</vt:lpstr>
      <vt:lpstr>'Coastal States'!LIFE_REFUNDED</vt:lpstr>
      <vt:lpstr>'Colorado Health'!LIFE_REFUNDED</vt:lpstr>
      <vt:lpstr>'Compass (dbs Meritus)'!LIFE_REFUNDED</vt:lpstr>
      <vt:lpstr>'Confed Life &amp; Annty (CLIAC)'!LIFE_REFUNDED</vt:lpstr>
      <vt:lpstr>'Confed Life (CLIC)'!LIFE_REFUNDED</vt:lpstr>
      <vt:lpstr>'Consolidated National'!LIFE_REFUNDED</vt:lpstr>
      <vt:lpstr>'Consumers Choice'!LIFE_REFUNDED</vt:lpstr>
      <vt:lpstr>'Consumers Mutual'!LIFE_REFUNDED</vt:lpstr>
      <vt:lpstr>'Consumers United'!LIFE_REFUNDED</vt:lpstr>
      <vt:lpstr>CoOportunity!LIFE_REFUNDED</vt:lpstr>
      <vt:lpstr>'Coordinated Hlth'!LIFE_REFUNDED</vt:lpstr>
      <vt:lpstr>'Corporate Life'!LIFE_REFUNDED</vt:lpstr>
      <vt:lpstr>'Diamond Benefits'!LIFE_REFUNDED</vt:lpstr>
      <vt:lpstr>'EBL Life'!LIFE_REFUNDED</vt:lpstr>
      <vt:lpstr>ELNY!LIFE_REFUNDED</vt:lpstr>
      <vt:lpstr>'Executive Life'!LIFE_REFUNDED</vt:lpstr>
      <vt:lpstr>'Family Guaranty'!LIFE_REFUNDED</vt:lpstr>
      <vt:lpstr>'Farmers &amp; Ranchers'!LIFE_REFUNDED</vt:lpstr>
      <vt:lpstr>'Fidelity Bankers'!LIFE_REFUNDED</vt:lpstr>
      <vt:lpstr>'Fidelity Mutual'!LIFE_REFUNDED</vt:lpstr>
      <vt:lpstr>'First Capital'!LIFE_REFUNDED</vt:lpstr>
      <vt:lpstr>'First Natl'!LIFE_REFUNDED</vt:lpstr>
      <vt:lpstr>'First Natl (Thrnr)'!LIFE_REFUNDED</vt:lpstr>
      <vt:lpstr>'Franklin American'!LIFE_REFUNDED</vt:lpstr>
      <vt:lpstr>'Franklin Protective'!LIFE_REFUNDED</vt:lpstr>
      <vt:lpstr>'Freelancers CO-OP'!LIFE_REFUNDED</vt:lpstr>
      <vt:lpstr>'George Washington'!LIFE_REFUNDED</vt:lpstr>
      <vt:lpstr>'Golden State'!LIFE_REFUNDED</vt:lpstr>
      <vt:lpstr>'Guarantee Security'!LIFE_REFUNDED</vt:lpstr>
      <vt:lpstr>HealthyCT!LIFE_REFUNDED</vt:lpstr>
      <vt:lpstr>Imerica!LIFE_REFUNDED</vt:lpstr>
      <vt:lpstr>'Inter-American'!LIFE_REFUNDED</vt:lpstr>
      <vt:lpstr>'International Fin'!LIFE_REFUNDED</vt:lpstr>
      <vt:lpstr>'Investment Life of America'!LIFE_REFUNDED</vt:lpstr>
      <vt:lpstr>'Investors Equity'!LIFE_REFUNDED</vt:lpstr>
      <vt:lpstr>'Kentucky Central'!LIFE_REFUNDED</vt:lpstr>
      <vt:lpstr>'Land of Lincoln'!LIFE_REFUNDED</vt:lpstr>
      <vt:lpstr>Legion!LIFE_REFUNDED</vt:lpstr>
      <vt:lpstr>'Life Health America'!LIFE_REFUNDED</vt:lpstr>
      <vt:lpstr>'Lincoln Memorial'!LIFE_REFUNDED</vt:lpstr>
      <vt:lpstr>'London Pac'!LIFE_REFUNDED</vt:lpstr>
      <vt:lpstr>Lumbermens!LIFE_REFUNDED</vt:lpstr>
      <vt:lpstr>'Medical Savings'!LIFE_REFUNDED</vt:lpstr>
      <vt:lpstr>'Memorial Service'!LIFE_REFUNDED</vt:lpstr>
      <vt:lpstr>Midcontinent!LIFE_REFUNDED</vt:lpstr>
      <vt:lpstr>'Midwest Life'!LIFE_REFUNDED</vt:lpstr>
      <vt:lpstr>'Monarch Life'!LIFE_REFUNDED</vt:lpstr>
      <vt:lpstr>'Mutual Benefit'!LIFE_REFUNDED</vt:lpstr>
      <vt:lpstr>'Mutual Security'!LIFE_REFUNDED</vt:lpstr>
      <vt:lpstr>'National Affiliated'!LIFE_REFUNDED</vt:lpstr>
      <vt:lpstr>'National Heritage'!LIFE_REFUNDED</vt:lpstr>
      <vt:lpstr>'National States'!LIFE_REFUNDED</vt:lpstr>
      <vt:lpstr>'Natl American'!LIFE_REFUNDED</vt:lpstr>
      <vt:lpstr>'New Jersey Life'!LIFE_REFUNDED</vt:lpstr>
      <vt:lpstr>NNIC!LIFE_REFUNDED</vt:lpstr>
      <vt:lpstr>'Old Colony Life'!LIFE_REFUNDED</vt:lpstr>
      <vt:lpstr>'Old Faithful'!LIFE_REFUNDED</vt:lpstr>
      <vt:lpstr>'Pacific Standard'!LIFE_REFUNDED</vt:lpstr>
      <vt:lpstr>'Pen  Treaty'!LIFE_REFUNDED</vt:lpstr>
      <vt:lpstr>Reliance!LIFE_REFUNDED</vt:lpstr>
      <vt:lpstr>SeeChange!LIFE_REFUNDED</vt:lpstr>
      <vt:lpstr>'Senior American'!LIFE_REFUNDED</vt:lpstr>
      <vt:lpstr>Settlers!LIFE_REFUNDED</vt:lpstr>
      <vt:lpstr>Shenandoah!LIFE_REFUNDED</vt:lpstr>
      <vt:lpstr>'Standard Life IN'!LIFE_REFUNDED</vt:lpstr>
      <vt:lpstr>'States General'!LIFE_REFUNDED</vt:lpstr>
      <vt:lpstr>Statesman!LIFE_REFUNDED</vt:lpstr>
      <vt:lpstr>'Summit National'!LIFE_REFUNDED</vt:lpstr>
      <vt:lpstr>Supreme!LIFE_REFUNDED</vt:lpstr>
      <vt:lpstr>'Total Summary'!LIFE_REFUNDED</vt:lpstr>
      <vt:lpstr>Underwriters!LIFE_REFUNDED</vt:lpstr>
      <vt:lpstr>Unison!LIFE_REFUNDED</vt:lpstr>
      <vt:lpstr>'United Republic'!LIFE_REFUNDED</vt:lpstr>
      <vt:lpstr>'Universal Health Care'!LIFE_REFUNDED</vt:lpstr>
      <vt:lpstr>'Universal Life'!LIFE_REFUNDED</vt:lpstr>
      <vt:lpstr>Universe!LIFE_REFUNDED</vt:lpstr>
      <vt:lpstr>Villanova!LIFE_REFUNDED</vt:lpstr>
      <vt:lpstr>'Alabama Life'!LTC</vt:lpstr>
      <vt:lpstr>'Amer Life Asr'!LTC</vt:lpstr>
      <vt:lpstr>'Amer Std Life Acc'!LTC</vt:lpstr>
      <vt:lpstr>'American Chambers'!LTC</vt:lpstr>
      <vt:lpstr>'American Community'!LTC</vt:lpstr>
      <vt:lpstr>'American Educators'!LTC</vt:lpstr>
      <vt:lpstr>'American Integrity'!LTC</vt:lpstr>
      <vt:lpstr>'American Network'!LTC</vt:lpstr>
      <vt:lpstr>AmerWstrn!LTC</vt:lpstr>
      <vt:lpstr>'AMS Life'!LTC</vt:lpstr>
      <vt:lpstr>'Andrew Jackson'!LTC</vt:lpstr>
      <vt:lpstr>'Bankers Commercial'!LTC</vt:lpstr>
      <vt:lpstr>Benicorp!LTC</vt:lpstr>
      <vt:lpstr>'Booker T Washington'!LTC</vt:lpstr>
      <vt:lpstr>Centennial!LTC</vt:lpstr>
      <vt:lpstr>'Closed Summary'!LTC</vt:lpstr>
      <vt:lpstr>'Coastal States'!LTC</vt:lpstr>
      <vt:lpstr>'Colorado Health'!LTC</vt:lpstr>
      <vt:lpstr>'Compass (dbs Meritus)'!LTC</vt:lpstr>
      <vt:lpstr>'Confed Life &amp; Annty (CLIAC)'!LTC</vt:lpstr>
      <vt:lpstr>'Confed Life (CLIC)'!LTC</vt:lpstr>
      <vt:lpstr>'Consolidated National'!LTC</vt:lpstr>
      <vt:lpstr>'Consumers Choice'!LTC</vt:lpstr>
      <vt:lpstr>'Consumers Mutual'!LTC</vt:lpstr>
      <vt:lpstr>'Consumers United'!LTC</vt:lpstr>
      <vt:lpstr>CoOportunity!LTC</vt:lpstr>
      <vt:lpstr>'Coordinated Hlth'!LTC</vt:lpstr>
      <vt:lpstr>'Corporate Life'!LTC</vt:lpstr>
      <vt:lpstr>'Diamond Benefits'!LTC</vt:lpstr>
      <vt:lpstr>'EBL Life'!LTC</vt:lpstr>
      <vt:lpstr>ELNY!LTC</vt:lpstr>
      <vt:lpstr>'Estate Closed Summary'!LTC</vt:lpstr>
      <vt:lpstr>'Executive Life'!LTC</vt:lpstr>
      <vt:lpstr>'Family Guaranty'!LTC</vt:lpstr>
      <vt:lpstr>'Farmers &amp; Ranchers'!LTC</vt:lpstr>
      <vt:lpstr>'Fidelity Bankers'!LTC</vt:lpstr>
      <vt:lpstr>'Fidelity Mutual'!LTC</vt:lpstr>
      <vt:lpstr>'First Capital'!LTC</vt:lpstr>
      <vt:lpstr>'First Natl'!LTC</vt:lpstr>
      <vt:lpstr>'First Natl (Thrnr)'!LTC</vt:lpstr>
      <vt:lpstr>'Franklin American'!LTC</vt:lpstr>
      <vt:lpstr>'Franklin Protective'!LTC</vt:lpstr>
      <vt:lpstr>'Freelancers CO-OP'!LTC</vt:lpstr>
      <vt:lpstr>'George Washington'!LTC</vt:lpstr>
      <vt:lpstr>'Golden State'!LTC</vt:lpstr>
      <vt:lpstr>'Guarantee Security'!LTC</vt:lpstr>
      <vt:lpstr>HealthyCT!LTC</vt:lpstr>
      <vt:lpstr>Imerica!LTC</vt:lpstr>
      <vt:lpstr>'Inter-American'!LTC</vt:lpstr>
      <vt:lpstr>'International Fin'!LTC</vt:lpstr>
      <vt:lpstr>'Investment Life of America'!LTC</vt:lpstr>
      <vt:lpstr>'Investors Equity'!LTC</vt:lpstr>
      <vt:lpstr>'Kentucky Central'!LTC</vt:lpstr>
      <vt:lpstr>'Land of Lincoln'!LTC</vt:lpstr>
      <vt:lpstr>Legion!LTC</vt:lpstr>
      <vt:lpstr>'Life Health America'!LTC</vt:lpstr>
      <vt:lpstr>'Lincoln Memorial'!LTC</vt:lpstr>
      <vt:lpstr>'London Pac'!LTC</vt:lpstr>
      <vt:lpstr>Lumbermens!LTC</vt:lpstr>
      <vt:lpstr>'Medical Savings'!LTC</vt:lpstr>
      <vt:lpstr>'Memorial Service'!LTC</vt:lpstr>
      <vt:lpstr>Midcontinent!LTC</vt:lpstr>
      <vt:lpstr>'Midwest Life'!LTC</vt:lpstr>
      <vt:lpstr>'Monarch Life'!LTC</vt:lpstr>
      <vt:lpstr>'Mutual Benefit'!LTC</vt:lpstr>
      <vt:lpstr>'Mutual Security'!LTC</vt:lpstr>
      <vt:lpstr>'National Affiliated'!LTC</vt:lpstr>
      <vt:lpstr>'National Heritage'!LTC</vt:lpstr>
      <vt:lpstr>'National States'!LTC</vt:lpstr>
      <vt:lpstr>'Natl American'!LTC</vt:lpstr>
      <vt:lpstr>'New Jersey Life'!LTC</vt:lpstr>
      <vt:lpstr>NNIC!LTC</vt:lpstr>
      <vt:lpstr>'Old Colony Life'!LTC</vt:lpstr>
      <vt:lpstr>'Old Faithful'!LTC</vt:lpstr>
      <vt:lpstr>'Open Summary'!LTC</vt:lpstr>
      <vt:lpstr>'Pacific Standard'!LTC</vt:lpstr>
      <vt:lpstr>'Pen  Treaty'!LTC</vt:lpstr>
      <vt:lpstr>'Pre-Liquidation Summary'!LTC</vt:lpstr>
      <vt:lpstr>'Released from Oversight Summary'!LTC</vt:lpstr>
      <vt:lpstr>Reliance!LTC</vt:lpstr>
      <vt:lpstr>SeeChange!LTC</vt:lpstr>
      <vt:lpstr>'Senior American'!LTC</vt:lpstr>
      <vt:lpstr>Settlers!LTC</vt:lpstr>
      <vt:lpstr>Shenandoah!LTC</vt:lpstr>
      <vt:lpstr>'Standard Life IN'!LTC</vt:lpstr>
      <vt:lpstr>'States General'!LTC</vt:lpstr>
      <vt:lpstr>Statesman!LTC</vt:lpstr>
      <vt:lpstr>'Summit National'!LTC</vt:lpstr>
      <vt:lpstr>Supreme!LTC</vt:lpstr>
      <vt:lpstr>'Total Summary'!LTC</vt:lpstr>
      <vt:lpstr>Underwriters!LTC</vt:lpstr>
      <vt:lpstr>Unison!LTC</vt:lpstr>
      <vt:lpstr>'United Republic'!LTC</vt:lpstr>
      <vt:lpstr>'Universal Health Care'!LTC</vt:lpstr>
      <vt:lpstr>'Universal Life'!LTC</vt:lpstr>
      <vt:lpstr>Universe!LTC</vt:lpstr>
      <vt:lpstr>Villanova!LTC</vt:lpstr>
      <vt:lpstr>'Alabama Life'!MA_FINANCIAL</vt:lpstr>
      <vt:lpstr>'Amer Life Asr'!MA_FINANCIAL</vt:lpstr>
      <vt:lpstr>'Amer Std Life Acc'!MA_FINANCIAL</vt:lpstr>
      <vt:lpstr>'American Chambers'!MA_FINANCIAL</vt:lpstr>
      <vt:lpstr>'American Community'!MA_FINANCIAL</vt:lpstr>
      <vt:lpstr>'American Educators'!MA_FINANCIAL</vt:lpstr>
      <vt:lpstr>'American Integrity'!MA_FINANCIAL</vt:lpstr>
      <vt:lpstr>'American Network'!MA_FINANCIAL</vt:lpstr>
      <vt:lpstr>AmerWstrn!MA_FINANCIAL</vt:lpstr>
      <vt:lpstr>'AMS Life'!MA_FINANCIAL</vt:lpstr>
      <vt:lpstr>'Andrew Jackson'!MA_FINANCIAL</vt:lpstr>
      <vt:lpstr>'Bankers Commercial'!MA_FINANCIAL</vt:lpstr>
      <vt:lpstr>Benicorp!MA_FINANCIAL</vt:lpstr>
      <vt:lpstr>'Booker T Washington'!MA_FINANCIAL</vt:lpstr>
      <vt:lpstr>Centennial!MA_FINANCIAL</vt:lpstr>
      <vt:lpstr>'Coastal States'!MA_FINANCIAL</vt:lpstr>
      <vt:lpstr>'Colorado Health'!MA_FINANCIAL</vt:lpstr>
      <vt:lpstr>'Compass (dbs Meritus)'!MA_FINANCIAL</vt:lpstr>
      <vt:lpstr>'Confed Life &amp; Annty (CLIAC)'!MA_FINANCIAL</vt:lpstr>
      <vt:lpstr>'Confed Life (CLIC)'!MA_FINANCIAL</vt:lpstr>
      <vt:lpstr>'Consolidated National'!MA_FINANCIAL</vt:lpstr>
      <vt:lpstr>'Consumers Choice'!MA_FINANCIAL</vt:lpstr>
      <vt:lpstr>'Consumers Mutual'!MA_FINANCIAL</vt:lpstr>
      <vt:lpstr>'Consumers United'!MA_FINANCIAL</vt:lpstr>
      <vt:lpstr>CoOportunity!MA_FINANCIAL</vt:lpstr>
      <vt:lpstr>'Coordinated Hlth'!MA_FINANCIAL</vt:lpstr>
      <vt:lpstr>'Corporate Life'!MA_FINANCIAL</vt:lpstr>
      <vt:lpstr>'Diamond Benefits'!MA_FINANCIAL</vt:lpstr>
      <vt:lpstr>'EBL Life'!MA_FINANCIAL</vt:lpstr>
      <vt:lpstr>ELNY!MA_FINANCIAL</vt:lpstr>
      <vt:lpstr>'Executive Life'!MA_FINANCIAL</vt:lpstr>
      <vt:lpstr>'Family Guaranty'!MA_FINANCIAL</vt:lpstr>
      <vt:lpstr>'Farmers &amp; Ranchers'!MA_FINANCIAL</vt:lpstr>
      <vt:lpstr>'Fidelity Bankers'!MA_FINANCIAL</vt:lpstr>
      <vt:lpstr>'Fidelity Mutual'!MA_FINANCIAL</vt:lpstr>
      <vt:lpstr>'First Capital'!MA_FINANCIAL</vt:lpstr>
      <vt:lpstr>'First Natl'!MA_FINANCIAL</vt:lpstr>
      <vt:lpstr>'First Natl (Thrnr)'!MA_FINANCIAL</vt:lpstr>
      <vt:lpstr>'Franklin American'!MA_FINANCIAL</vt:lpstr>
      <vt:lpstr>'Franklin Protective'!MA_FINANCIAL</vt:lpstr>
      <vt:lpstr>'Freelancers CO-OP'!MA_FINANCIAL</vt:lpstr>
      <vt:lpstr>'George Washington'!MA_FINANCIAL</vt:lpstr>
      <vt:lpstr>'Golden State'!MA_FINANCIAL</vt:lpstr>
      <vt:lpstr>'Guarantee Security'!MA_FINANCIAL</vt:lpstr>
      <vt:lpstr>HealthyCT!MA_FINANCIAL</vt:lpstr>
      <vt:lpstr>Imerica!MA_FINANCIAL</vt:lpstr>
      <vt:lpstr>'Inter-American'!MA_FINANCIAL</vt:lpstr>
      <vt:lpstr>'International Fin'!MA_FINANCIAL</vt:lpstr>
      <vt:lpstr>'Investment Life of America'!MA_FINANCIAL</vt:lpstr>
      <vt:lpstr>'Investors Equity'!MA_FINANCIAL</vt:lpstr>
      <vt:lpstr>'Kentucky Central'!MA_FINANCIAL</vt:lpstr>
      <vt:lpstr>'Land of Lincoln'!MA_FINANCIAL</vt:lpstr>
      <vt:lpstr>Legion!MA_FINANCIAL</vt:lpstr>
      <vt:lpstr>'Life Health America'!MA_FINANCIAL</vt:lpstr>
      <vt:lpstr>'Lincoln Memorial'!MA_FINANCIAL</vt:lpstr>
      <vt:lpstr>'London Pac'!MA_FINANCIAL</vt:lpstr>
      <vt:lpstr>Lumbermens!MA_FINANCIAL</vt:lpstr>
      <vt:lpstr>'Medical Savings'!MA_FINANCIAL</vt:lpstr>
      <vt:lpstr>'Memorial Service'!MA_FINANCIAL</vt:lpstr>
      <vt:lpstr>Midcontinent!MA_FINANCIAL</vt:lpstr>
      <vt:lpstr>'Midwest Life'!MA_FINANCIAL</vt:lpstr>
      <vt:lpstr>'Monarch Life'!MA_FINANCIAL</vt:lpstr>
      <vt:lpstr>'Mutual Benefit'!MA_FINANCIAL</vt:lpstr>
      <vt:lpstr>'Mutual Security'!MA_FINANCIAL</vt:lpstr>
      <vt:lpstr>'National Affiliated'!MA_FINANCIAL</vt:lpstr>
      <vt:lpstr>'National Heritage'!MA_FINANCIAL</vt:lpstr>
      <vt:lpstr>'National States'!MA_FINANCIAL</vt:lpstr>
      <vt:lpstr>'Natl American'!MA_FINANCIAL</vt:lpstr>
      <vt:lpstr>'New Jersey Life'!MA_FINANCIAL</vt:lpstr>
      <vt:lpstr>NNIC!MA_FINANCIAL</vt:lpstr>
      <vt:lpstr>'Old Colony Life'!MA_FINANCIAL</vt:lpstr>
      <vt:lpstr>'Old Faithful'!MA_FINANCIAL</vt:lpstr>
      <vt:lpstr>'Pacific Standard'!MA_FINANCIAL</vt:lpstr>
      <vt:lpstr>'Pen  Treaty'!MA_FINANCIAL</vt:lpstr>
      <vt:lpstr>Reliance!MA_FINANCIAL</vt:lpstr>
      <vt:lpstr>SeeChange!MA_FINANCIAL</vt:lpstr>
      <vt:lpstr>'Senior American'!MA_FINANCIAL</vt:lpstr>
      <vt:lpstr>Settlers!MA_FINANCIAL</vt:lpstr>
      <vt:lpstr>Shenandoah!MA_FINANCIAL</vt:lpstr>
      <vt:lpstr>'Standard Life IN'!MA_FINANCIAL</vt:lpstr>
      <vt:lpstr>'States General'!MA_FINANCIAL</vt:lpstr>
      <vt:lpstr>Statesman!MA_FINANCIAL</vt:lpstr>
      <vt:lpstr>'Summit National'!MA_FINANCIAL</vt:lpstr>
      <vt:lpstr>Supreme!MA_FINANCIAL</vt:lpstr>
      <vt:lpstr>'Total Summary'!MA_FINANCIAL</vt:lpstr>
      <vt:lpstr>Underwriters!MA_FINANCIAL</vt:lpstr>
      <vt:lpstr>Unison!MA_FINANCIAL</vt:lpstr>
      <vt:lpstr>'United Republic'!MA_FINANCIAL</vt:lpstr>
      <vt:lpstr>'Universal Health Care'!MA_FINANCIAL</vt:lpstr>
      <vt:lpstr>'Universal Life'!MA_FINANCIAL</vt:lpstr>
      <vt:lpstr>Universe!MA_FINANCIAL</vt:lpstr>
      <vt:lpstr>Villanova!MA_FINANCIAL</vt:lpstr>
      <vt:lpstr>'Alabama Life'!MD_FINANCIAL</vt:lpstr>
      <vt:lpstr>'Amer Life Asr'!MD_FINANCIAL</vt:lpstr>
      <vt:lpstr>'Amer Std Life Acc'!MD_FINANCIAL</vt:lpstr>
      <vt:lpstr>'American Chambers'!MD_FINANCIAL</vt:lpstr>
      <vt:lpstr>'American Community'!MD_FINANCIAL</vt:lpstr>
      <vt:lpstr>'American Educators'!MD_FINANCIAL</vt:lpstr>
      <vt:lpstr>'American Integrity'!MD_FINANCIAL</vt:lpstr>
      <vt:lpstr>'American Network'!MD_FINANCIAL</vt:lpstr>
      <vt:lpstr>AmerWstrn!MD_FINANCIAL</vt:lpstr>
      <vt:lpstr>'AMS Life'!MD_FINANCIAL</vt:lpstr>
      <vt:lpstr>'Andrew Jackson'!MD_FINANCIAL</vt:lpstr>
      <vt:lpstr>'Bankers Commercial'!MD_FINANCIAL</vt:lpstr>
      <vt:lpstr>Benicorp!MD_FINANCIAL</vt:lpstr>
      <vt:lpstr>'Booker T Washington'!MD_FINANCIAL</vt:lpstr>
      <vt:lpstr>Centennial!MD_FINANCIAL</vt:lpstr>
      <vt:lpstr>'Coastal States'!MD_FINANCIAL</vt:lpstr>
      <vt:lpstr>'Colorado Health'!MD_FINANCIAL</vt:lpstr>
      <vt:lpstr>'Compass (dbs Meritus)'!MD_FINANCIAL</vt:lpstr>
      <vt:lpstr>'Confed Life &amp; Annty (CLIAC)'!MD_FINANCIAL</vt:lpstr>
      <vt:lpstr>'Confed Life (CLIC)'!MD_FINANCIAL</vt:lpstr>
      <vt:lpstr>'Consolidated National'!MD_FINANCIAL</vt:lpstr>
      <vt:lpstr>'Consumers Choice'!MD_FINANCIAL</vt:lpstr>
      <vt:lpstr>'Consumers Mutual'!MD_FINANCIAL</vt:lpstr>
      <vt:lpstr>'Consumers United'!MD_FINANCIAL</vt:lpstr>
      <vt:lpstr>CoOportunity!MD_FINANCIAL</vt:lpstr>
      <vt:lpstr>'Coordinated Hlth'!MD_FINANCIAL</vt:lpstr>
      <vt:lpstr>'Corporate Life'!MD_FINANCIAL</vt:lpstr>
      <vt:lpstr>'Diamond Benefits'!MD_FINANCIAL</vt:lpstr>
      <vt:lpstr>'EBL Life'!MD_FINANCIAL</vt:lpstr>
      <vt:lpstr>ELNY!MD_FINANCIAL</vt:lpstr>
      <vt:lpstr>'Executive Life'!MD_FINANCIAL</vt:lpstr>
      <vt:lpstr>'Family Guaranty'!MD_FINANCIAL</vt:lpstr>
      <vt:lpstr>'Farmers &amp; Ranchers'!MD_FINANCIAL</vt:lpstr>
      <vt:lpstr>'Fidelity Bankers'!MD_FINANCIAL</vt:lpstr>
      <vt:lpstr>'Fidelity Mutual'!MD_FINANCIAL</vt:lpstr>
      <vt:lpstr>'First Capital'!MD_FINANCIAL</vt:lpstr>
      <vt:lpstr>'First Natl'!MD_FINANCIAL</vt:lpstr>
      <vt:lpstr>'First Natl (Thrnr)'!MD_FINANCIAL</vt:lpstr>
      <vt:lpstr>'Franklin American'!MD_FINANCIAL</vt:lpstr>
      <vt:lpstr>'Franklin Protective'!MD_FINANCIAL</vt:lpstr>
      <vt:lpstr>'Freelancers CO-OP'!MD_FINANCIAL</vt:lpstr>
      <vt:lpstr>'George Washington'!MD_FINANCIAL</vt:lpstr>
      <vt:lpstr>'Golden State'!MD_FINANCIAL</vt:lpstr>
      <vt:lpstr>'Guarantee Security'!MD_FINANCIAL</vt:lpstr>
      <vt:lpstr>HealthyCT!MD_FINANCIAL</vt:lpstr>
      <vt:lpstr>Imerica!MD_FINANCIAL</vt:lpstr>
      <vt:lpstr>'Inter-American'!MD_FINANCIAL</vt:lpstr>
      <vt:lpstr>'International Fin'!MD_FINANCIAL</vt:lpstr>
      <vt:lpstr>'Investment Life of America'!MD_FINANCIAL</vt:lpstr>
      <vt:lpstr>'Investors Equity'!MD_FINANCIAL</vt:lpstr>
      <vt:lpstr>'Kentucky Central'!MD_FINANCIAL</vt:lpstr>
      <vt:lpstr>'Land of Lincoln'!MD_FINANCIAL</vt:lpstr>
      <vt:lpstr>Legion!MD_FINANCIAL</vt:lpstr>
      <vt:lpstr>'Life Health America'!MD_FINANCIAL</vt:lpstr>
      <vt:lpstr>'Lincoln Memorial'!MD_FINANCIAL</vt:lpstr>
      <vt:lpstr>'London Pac'!MD_FINANCIAL</vt:lpstr>
      <vt:lpstr>Lumbermens!MD_FINANCIAL</vt:lpstr>
      <vt:lpstr>'Medical Savings'!MD_FINANCIAL</vt:lpstr>
      <vt:lpstr>'Memorial Service'!MD_FINANCIAL</vt:lpstr>
      <vt:lpstr>Midcontinent!MD_FINANCIAL</vt:lpstr>
      <vt:lpstr>'Midwest Life'!MD_FINANCIAL</vt:lpstr>
      <vt:lpstr>'Monarch Life'!MD_FINANCIAL</vt:lpstr>
      <vt:lpstr>'Mutual Benefit'!MD_FINANCIAL</vt:lpstr>
      <vt:lpstr>'Mutual Security'!MD_FINANCIAL</vt:lpstr>
      <vt:lpstr>'National Affiliated'!MD_FINANCIAL</vt:lpstr>
      <vt:lpstr>'National Heritage'!MD_FINANCIAL</vt:lpstr>
      <vt:lpstr>'National States'!MD_FINANCIAL</vt:lpstr>
      <vt:lpstr>'Natl American'!MD_FINANCIAL</vt:lpstr>
      <vt:lpstr>'New Jersey Life'!MD_FINANCIAL</vt:lpstr>
      <vt:lpstr>NNIC!MD_FINANCIAL</vt:lpstr>
      <vt:lpstr>'Old Colony Life'!MD_FINANCIAL</vt:lpstr>
      <vt:lpstr>'Old Faithful'!MD_FINANCIAL</vt:lpstr>
      <vt:lpstr>'Pacific Standard'!MD_FINANCIAL</vt:lpstr>
      <vt:lpstr>'Pen  Treaty'!MD_FINANCIAL</vt:lpstr>
      <vt:lpstr>Reliance!MD_FINANCIAL</vt:lpstr>
      <vt:lpstr>SeeChange!MD_FINANCIAL</vt:lpstr>
      <vt:lpstr>'Senior American'!MD_FINANCIAL</vt:lpstr>
      <vt:lpstr>Settlers!MD_FINANCIAL</vt:lpstr>
      <vt:lpstr>Shenandoah!MD_FINANCIAL</vt:lpstr>
      <vt:lpstr>'Standard Life IN'!MD_FINANCIAL</vt:lpstr>
      <vt:lpstr>'States General'!MD_FINANCIAL</vt:lpstr>
      <vt:lpstr>Statesman!MD_FINANCIAL</vt:lpstr>
      <vt:lpstr>'Summit National'!MD_FINANCIAL</vt:lpstr>
      <vt:lpstr>Supreme!MD_FINANCIAL</vt:lpstr>
      <vt:lpstr>'Total Summary'!MD_FINANCIAL</vt:lpstr>
      <vt:lpstr>Underwriters!MD_FINANCIAL</vt:lpstr>
      <vt:lpstr>Unison!MD_FINANCIAL</vt:lpstr>
      <vt:lpstr>'United Republic'!MD_FINANCIAL</vt:lpstr>
      <vt:lpstr>'Universal Health Care'!MD_FINANCIAL</vt:lpstr>
      <vt:lpstr>'Universal Life'!MD_FINANCIAL</vt:lpstr>
      <vt:lpstr>Universe!MD_FINANCIAL</vt:lpstr>
      <vt:lpstr>Villanova!MD_FINANCIAL</vt:lpstr>
      <vt:lpstr>'Alabama Life'!ME_FINANCIAL</vt:lpstr>
      <vt:lpstr>'Amer Life Asr'!ME_FINANCIAL</vt:lpstr>
      <vt:lpstr>'Amer Std Life Acc'!ME_FINANCIAL</vt:lpstr>
      <vt:lpstr>'American Chambers'!ME_FINANCIAL</vt:lpstr>
      <vt:lpstr>'American Community'!ME_FINANCIAL</vt:lpstr>
      <vt:lpstr>'American Educators'!ME_FINANCIAL</vt:lpstr>
      <vt:lpstr>'American Integrity'!ME_FINANCIAL</vt:lpstr>
      <vt:lpstr>'American Network'!ME_FINANCIAL</vt:lpstr>
      <vt:lpstr>AmerWstrn!ME_FINANCIAL</vt:lpstr>
      <vt:lpstr>'AMS Life'!ME_FINANCIAL</vt:lpstr>
      <vt:lpstr>'Andrew Jackson'!ME_FINANCIAL</vt:lpstr>
      <vt:lpstr>'Bankers Commercial'!ME_FINANCIAL</vt:lpstr>
      <vt:lpstr>Benicorp!ME_FINANCIAL</vt:lpstr>
      <vt:lpstr>'Booker T Washington'!ME_FINANCIAL</vt:lpstr>
      <vt:lpstr>Centennial!ME_FINANCIAL</vt:lpstr>
      <vt:lpstr>'Coastal States'!ME_FINANCIAL</vt:lpstr>
      <vt:lpstr>'Colorado Health'!ME_FINANCIAL</vt:lpstr>
      <vt:lpstr>'Compass (dbs Meritus)'!ME_FINANCIAL</vt:lpstr>
      <vt:lpstr>'Confed Life &amp; Annty (CLIAC)'!ME_FINANCIAL</vt:lpstr>
      <vt:lpstr>'Confed Life (CLIC)'!ME_FINANCIAL</vt:lpstr>
      <vt:lpstr>'Consolidated National'!ME_FINANCIAL</vt:lpstr>
      <vt:lpstr>'Consumers Choice'!ME_FINANCIAL</vt:lpstr>
      <vt:lpstr>'Consumers Mutual'!ME_FINANCIAL</vt:lpstr>
      <vt:lpstr>'Consumers United'!ME_FINANCIAL</vt:lpstr>
      <vt:lpstr>CoOportunity!ME_FINANCIAL</vt:lpstr>
      <vt:lpstr>'Coordinated Hlth'!ME_FINANCIAL</vt:lpstr>
      <vt:lpstr>'Corporate Life'!ME_FINANCIAL</vt:lpstr>
      <vt:lpstr>'Diamond Benefits'!ME_FINANCIAL</vt:lpstr>
      <vt:lpstr>'EBL Life'!ME_FINANCIAL</vt:lpstr>
      <vt:lpstr>ELNY!ME_FINANCIAL</vt:lpstr>
      <vt:lpstr>'Executive Life'!ME_FINANCIAL</vt:lpstr>
      <vt:lpstr>'Family Guaranty'!ME_FINANCIAL</vt:lpstr>
      <vt:lpstr>'Farmers &amp; Ranchers'!ME_FINANCIAL</vt:lpstr>
      <vt:lpstr>'Fidelity Bankers'!ME_FINANCIAL</vt:lpstr>
      <vt:lpstr>'Fidelity Mutual'!ME_FINANCIAL</vt:lpstr>
      <vt:lpstr>'First Capital'!ME_FINANCIAL</vt:lpstr>
      <vt:lpstr>'First Natl'!ME_FINANCIAL</vt:lpstr>
      <vt:lpstr>'First Natl (Thrnr)'!ME_FINANCIAL</vt:lpstr>
      <vt:lpstr>'Franklin American'!ME_FINANCIAL</vt:lpstr>
      <vt:lpstr>'Franklin Protective'!ME_FINANCIAL</vt:lpstr>
      <vt:lpstr>'Freelancers CO-OP'!ME_FINANCIAL</vt:lpstr>
      <vt:lpstr>'George Washington'!ME_FINANCIAL</vt:lpstr>
      <vt:lpstr>'Golden State'!ME_FINANCIAL</vt:lpstr>
      <vt:lpstr>'Guarantee Security'!ME_FINANCIAL</vt:lpstr>
      <vt:lpstr>HealthyCT!ME_FINANCIAL</vt:lpstr>
      <vt:lpstr>Imerica!ME_FINANCIAL</vt:lpstr>
      <vt:lpstr>'Inter-American'!ME_FINANCIAL</vt:lpstr>
      <vt:lpstr>'International Fin'!ME_FINANCIAL</vt:lpstr>
      <vt:lpstr>'Investment Life of America'!ME_FINANCIAL</vt:lpstr>
      <vt:lpstr>'Investors Equity'!ME_FINANCIAL</vt:lpstr>
      <vt:lpstr>'Kentucky Central'!ME_FINANCIAL</vt:lpstr>
      <vt:lpstr>'Land of Lincoln'!ME_FINANCIAL</vt:lpstr>
      <vt:lpstr>Legion!ME_FINANCIAL</vt:lpstr>
      <vt:lpstr>'Life Health America'!ME_FINANCIAL</vt:lpstr>
      <vt:lpstr>'Lincoln Memorial'!ME_FINANCIAL</vt:lpstr>
      <vt:lpstr>'London Pac'!ME_FINANCIAL</vt:lpstr>
      <vt:lpstr>Lumbermens!ME_FINANCIAL</vt:lpstr>
      <vt:lpstr>'Medical Savings'!ME_FINANCIAL</vt:lpstr>
      <vt:lpstr>'Memorial Service'!ME_FINANCIAL</vt:lpstr>
      <vt:lpstr>Midcontinent!ME_FINANCIAL</vt:lpstr>
      <vt:lpstr>'Midwest Life'!ME_FINANCIAL</vt:lpstr>
      <vt:lpstr>'Monarch Life'!ME_FINANCIAL</vt:lpstr>
      <vt:lpstr>'Mutual Benefit'!ME_FINANCIAL</vt:lpstr>
      <vt:lpstr>'Mutual Security'!ME_FINANCIAL</vt:lpstr>
      <vt:lpstr>'National Affiliated'!ME_FINANCIAL</vt:lpstr>
      <vt:lpstr>'National Heritage'!ME_FINANCIAL</vt:lpstr>
      <vt:lpstr>'National States'!ME_FINANCIAL</vt:lpstr>
      <vt:lpstr>'Natl American'!ME_FINANCIAL</vt:lpstr>
      <vt:lpstr>'New Jersey Life'!ME_FINANCIAL</vt:lpstr>
      <vt:lpstr>NNIC!ME_FINANCIAL</vt:lpstr>
      <vt:lpstr>'Old Colony Life'!ME_FINANCIAL</vt:lpstr>
      <vt:lpstr>'Old Faithful'!ME_FINANCIAL</vt:lpstr>
      <vt:lpstr>'Pacific Standard'!ME_FINANCIAL</vt:lpstr>
      <vt:lpstr>'Pen  Treaty'!ME_FINANCIAL</vt:lpstr>
      <vt:lpstr>Reliance!ME_FINANCIAL</vt:lpstr>
      <vt:lpstr>SeeChange!ME_FINANCIAL</vt:lpstr>
      <vt:lpstr>'Senior American'!ME_FINANCIAL</vt:lpstr>
      <vt:lpstr>Settlers!ME_FINANCIAL</vt:lpstr>
      <vt:lpstr>Shenandoah!ME_FINANCIAL</vt:lpstr>
      <vt:lpstr>'Standard Life IN'!ME_FINANCIAL</vt:lpstr>
      <vt:lpstr>'States General'!ME_FINANCIAL</vt:lpstr>
      <vt:lpstr>Statesman!ME_FINANCIAL</vt:lpstr>
      <vt:lpstr>'Summit National'!ME_FINANCIAL</vt:lpstr>
      <vt:lpstr>Supreme!ME_FINANCIAL</vt:lpstr>
      <vt:lpstr>'Total Summary'!ME_FINANCIAL</vt:lpstr>
      <vt:lpstr>Underwriters!ME_FINANCIAL</vt:lpstr>
      <vt:lpstr>Unison!ME_FINANCIAL</vt:lpstr>
      <vt:lpstr>'United Republic'!ME_FINANCIAL</vt:lpstr>
      <vt:lpstr>'Universal Health Care'!ME_FINANCIAL</vt:lpstr>
      <vt:lpstr>'Universal Life'!ME_FINANCIAL</vt:lpstr>
      <vt:lpstr>Universe!ME_FINANCIAL</vt:lpstr>
      <vt:lpstr>Villanova!ME_FINANCIAL</vt:lpstr>
      <vt:lpstr>'Alabama Life'!MI_FINANCIAL</vt:lpstr>
      <vt:lpstr>'Amer Life Asr'!MI_FINANCIAL</vt:lpstr>
      <vt:lpstr>'Amer Std Life Acc'!MI_FINANCIAL</vt:lpstr>
      <vt:lpstr>'American Chambers'!MI_FINANCIAL</vt:lpstr>
      <vt:lpstr>'American Community'!MI_FINANCIAL</vt:lpstr>
      <vt:lpstr>'American Educators'!MI_FINANCIAL</vt:lpstr>
      <vt:lpstr>'American Integrity'!MI_FINANCIAL</vt:lpstr>
      <vt:lpstr>'American Network'!MI_FINANCIAL</vt:lpstr>
      <vt:lpstr>AmerWstrn!MI_FINANCIAL</vt:lpstr>
      <vt:lpstr>'AMS Life'!MI_FINANCIAL</vt:lpstr>
      <vt:lpstr>'Andrew Jackson'!MI_FINANCIAL</vt:lpstr>
      <vt:lpstr>'Bankers Commercial'!MI_FINANCIAL</vt:lpstr>
      <vt:lpstr>Benicorp!MI_FINANCIAL</vt:lpstr>
      <vt:lpstr>'Booker T Washington'!MI_FINANCIAL</vt:lpstr>
      <vt:lpstr>Centennial!MI_FINANCIAL</vt:lpstr>
      <vt:lpstr>'Coastal States'!MI_FINANCIAL</vt:lpstr>
      <vt:lpstr>'Colorado Health'!MI_FINANCIAL</vt:lpstr>
      <vt:lpstr>'Compass (dbs Meritus)'!MI_FINANCIAL</vt:lpstr>
      <vt:lpstr>'Confed Life &amp; Annty (CLIAC)'!MI_FINANCIAL</vt:lpstr>
      <vt:lpstr>'Confed Life (CLIC)'!MI_FINANCIAL</vt:lpstr>
      <vt:lpstr>'Consolidated National'!MI_FINANCIAL</vt:lpstr>
      <vt:lpstr>'Consumers Choice'!MI_FINANCIAL</vt:lpstr>
      <vt:lpstr>'Consumers Mutual'!MI_FINANCIAL</vt:lpstr>
      <vt:lpstr>'Consumers United'!MI_FINANCIAL</vt:lpstr>
      <vt:lpstr>CoOportunity!MI_FINANCIAL</vt:lpstr>
      <vt:lpstr>'Coordinated Hlth'!MI_FINANCIAL</vt:lpstr>
      <vt:lpstr>'Corporate Life'!MI_FINANCIAL</vt:lpstr>
      <vt:lpstr>'Diamond Benefits'!MI_FINANCIAL</vt:lpstr>
      <vt:lpstr>'EBL Life'!MI_FINANCIAL</vt:lpstr>
      <vt:lpstr>ELNY!MI_FINANCIAL</vt:lpstr>
      <vt:lpstr>'Executive Life'!MI_FINANCIAL</vt:lpstr>
      <vt:lpstr>'Family Guaranty'!MI_FINANCIAL</vt:lpstr>
      <vt:lpstr>'Farmers &amp; Ranchers'!MI_FINANCIAL</vt:lpstr>
      <vt:lpstr>'Fidelity Bankers'!MI_FINANCIAL</vt:lpstr>
      <vt:lpstr>'Fidelity Mutual'!MI_FINANCIAL</vt:lpstr>
      <vt:lpstr>'First Capital'!MI_FINANCIAL</vt:lpstr>
      <vt:lpstr>'First Natl'!MI_FINANCIAL</vt:lpstr>
      <vt:lpstr>'First Natl (Thrnr)'!MI_FINANCIAL</vt:lpstr>
      <vt:lpstr>'Franklin American'!MI_FINANCIAL</vt:lpstr>
      <vt:lpstr>'Franklin Protective'!MI_FINANCIAL</vt:lpstr>
      <vt:lpstr>'Freelancers CO-OP'!MI_FINANCIAL</vt:lpstr>
      <vt:lpstr>'George Washington'!MI_FINANCIAL</vt:lpstr>
      <vt:lpstr>'Golden State'!MI_FINANCIAL</vt:lpstr>
      <vt:lpstr>'Guarantee Security'!MI_FINANCIAL</vt:lpstr>
      <vt:lpstr>HealthyCT!MI_FINANCIAL</vt:lpstr>
      <vt:lpstr>Imerica!MI_FINANCIAL</vt:lpstr>
      <vt:lpstr>'Inter-American'!MI_FINANCIAL</vt:lpstr>
      <vt:lpstr>'International Fin'!MI_FINANCIAL</vt:lpstr>
      <vt:lpstr>'Investment Life of America'!MI_FINANCIAL</vt:lpstr>
      <vt:lpstr>'Investors Equity'!MI_FINANCIAL</vt:lpstr>
      <vt:lpstr>'Kentucky Central'!MI_FINANCIAL</vt:lpstr>
      <vt:lpstr>'Land of Lincoln'!MI_FINANCIAL</vt:lpstr>
      <vt:lpstr>Legion!MI_FINANCIAL</vt:lpstr>
      <vt:lpstr>'Life Health America'!MI_FINANCIAL</vt:lpstr>
      <vt:lpstr>'Lincoln Memorial'!MI_FINANCIAL</vt:lpstr>
      <vt:lpstr>'London Pac'!MI_FINANCIAL</vt:lpstr>
      <vt:lpstr>Lumbermens!MI_FINANCIAL</vt:lpstr>
      <vt:lpstr>'Medical Savings'!MI_FINANCIAL</vt:lpstr>
      <vt:lpstr>'Memorial Service'!MI_FINANCIAL</vt:lpstr>
      <vt:lpstr>Midcontinent!MI_FINANCIAL</vt:lpstr>
      <vt:lpstr>'Midwest Life'!MI_FINANCIAL</vt:lpstr>
      <vt:lpstr>'Monarch Life'!MI_FINANCIAL</vt:lpstr>
      <vt:lpstr>'Mutual Benefit'!MI_FINANCIAL</vt:lpstr>
      <vt:lpstr>'Mutual Security'!MI_FINANCIAL</vt:lpstr>
      <vt:lpstr>'National Affiliated'!MI_FINANCIAL</vt:lpstr>
      <vt:lpstr>'National Heritage'!MI_FINANCIAL</vt:lpstr>
      <vt:lpstr>'National States'!MI_FINANCIAL</vt:lpstr>
      <vt:lpstr>'Natl American'!MI_FINANCIAL</vt:lpstr>
      <vt:lpstr>'New Jersey Life'!MI_FINANCIAL</vt:lpstr>
      <vt:lpstr>NNIC!MI_FINANCIAL</vt:lpstr>
      <vt:lpstr>'Old Colony Life'!MI_FINANCIAL</vt:lpstr>
      <vt:lpstr>'Old Faithful'!MI_FINANCIAL</vt:lpstr>
      <vt:lpstr>'Pacific Standard'!MI_FINANCIAL</vt:lpstr>
      <vt:lpstr>'Pen  Treaty'!MI_FINANCIAL</vt:lpstr>
      <vt:lpstr>Reliance!MI_FINANCIAL</vt:lpstr>
      <vt:lpstr>SeeChange!MI_FINANCIAL</vt:lpstr>
      <vt:lpstr>'Senior American'!MI_FINANCIAL</vt:lpstr>
      <vt:lpstr>Settlers!MI_FINANCIAL</vt:lpstr>
      <vt:lpstr>Shenandoah!MI_FINANCIAL</vt:lpstr>
      <vt:lpstr>'Standard Life IN'!MI_FINANCIAL</vt:lpstr>
      <vt:lpstr>'States General'!MI_FINANCIAL</vt:lpstr>
      <vt:lpstr>Statesman!MI_FINANCIAL</vt:lpstr>
      <vt:lpstr>'Summit National'!MI_FINANCIAL</vt:lpstr>
      <vt:lpstr>Supreme!MI_FINANCIAL</vt:lpstr>
      <vt:lpstr>'Total Summary'!MI_FINANCIAL</vt:lpstr>
      <vt:lpstr>Underwriters!MI_FINANCIAL</vt:lpstr>
      <vt:lpstr>Unison!MI_FINANCIAL</vt:lpstr>
      <vt:lpstr>'United Republic'!MI_FINANCIAL</vt:lpstr>
      <vt:lpstr>'Universal Health Care'!MI_FINANCIAL</vt:lpstr>
      <vt:lpstr>'Universal Life'!MI_FINANCIAL</vt:lpstr>
      <vt:lpstr>Universe!MI_FINANCIAL</vt:lpstr>
      <vt:lpstr>Villanova!MI_FINANCIAL</vt:lpstr>
      <vt:lpstr>'Alabama Life'!MN_FINANCIAL</vt:lpstr>
      <vt:lpstr>'Amer Life Asr'!MN_FINANCIAL</vt:lpstr>
      <vt:lpstr>'Amer Std Life Acc'!MN_FINANCIAL</vt:lpstr>
      <vt:lpstr>'American Chambers'!MN_FINANCIAL</vt:lpstr>
      <vt:lpstr>'American Community'!MN_FINANCIAL</vt:lpstr>
      <vt:lpstr>'American Educators'!MN_FINANCIAL</vt:lpstr>
      <vt:lpstr>'American Integrity'!MN_FINANCIAL</vt:lpstr>
      <vt:lpstr>'American Network'!MN_FINANCIAL</vt:lpstr>
      <vt:lpstr>AmerWstrn!MN_FINANCIAL</vt:lpstr>
      <vt:lpstr>'AMS Life'!MN_FINANCIAL</vt:lpstr>
      <vt:lpstr>'Andrew Jackson'!MN_FINANCIAL</vt:lpstr>
      <vt:lpstr>'Bankers Commercial'!MN_FINANCIAL</vt:lpstr>
      <vt:lpstr>Benicorp!MN_FINANCIAL</vt:lpstr>
      <vt:lpstr>'Booker T Washington'!MN_FINANCIAL</vt:lpstr>
      <vt:lpstr>Centennial!MN_FINANCIAL</vt:lpstr>
      <vt:lpstr>'Coastal States'!MN_FINANCIAL</vt:lpstr>
      <vt:lpstr>'Colorado Health'!MN_FINANCIAL</vt:lpstr>
      <vt:lpstr>'Compass (dbs Meritus)'!MN_FINANCIAL</vt:lpstr>
      <vt:lpstr>'Confed Life &amp; Annty (CLIAC)'!MN_FINANCIAL</vt:lpstr>
      <vt:lpstr>'Confed Life (CLIC)'!MN_FINANCIAL</vt:lpstr>
      <vt:lpstr>'Consolidated National'!MN_FINANCIAL</vt:lpstr>
      <vt:lpstr>'Consumers Choice'!MN_FINANCIAL</vt:lpstr>
      <vt:lpstr>'Consumers Mutual'!MN_FINANCIAL</vt:lpstr>
      <vt:lpstr>'Consumers United'!MN_FINANCIAL</vt:lpstr>
      <vt:lpstr>CoOportunity!MN_FINANCIAL</vt:lpstr>
      <vt:lpstr>'Coordinated Hlth'!MN_FINANCIAL</vt:lpstr>
      <vt:lpstr>'Corporate Life'!MN_FINANCIAL</vt:lpstr>
      <vt:lpstr>'Diamond Benefits'!MN_FINANCIAL</vt:lpstr>
      <vt:lpstr>'EBL Life'!MN_FINANCIAL</vt:lpstr>
      <vt:lpstr>ELNY!MN_FINANCIAL</vt:lpstr>
      <vt:lpstr>'Executive Life'!MN_FINANCIAL</vt:lpstr>
      <vt:lpstr>'Family Guaranty'!MN_FINANCIAL</vt:lpstr>
      <vt:lpstr>'Farmers &amp; Ranchers'!MN_FINANCIAL</vt:lpstr>
      <vt:lpstr>'Fidelity Bankers'!MN_FINANCIAL</vt:lpstr>
      <vt:lpstr>'Fidelity Mutual'!MN_FINANCIAL</vt:lpstr>
      <vt:lpstr>'First Capital'!MN_FINANCIAL</vt:lpstr>
      <vt:lpstr>'First Natl'!MN_FINANCIAL</vt:lpstr>
      <vt:lpstr>'First Natl (Thrnr)'!MN_FINANCIAL</vt:lpstr>
      <vt:lpstr>'Franklin American'!MN_FINANCIAL</vt:lpstr>
      <vt:lpstr>'Franklin Protective'!MN_FINANCIAL</vt:lpstr>
      <vt:lpstr>'Freelancers CO-OP'!MN_FINANCIAL</vt:lpstr>
      <vt:lpstr>'George Washington'!MN_FINANCIAL</vt:lpstr>
      <vt:lpstr>'Golden State'!MN_FINANCIAL</vt:lpstr>
      <vt:lpstr>'Guarantee Security'!MN_FINANCIAL</vt:lpstr>
      <vt:lpstr>HealthyCT!MN_FINANCIAL</vt:lpstr>
      <vt:lpstr>Imerica!MN_FINANCIAL</vt:lpstr>
      <vt:lpstr>'Inter-American'!MN_FINANCIAL</vt:lpstr>
      <vt:lpstr>'International Fin'!MN_FINANCIAL</vt:lpstr>
      <vt:lpstr>'Investment Life of America'!MN_FINANCIAL</vt:lpstr>
      <vt:lpstr>'Investors Equity'!MN_FINANCIAL</vt:lpstr>
      <vt:lpstr>'Kentucky Central'!MN_FINANCIAL</vt:lpstr>
      <vt:lpstr>'Land of Lincoln'!MN_FINANCIAL</vt:lpstr>
      <vt:lpstr>Legion!MN_FINANCIAL</vt:lpstr>
      <vt:lpstr>'Life Health America'!MN_FINANCIAL</vt:lpstr>
      <vt:lpstr>'Lincoln Memorial'!MN_FINANCIAL</vt:lpstr>
      <vt:lpstr>'London Pac'!MN_FINANCIAL</vt:lpstr>
      <vt:lpstr>Lumbermens!MN_FINANCIAL</vt:lpstr>
      <vt:lpstr>'Medical Savings'!MN_FINANCIAL</vt:lpstr>
      <vt:lpstr>'Memorial Service'!MN_FINANCIAL</vt:lpstr>
      <vt:lpstr>Midcontinent!MN_FINANCIAL</vt:lpstr>
      <vt:lpstr>'Midwest Life'!MN_FINANCIAL</vt:lpstr>
      <vt:lpstr>'Monarch Life'!MN_FINANCIAL</vt:lpstr>
      <vt:lpstr>'Mutual Benefit'!MN_FINANCIAL</vt:lpstr>
      <vt:lpstr>'Mutual Security'!MN_FINANCIAL</vt:lpstr>
      <vt:lpstr>'National Affiliated'!MN_FINANCIAL</vt:lpstr>
      <vt:lpstr>'National Heritage'!MN_FINANCIAL</vt:lpstr>
      <vt:lpstr>'National States'!MN_FINANCIAL</vt:lpstr>
      <vt:lpstr>'Natl American'!MN_FINANCIAL</vt:lpstr>
      <vt:lpstr>'New Jersey Life'!MN_FINANCIAL</vt:lpstr>
      <vt:lpstr>NNIC!MN_FINANCIAL</vt:lpstr>
      <vt:lpstr>'Old Colony Life'!MN_FINANCIAL</vt:lpstr>
      <vt:lpstr>'Old Faithful'!MN_FINANCIAL</vt:lpstr>
      <vt:lpstr>'Pacific Standard'!MN_FINANCIAL</vt:lpstr>
      <vt:lpstr>'Pen  Treaty'!MN_FINANCIAL</vt:lpstr>
      <vt:lpstr>Reliance!MN_FINANCIAL</vt:lpstr>
      <vt:lpstr>SeeChange!MN_FINANCIAL</vt:lpstr>
      <vt:lpstr>'Senior American'!MN_FINANCIAL</vt:lpstr>
      <vt:lpstr>Settlers!MN_FINANCIAL</vt:lpstr>
      <vt:lpstr>Shenandoah!MN_FINANCIAL</vt:lpstr>
      <vt:lpstr>'Standard Life IN'!MN_FINANCIAL</vt:lpstr>
      <vt:lpstr>'States General'!MN_FINANCIAL</vt:lpstr>
      <vt:lpstr>Statesman!MN_FINANCIAL</vt:lpstr>
      <vt:lpstr>'Summit National'!MN_FINANCIAL</vt:lpstr>
      <vt:lpstr>Supreme!MN_FINANCIAL</vt:lpstr>
      <vt:lpstr>'Total Summary'!MN_FINANCIAL</vt:lpstr>
      <vt:lpstr>Underwriters!MN_FINANCIAL</vt:lpstr>
      <vt:lpstr>Unison!MN_FINANCIAL</vt:lpstr>
      <vt:lpstr>'United Republic'!MN_FINANCIAL</vt:lpstr>
      <vt:lpstr>'Universal Health Care'!MN_FINANCIAL</vt:lpstr>
      <vt:lpstr>'Universal Life'!MN_FINANCIAL</vt:lpstr>
      <vt:lpstr>Universe!MN_FINANCIAL</vt:lpstr>
      <vt:lpstr>Villanova!MN_FINANCIAL</vt:lpstr>
      <vt:lpstr>'Alabama Life'!MO_FINANCIAL</vt:lpstr>
      <vt:lpstr>'Amer Life Asr'!MO_FINANCIAL</vt:lpstr>
      <vt:lpstr>'Amer Std Life Acc'!MO_FINANCIAL</vt:lpstr>
      <vt:lpstr>'American Chambers'!MO_FINANCIAL</vt:lpstr>
      <vt:lpstr>'American Community'!MO_FINANCIAL</vt:lpstr>
      <vt:lpstr>'American Educators'!MO_FINANCIAL</vt:lpstr>
      <vt:lpstr>'American Integrity'!MO_FINANCIAL</vt:lpstr>
      <vt:lpstr>'American Network'!MO_FINANCIAL</vt:lpstr>
      <vt:lpstr>AmerWstrn!MO_FINANCIAL</vt:lpstr>
      <vt:lpstr>'AMS Life'!MO_FINANCIAL</vt:lpstr>
      <vt:lpstr>'Andrew Jackson'!MO_FINANCIAL</vt:lpstr>
      <vt:lpstr>'Bankers Commercial'!MO_FINANCIAL</vt:lpstr>
      <vt:lpstr>Benicorp!MO_FINANCIAL</vt:lpstr>
      <vt:lpstr>'Booker T Washington'!MO_FINANCIAL</vt:lpstr>
      <vt:lpstr>Centennial!MO_FINANCIAL</vt:lpstr>
      <vt:lpstr>'Coastal States'!MO_FINANCIAL</vt:lpstr>
      <vt:lpstr>'Colorado Health'!MO_FINANCIAL</vt:lpstr>
      <vt:lpstr>'Compass (dbs Meritus)'!MO_FINANCIAL</vt:lpstr>
      <vt:lpstr>'Confed Life &amp; Annty (CLIAC)'!MO_FINANCIAL</vt:lpstr>
      <vt:lpstr>'Confed Life (CLIC)'!MO_FINANCIAL</vt:lpstr>
      <vt:lpstr>'Consolidated National'!MO_FINANCIAL</vt:lpstr>
      <vt:lpstr>'Consumers Choice'!MO_FINANCIAL</vt:lpstr>
      <vt:lpstr>'Consumers Mutual'!MO_FINANCIAL</vt:lpstr>
      <vt:lpstr>'Consumers United'!MO_FINANCIAL</vt:lpstr>
      <vt:lpstr>CoOportunity!MO_FINANCIAL</vt:lpstr>
      <vt:lpstr>'Coordinated Hlth'!MO_FINANCIAL</vt:lpstr>
      <vt:lpstr>'Corporate Life'!MO_FINANCIAL</vt:lpstr>
      <vt:lpstr>'Diamond Benefits'!MO_FINANCIAL</vt:lpstr>
      <vt:lpstr>'EBL Life'!MO_FINANCIAL</vt:lpstr>
      <vt:lpstr>ELNY!MO_FINANCIAL</vt:lpstr>
      <vt:lpstr>'Executive Life'!MO_FINANCIAL</vt:lpstr>
      <vt:lpstr>'Family Guaranty'!MO_FINANCIAL</vt:lpstr>
      <vt:lpstr>'Farmers &amp; Ranchers'!MO_FINANCIAL</vt:lpstr>
      <vt:lpstr>'Fidelity Bankers'!MO_FINANCIAL</vt:lpstr>
      <vt:lpstr>'Fidelity Mutual'!MO_FINANCIAL</vt:lpstr>
      <vt:lpstr>'First Capital'!MO_FINANCIAL</vt:lpstr>
      <vt:lpstr>'First Natl'!MO_FINANCIAL</vt:lpstr>
      <vt:lpstr>'First Natl (Thrnr)'!MO_FINANCIAL</vt:lpstr>
      <vt:lpstr>'Franklin American'!MO_FINANCIAL</vt:lpstr>
      <vt:lpstr>'Franklin Protective'!MO_FINANCIAL</vt:lpstr>
      <vt:lpstr>'Freelancers CO-OP'!MO_FINANCIAL</vt:lpstr>
      <vt:lpstr>'George Washington'!MO_FINANCIAL</vt:lpstr>
      <vt:lpstr>'Golden State'!MO_FINANCIAL</vt:lpstr>
      <vt:lpstr>'Guarantee Security'!MO_FINANCIAL</vt:lpstr>
      <vt:lpstr>HealthyCT!MO_FINANCIAL</vt:lpstr>
      <vt:lpstr>Imerica!MO_FINANCIAL</vt:lpstr>
      <vt:lpstr>'Inter-American'!MO_FINANCIAL</vt:lpstr>
      <vt:lpstr>'International Fin'!MO_FINANCIAL</vt:lpstr>
      <vt:lpstr>'Investment Life of America'!MO_FINANCIAL</vt:lpstr>
      <vt:lpstr>'Investors Equity'!MO_FINANCIAL</vt:lpstr>
      <vt:lpstr>'Kentucky Central'!MO_FINANCIAL</vt:lpstr>
      <vt:lpstr>'Land of Lincoln'!MO_FINANCIAL</vt:lpstr>
      <vt:lpstr>Legion!MO_FINANCIAL</vt:lpstr>
      <vt:lpstr>'Life Health America'!MO_FINANCIAL</vt:lpstr>
      <vt:lpstr>'Lincoln Memorial'!MO_FINANCIAL</vt:lpstr>
      <vt:lpstr>'London Pac'!MO_FINANCIAL</vt:lpstr>
      <vt:lpstr>Lumbermens!MO_FINANCIAL</vt:lpstr>
      <vt:lpstr>'Medical Savings'!MO_FINANCIAL</vt:lpstr>
      <vt:lpstr>'Memorial Service'!MO_FINANCIAL</vt:lpstr>
      <vt:lpstr>Midcontinent!MO_FINANCIAL</vt:lpstr>
      <vt:lpstr>'Midwest Life'!MO_FINANCIAL</vt:lpstr>
      <vt:lpstr>'Monarch Life'!MO_FINANCIAL</vt:lpstr>
      <vt:lpstr>'Mutual Benefit'!MO_FINANCIAL</vt:lpstr>
      <vt:lpstr>'Mutual Security'!MO_FINANCIAL</vt:lpstr>
      <vt:lpstr>'National Affiliated'!MO_FINANCIAL</vt:lpstr>
      <vt:lpstr>'National Heritage'!MO_FINANCIAL</vt:lpstr>
      <vt:lpstr>'National States'!MO_FINANCIAL</vt:lpstr>
      <vt:lpstr>'Natl American'!MO_FINANCIAL</vt:lpstr>
      <vt:lpstr>'New Jersey Life'!MO_FINANCIAL</vt:lpstr>
      <vt:lpstr>NNIC!MO_FINANCIAL</vt:lpstr>
      <vt:lpstr>'Old Colony Life'!MO_FINANCIAL</vt:lpstr>
      <vt:lpstr>'Old Faithful'!MO_FINANCIAL</vt:lpstr>
      <vt:lpstr>'Pacific Standard'!MO_FINANCIAL</vt:lpstr>
      <vt:lpstr>'Pen  Treaty'!MO_FINANCIAL</vt:lpstr>
      <vt:lpstr>Reliance!MO_FINANCIAL</vt:lpstr>
      <vt:lpstr>SeeChange!MO_FINANCIAL</vt:lpstr>
      <vt:lpstr>'Senior American'!MO_FINANCIAL</vt:lpstr>
      <vt:lpstr>Settlers!MO_FINANCIAL</vt:lpstr>
      <vt:lpstr>Shenandoah!MO_FINANCIAL</vt:lpstr>
      <vt:lpstr>'Standard Life IN'!MO_FINANCIAL</vt:lpstr>
      <vt:lpstr>'States General'!MO_FINANCIAL</vt:lpstr>
      <vt:lpstr>Statesman!MO_FINANCIAL</vt:lpstr>
      <vt:lpstr>'Summit National'!MO_FINANCIAL</vt:lpstr>
      <vt:lpstr>Supreme!MO_FINANCIAL</vt:lpstr>
      <vt:lpstr>'Total Summary'!MO_FINANCIAL</vt:lpstr>
      <vt:lpstr>Underwriters!MO_FINANCIAL</vt:lpstr>
      <vt:lpstr>Unison!MO_FINANCIAL</vt:lpstr>
      <vt:lpstr>'United Republic'!MO_FINANCIAL</vt:lpstr>
      <vt:lpstr>'Universal Health Care'!MO_FINANCIAL</vt:lpstr>
      <vt:lpstr>'Universal Life'!MO_FINANCIAL</vt:lpstr>
      <vt:lpstr>Universe!MO_FINANCIAL</vt:lpstr>
      <vt:lpstr>Villanova!MO_FINANCIAL</vt:lpstr>
      <vt:lpstr>'Alabama Life'!MS_FINANCIAL</vt:lpstr>
      <vt:lpstr>'Amer Life Asr'!MS_FINANCIAL</vt:lpstr>
      <vt:lpstr>'Amer Std Life Acc'!MS_FINANCIAL</vt:lpstr>
      <vt:lpstr>'American Chambers'!MS_FINANCIAL</vt:lpstr>
      <vt:lpstr>'American Community'!MS_FINANCIAL</vt:lpstr>
      <vt:lpstr>'American Educators'!MS_FINANCIAL</vt:lpstr>
      <vt:lpstr>'American Integrity'!MS_FINANCIAL</vt:lpstr>
      <vt:lpstr>'American Network'!MS_FINANCIAL</vt:lpstr>
      <vt:lpstr>AmerWstrn!MS_FINANCIAL</vt:lpstr>
      <vt:lpstr>'AMS Life'!MS_FINANCIAL</vt:lpstr>
      <vt:lpstr>'Andrew Jackson'!MS_FINANCIAL</vt:lpstr>
      <vt:lpstr>'Bankers Commercial'!MS_FINANCIAL</vt:lpstr>
      <vt:lpstr>Benicorp!MS_FINANCIAL</vt:lpstr>
      <vt:lpstr>'Booker T Washington'!MS_FINANCIAL</vt:lpstr>
      <vt:lpstr>Centennial!MS_FINANCIAL</vt:lpstr>
      <vt:lpstr>'Coastal States'!MS_FINANCIAL</vt:lpstr>
      <vt:lpstr>'Colorado Health'!MS_FINANCIAL</vt:lpstr>
      <vt:lpstr>'Compass (dbs Meritus)'!MS_FINANCIAL</vt:lpstr>
      <vt:lpstr>'Confed Life &amp; Annty (CLIAC)'!MS_FINANCIAL</vt:lpstr>
      <vt:lpstr>'Confed Life (CLIC)'!MS_FINANCIAL</vt:lpstr>
      <vt:lpstr>'Consolidated National'!MS_FINANCIAL</vt:lpstr>
      <vt:lpstr>'Consumers Choice'!MS_FINANCIAL</vt:lpstr>
      <vt:lpstr>'Consumers Mutual'!MS_FINANCIAL</vt:lpstr>
      <vt:lpstr>'Consumers United'!MS_FINANCIAL</vt:lpstr>
      <vt:lpstr>CoOportunity!MS_FINANCIAL</vt:lpstr>
      <vt:lpstr>'Coordinated Hlth'!MS_FINANCIAL</vt:lpstr>
      <vt:lpstr>'Corporate Life'!MS_FINANCIAL</vt:lpstr>
      <vt:lpstr>'Diamond Benefits'!MS_FINANCIAL</vt:lpstr>
      <vt:lpstr>'EBL Life'!MS_FINANCIAL</vt:lpstr>
      <vt:lpstr>ELNY!MS_FINANCIAL</vt:lpstr>
      <vt:lpstr>'Executive Life'!MS_FINANCIAL</vt:lpstr>
      <vt:lpstr>'Family Guaranty'!MS_FINANCIAL</vt:lpstr>
      <vt:lpstr>'Farmers &amp; Ranchers'!MS_FINANCIAL</vt:lpstr>
      <vt:lpstr>'Fidelity Bankers'!MS_FINANCIAL</vt:lpstr>
      <vt:lpstr>'Fidelity Mutual'!MS_FINANCIAL</vt:lpstr>
      <vt:lpstr>'First Capital'!MS_FINANCIAL</vt:lpstr>
      <vt:lpstr>'First Natl'!MS_FINANCIAL</vt:lpstr>
      <vt:lpstr>'First Natl (Thrnr)'!MS_FINANCIAL</vt:lpstr>
      <vt:lpstr>'Franklin American'!MS_FINANCIAL</vt:lpstr>
      <vt:lpstr>'Franklin Protective'!MS_FINANCIAL</vt:lpstr>
      <vt:lpstr>'Freelancers CO-OP'!MS_FINANCIAL</vt:lpstr>
      <vt:lpstr>'George Washington'!MS_FINANCIAL</vt:lpstr>
      <vt:lpstr>'Golden State'!MS_FINANCIAL</vt:lpstr>
      <vt:lpstr>'Guarantee Security'!MS_FINANCIAL</vt:lpstr>
      <vt:lpstr>HealthyCT!MS_FINANCIAL</vt:lpstr>
      <vt:lpstr>Imerica!MS_FINANCIAL</vt:lpstr>
      <vt:lpstr>'Inter-American'!MS_FINANCIAL</vt:lpstr>
      <vt:lpstr>'International Fin'!MS_FINANCIAL</vt:lpstr>
      <vt:lpstr>'Investment Life of America'!MS_FINANCIAL</vt:lpstr>
      <vt:lpstr>'Investors Equity'!MS_FINANCIAL</vt:lpstr>
      <vt:lpstr>'Kentucky Central'!MS_FINANCIAL</vt:lpstr>
      <vt:lpstr>'Land of Lincoln'!MS_FINANCIAL</vt:lpstr>
      <vt:lpstr>Legion!MS_FINANCIAL</vt:lpstr>
      <vt:lpstr>'Life Health America'!MS_FINANCIAL</vt:lpstr>
      <vt:lpstr>'Lincoln Memorial'!MS_FINANCIAL</vt:lpstr>
      <vt:lpstr>'London Pac'!MS_FINANCIAL</vt:lpstr>
      <vt:lpstr>Lumbermens!MS_FINANCIAL</vt:lpstr>
      <vt:lpstr>'Medical Savings'!MS_FINANCIAL</vt:lpstr>
      <vt:lpstr>'Memorial Service'!MS_FINANCIAL</vt:lpstr>
      <vt:lpstr>Midcontinent!MS_FINANCIAL</vt:lpstr>
      <vt:lpstr>'Midwest Life'!MS_FINANCIAL</vt:lpstr>
      <vt:lpstr>'Monarch Life'!MS_FINANCIAL</vt:lpstr>
      <vt:lpstr>'Mutual Benefit'!MS_FINANCIAL</vt:lpstr>
      <vt:lpstr>'Mutual Security'!MS_FINANCIAL</vt:lpstr>
      <vt:lpstr>'National Affiliated'!MS_FINANCIAL</vt:lpstr>
      <vt:lpstr>'National Heritage'!MS_FINANCIAL</vt:lpstr>
      <vt:lpstr>'National States'!MS_FINANCIAL</vt:lpstr>
      <vt:lpstr>'Natl American'!MS_FINANCIAL</vt:lpstr>
      <vt:lpstr>'New Jersey Life'!MS_FINANCIAL</vt:lpstr>
      <vt:lpstr>NNIC!MS_FINANCIAL</vt:lpstr>
      <vt:lpstr>'Old Colony Life'!MS_FINANCIAL</vt:lpstr>
      <vt:lpstr>'Old Faithful'!MS_FINANCIAL</vt:lpstr>
      <vt:lpstr>'Pacific Standard'!MS_FINANCIAL</vt:lpstr>
      <vt:lpstr>'Pen  Treaty'!MS_FINANCIAL</vt:lpstr>
      <vt:lpstr>Reliance!MS_FINANCIAL</vt:lpstr>
      <vt:lpstr>SeeChange!MS_FINANCIAL</vt:lpstr>
      <vt:lpstr>'Senior American'!MS_FINANCIAL</vt:lpstr>
      <vt:lpstr>Settlers!MS_FINANCIAL</vt:lpstr>
      <vt:lpstr>Shenandoah!MS_FINANCIAL</vt:lpstr>
      <vt:lpstr>'Standard Life IN'!MS_FINANCIAL</vt:lpstr>
      <vt:lpstr>'States General'!MS_FINANCIAL</vt:lpstr>
      <vt:lpstr>Statesman!MS_FINANCIAL</vt:lpstr>
      <vt:lpstr>'Summit National'!MS_FINANCIAL</vt:lpstr>
      <vt:lpstr>Supreme!MS_FINANCIAL</vt:lpstr>
      <vt:lpstr>'Total Summary'!MS_FINANCIAL</vt:lpstr>
      <vt:lpstr>Underwriters!MS_FINANCIAL</vt:lpstr>
      <vt:lpstr>Unison!MS_FINANCIAL</vt:lpstr>
      <vt:lpstr>'United Republic'!MS_FINANCIAL</vt:lpstr>
      <vt:lpstr>'Universal Health Care'!MS_FINANCIAL</vt:lpstr>
      <vt:lpstr>'Universal Life'!MS_FINANCIAL</vt:lpstr>
      <vt:lpstr>Universe!MS_FINANCIAL</vt:lpstr>
      <vt:lpstr>Villanova!MS_FINANCIAL</vt:lpstr>
      <vt:lpstr>'Alabama Life'!MT_FINANCIAL</vt:lpstr>
      <vt:lpstr>'Amer Life Asr'!MT_FINANCIAL</vt:lpstr>
      <vt:lpstr>'Amer Std Life Acc'!MT_FINANCIAL</vt:lpstr>
      <vt:lpstr>'American Chambers'!MT_FINANCIAL</vt:lpstr>
      <vt:lpstr>'American Community'!MT_FINANCIAL</vt:lpstr>
      <vt:lpstr>'American Educators'!MT_FINANCIAL</vt:lpstr>
      <vt:lpstr>'American Integrity'!MT_FINANCIAL</vt:lpstr>
      <vt:lpstr>'American Network'!MT_FINANCIAL</vt:lpstr>
      <vt:lpstr>AmerWstrn!MT_FINANCIAL</vt:lpstr>
      <vt:lpstr>'AMS Life'!MT_FINANCIAL</vt:lpstr>
      <vt:lpstr>'Andrew Jackson'!MT_FINANCIAL</vt:lpstr>
      <vt:lpstr>'Bankers Commercial'!MT_FINANCIAL</vt:lpstr>
      <vt:lpstr>Benicorp!MT_FINANCIAL</vt:lpstr>
      <vt:lpstr>'Booker T Washington'!MT_FINANCIAL</vt:lpstr>
      <vt:lpstr>Centennial!MT_FINANCIAL</vt:lpstr>
      <vt:lpstr>'Coastal States'!MT_FINANCIAL</vt:lpstr>
      <vt:lpstr>'Colorado Health'!MT_FINANCIAL</vt:lpstr>
      <vt:lpstr>'Compass (dbs Meritus)'!MT_FINANCIAL</vt:lpstr>
      <vt:lpstr>'Confed Life &amp; Annty (CLIAC)'!MT_FINANCIAL</vt:lpstr>
      <vt:lpstr>'Confed Life (CLIC)'!MT_FINANCIAL</vt:lpstr>
      <vt:lpstr>'Consolidated National'!MT_FINANCIAL</vt:lpstr>
      <vt:lpstr>'Consumers Choice'!MT_FINANCIAL</vt:lpstr>
      <vt:lpstr>'Consumers Mutual'!MT_FINANCIAL</vt:lpstr>
      <vt:lpstr>'Consumers United'!MT_FINANCIAL</vt:lpstr>
      <vt:lpstr>CoOportunity!MT_FINANCIAL</vt:lpstr>
      <vt:lpstr>'Coordinated Hlth'!MT_FINANCIAL</vt:lpstr>
      <vt:lpstr>'Corporate Life'!MT_FINANCIAL</vt:lpstr>
      <vt:lpstr>'Diamond Benefits'!MT_FINANCIAL</vt:lpstr>
      <vt:lpstr>'EBL Life'!MT_FINANCIAL</vt:lpstr>
      <vt:lpstr>ELNY!MT_FINANCIAL</vt:lpstr>
      <vt:lpstr>'Executive Life'!MT_FINANCIAL</vt:lpstr>
      <vt:lpstr>'Family Guaranty'!MT_FINANCIAL</vt:lpstr>
      <vt:lpstr>'Farmers &amp; Ranchers'!MT_FINANCIAL</vt:lpstr>
      <vt:lpstr>'Fidelity Bankers'!MT_FINANCIAL</vt:lpstr>
      <vt:lpstr>'Fidelity Mutual'!MT_FINANCIAL</vt:lpstr>
      <vt:lpstr>'First Capital'!MT_FINANCIAL</vt:lpstr>
      <vt:lpstr>'First Natl'!MT_FINANCIAL</vt:lpstr>
      <vt:lpstr>'First Natl (Thrnr)'!MT_FINANCIAL</vt:lpstr>
      <vt:lpstr>'Franklin American'!MT_FINANCIAL</vt:lpstr>
      <vt:lpstr>'Franklin Protective'!MT_FINANCIAL</vt:lpstr>
      <vt:lpstr>'Freelancers CO-OP'!MT_FINANCIAL</vt:lpstr>
      <vt:lpstr>'George Washington'!MT_FINANCIAL</vt:lpstr>
      <vt:lpstr>'Golden State'!MT_FINANCIAL</vt:lpstr>
      <vt:lpstr>'Guarantee Security'!MT_FINANCIAL</vt:lpstr>
      <vt:lpstr>HealthyCT!MT_FINANCIAL</vt:lpstr>
      <vt:lpstr>Imerica!MT_FINANCIAL</vt:lpstr>
      <vt:lpstr>'Inter-American'!MT_FINANCIAL</vt:lpstr>
      <vt:lpstr>'International Fin'!MT_FINANCIAL</vt:lpstr>
      <vt:lpstr>'Investment Life of America'!MT_FINANCIAL</vt:lpstr>
      <vt:lpstr>'Investors Equity'!MT_FINANCIAL</vt:lpstr>
      <vt:lpstr>'Kentucky Central'!MT_FINANCIAL</vt:lpstr>
      <vt:lpstr>'Land of Lincoln'!MT_FINANCIAL</vt:lpstr>
      <vt:lpstr>Legion!MT_FINANCIAL</vt:lpstr>
      <vt:lpstr>'Life Health America'!MT_FINANCIAL</vt:lpstr>
      <vt:lpstr>'Lincoln Memorial'!MT_FINANCIAL</vt:lpstr>
      <vt:lpstr>'London Pac'!MT_FINANCIAL</vt:lpstr>
      <vt:lpstr>Lumbermens!MT_FINANCIAL</vt:lpstr>
      <vt:lpstr>'Medical Savings'!MT_FINANCIAL</vt:lpstr>
      <vt:lpstr>'Memorial Service'!MT_FINANCIAL</vt:lpstr>
      <vt:lpstr>Midcontinent!MT_FINANCIAL</vt:lpstr>
      <vt:lpstr>'Midwest Life'!MT_FINANCIAL</vt:lpstr>
      <vt:lpstr>'Monarch Life'!MT_FINANCIAL</vt:lpstr>
      <vt:lpstr>'Mutual Benefit'!MT_FINANCIAL</vt:lpstr>
      <vt:lpstr>'Mutual Security'!MT_FINANCIAL</vt:lpstr>
      <vt:lpstr>'National Affiliated'!MT_FINANCIAL</vt:lpstr>
      <vt:lpstr>'National Heritage'!MT_FINANCIAL</vt:lpstr>
      <vt:lpstr>'National States'!MT_FINANCIAL</vt:lpstr>
      <vt:lpstr>'Natl American'!MT_FINANCIAL</vt:lpstr>
      <vt:lpstr>'New Jersey Life'!MT_FINANCIAL</vt:lpstr>
      <vt:lpstr>NNIC!MT_FINANCIAL</vt:lpstr>
      <vt:lpstr>'Old Colony Life'!MT_FINANCIAL</vt:lpstr>
      <vt:lpstr>'Old Faithful'!MT_FINANCIAL</vt:lpstr>
      <vt:lpstr>'Pacific Standard'!MT_FINANCIAL</vt:lpstr>
      <vt:lpstr>'Pen  Treaty'!MT_FINANCIAL</vt:lpstr>
      <vt:lpstr>Reliance!MT_FINANCIAL</vt:lpstr>
      <vt:lpstr>SeeChange!MT_FINANCIAL</vt:lpstr>
      <vt:lpstr>'Senior American'!MT_FINANCIAL</vt:lpstr>
      <vt:lpstr>Settlers!MT_FINANCIAL</vt:lpstr>
      <vt:lpstr>Shenandoah!MT_FINANCIAL</vt:lpstr>
      <vt:lpstr>'Standard Life IN'!MT_FINANCIAL</vt:lpstr>
      <vt:lpstr>'States General'!MT_FINANCIAL</vt:lpstr>
      <vt:lpstr>Statesman!MT_FINANCIAL</vt:lpstr>
      <vt:lpstr>'Summit National'!MT_FINANCIAL</vt:lpstr>
      <vt:lpstr>Supreme!MT_FINANCIAL</vt:lpstr>
      <vt:lpstr>'Total Summary'!MT_FINANCIAL</vt:lpstr>
      <vt:lpstr>Underwriters!MT_FINANCIAL</vt:lpstr>
      <vt:lpstr>Unison!MT_FINANCIAL</vt:lpstr>
      <vt:lpstr>'United Republic'!MT_FINANCIAL</vt:lpstr>
      <vt:lpstr>'Universal Health Care'!MT_FINANCIAL</vt:lpstr>
      <vt:lpstr>'Universal Life'!MT_FINANCIAL</vt:lpstr>
      <vt:lpstr>Universe!MT_FINANCIAL</vt:lpstr>
      <vt:lpstr>Villanova!MT_FINANCIAL</vt:lpstr>
      <vt:lpstr>'Alabama Life'!NC_FINANCIAL</vt:lpstr>
      <vt:lpstr>'Amer Life Asr'!NC_FINANCIAL</vt:lpstr>
      <vt:lpstr>'Amer Std Life Acc'!NC_FINANCIAL</vt:lpstr>
      <vt:lpstr>'American Chambers'!NC_FINANCIAL</vt:lpstr>
      <vt:lpstr>'American Community'!NC_FINANCIAL</vt:lpstr>
      <vt:lpstr>'American Educators'!NC_FINANCIAL</vt:lpstr>
      <vt:lpstr>'American Integrity'!NC_FINANCIAL</vt:lpstr>
      <vt:lpstr>'American Network'!NC_FINANCIAL</vt:lpstr>
      <vt:lpstr>AmerWstrn!NC_FINANCIAL</vt:lpstr>
      <vt:lpstr>'AMS Life'!NC_FINANCIAL</vt:lpstr>
      <vt:lpstr>'Andrew Jackson'!NC_FINANCIAL</vt:lpstr>
      <vt:lpstr>'Bankers Commercial'!NC_FINANCIAL</vt:lpstr>
      <vt:lpstr>Benicorp!NC_FINANCIAL</vt:lpstr>
      <vt:lpstr>'Booker T Washington'!NC_FINANCIAL</vt:lpstr>
      <vt:lpstr>Centennial!NC_FINANCIAL</vt:lpstr>
      <vt:lpstr>'Coastal States'!NC_FINANCIAL</vt:lpstr>
      <vt:lpstr>'Colorado Health'!NC_FINANCIAL</vt:lpstr>
      <vt:lpstr>'Compass (dbs Meritus)'!NC_FINANCIAL</vt:lpstr>
      <vt:lpstr>'Confed Life &amp; Annty (CLIAC)'!NC_FINANCIAL</vt:lpstr>
      <vt:lpstr>'Confed Life (CLIC)'!NC_FINANCIAL</vt:lpstr>
      <vt:lpstr>'Consolidated National'!NC_FINANCIAL</vt:lpstr>
      <vt:lpstr>'Consumers Choice'!NC_FINANCIAL</vt:lpstr>
      <vt:lpstr>'Consumers Mutual'!NC_FINANCIAL</vt:lpstr>
      <vt:lpstr>'Consumers United'!NC_FINANCIAL</vt:lpstr>
      <vt:lpstr>CoOportunity!NC_FINANCIAL</vt:lpstr>
      <vt:lpstr>'Coordinated Hlth'!NC_FINANCIAL</vt:lpstr>
      <vt:lpstr>'Corporate Life'!NC_FINANCIAL</vt:lpstr>
      <vt:lpstr>'Diamond Benefits'!NC_FINANCIAL</vt:lpstr>
      <vt:lpstr>'EBL Life'!NC_FINANCIAL</vt:lpstr>
      <vt:lpstr>ELNY!NC_FINANCIAL</vt:lpstr>
      <vt:lpstr>'Executive Life'!NC_FINANCIAL</vt:lpstr>
      <vt:lpstr>'Family Guaranty'!NC_FINANCIAL</vt:lpstr>
      <vt:lpstr>'Farmers &amp; Ranchers'!NC_FINANCIAL</vt:lpstr>
      <vt:lpstr>'Fidelity Bankers'!NC_FINANCIAL</vt:lpstr>
      <vt:lpstr>'Fidelity Mutual'!NC_FINANCIAL</vt:lpstr>
      <vt:lpstr>'First Capital'!NC_FINANCIAL</vt:lpstr>
      <vt:lpstr>'First Natl'!NC_FINANCIAL</vt:lpstr>
      <vt:lpstr>'First Natl (Thrnr)'!NC_FINANCIAL</vt:lpstr>
      <vt:lpstr>'Franklin American'!NC_FINANCIAL</vt:lpstr>
      <vt:lpstr>'Franklin Protective'!NC_FINANCIAL</vt:lpstr>
      <vt:lpstr>'Freelancers CO-OP'!NC_FINANCIAL</vt:lpstr>
      <vt:lpstr>'George Washington'!NC_FINANCIAL</vt:lpstr>
      <vt:lpstr>'Golden State'!NC_FINANCIAL</vt:lpstr>
      <vt:lpstr>'Guarantee Security'!NC_FINANCIAL</vt:lpstr>
      <vt:lpstr>HealthyCT!NC_FINANCIAL</vt:lpstr>
      <vt:lpstr>Imerica!NC_FINANCIAL</vt:lpstr>
      <vt:lpstr>'Inter-American'!NC_FINANCIAL</vt:lpstr>
      <vt:lpstr>'International Fin'!NC_FINANCIAL</vt:lpstr>
      <vt:lpstr>'Investment Life of America'!NC_FINANCIAL</vt:lpstr>
      <vt:lpstr>'Investors Equity'!NC_FINANCIAL</vt:lpstr>
      <vt:lpstr>'Kentucky Central'!NC_FINANCIAL</vt:lpstr>
      <vt:lpstr>'Land of Lincoln'!NC_FINANCIAL</vt:lpstr>
      <vt:lpstr>Legion!NC_FINANCIAL</vt:lpstr>
      <vt:lpstr>'Life Health America'!NC_FINANCIAL</vt:lpstr>
      <vt:lpstr>'Lincoln Memorial'!NC_FINANCIAL</vt:lpstr>
      <vt:lpstr>'London Pac'!NC_FINANCIAL</vt:lpstr>
      <vt:lpstr>Lumbermens!NC_FINANCIAL</vt:lpstr>
      <vt:lpstr>'Medical Savings'!NC_FINANCIAL</vt:lpstr>
      <vt:lpstr>'Memorial Service'!NC_FINANCIAL</vt:lpstr>
      <vt:lpstr>Midcontinent!NC_FINANCIAL</vt:lpstr>
      <vt:lpstr>'Midwest Life'!NC_FINANCIAL</vt:lpstr>
      <vt:lpstr>'Monarch Life'!NC_FINANCIAL</vt:lpstr>
      <vt:lpstr>'Mutual Benefit'!NC_FINANCIAL</vt:lpstr>
      <vt:lpstr>'Mutual Security'!NC_FINANCIAL</vt:lpstr>
      <vt:lpstr>'National Affiliated'!NC_FINANCIAL</vt:lpstr>
      <vt:lpstr>'National Heritage'!NC_FINANCIAL</vt:lpstr>
      <vt:lpstr>'National States'!NC_FINANCIAL</vt:lpstr>
      <vt:lpstr>'Natl American'!NC_FINANCIAL</vt:lpstr>
      <vt:lpstr>'New Jersey Life'!NC_FINANCIAL</vt:lpstr>
      <vt:lpstr>NNIC!NC_FINANCIAL</vt:lpstr>
      <vt:lpstr>'Old Colony Life'!NC_FINANCIAL</vt:lpstr>
      <vt:lpstr>'Old Faithful'!NC_FINANCIAL</vt:lpstr>
      <vt:lpstr>'Pacific Standard'!NC_FINANCIAL</vt:lpstr>
      <vt:lpstr>'Pen  Treaty'!NC_FINANCIAL</vt:lpstr>
      <vt:lpstr>Reliance!NC_FINANCIAL</vt:lpstr>
      <vt:lpstr>SeeChange!NC_FINANCIAL</vt:lpstr>
      <vt:lpstr>'Senior American'!NC_FINANCIAL</vt:lpstr>
      <vt:lpstr>Settlers!NC_FINANCIAL</vt:lpstr>
      <vt:lpstr>Shenandoah!NC_FINANCIAL</vt:lpstr>
      <vt:lpstr>'Standard Life IN'!NC_FINANCIAL</vt:lpstr>
      <vt:lpstr>'States General'!NC_FINANCIAL</vt:lpstr>
      <vt:lpstr>Statesman!NC_FINANCIAL</vt:lpstr>
      <vt:lpstr>'Summit National'!NC_FINANCIAL</vt:lpstr>
      <vt:lpstr>Supreme!NC_FINANCIAL</vt:lpstr>
      <vt:lpstr>'Total Summary'!NC_FINANCIAL</vt:lpstr>
      <vt:lpstr>Underwriters!NC_FINANCIAL</vt:lpstr>
      <vt:lpstr>Unison!NC_FINANCIAL</vt:lpstr>
      <vt:lpstr>'United Republic'!NC_FINANCIAL</vt:lpstr>
      <vt:lpstr>'Universal Health Care'!NC_FINANCIAL</vt:lpstr>
      <vt:lpstr>'Universal Life'!NC_FINANCIAL</vt:lpstr>
      <vt:lpstr>Universe!NC_FINANCIAL</vt:lpstr>
      <vt:lpstr>Villanova!NC_FINANCIAL</vt:lpstr>
      <vt:lpstr>'Alabama Life'!ND_FINANCIAL</vt:lpstr>
      <vt:lpstr>'Amer Life Asr'!ND_FINANCIAL</vt:lpstr>
      <vt:lpstr>'Amer Std Life Acc'!ND_FINANCIAL</vt:lpstr>
      <vt:lpstr>'American Chambers'!ND_FINANCIAL</vt:lpstr>
      <vt:lpstr>'American Community'!ND_FINANCIAL</vt:lpstr>
      <vt:lpstr>'American Educators'!ND_FINANCIAL</vt:lpstr>
      <vt:lpstr>'American Integrity'!ND_FINANCIAL</vt:lpstr>
      <vt:lpstr>'American Network'!ND_FINANCIAL</vt:lpstr>
      <vt:lpstr>AmerWstrn!ND_FINANCIAL</vt:lpstr>
      <vt:lpstr>'AMS Life'!ND_FINANCIAL</vt:lpstr>
      <vt:lpstr>'Andrew Jackson'!ND_FINANCIAL</vt:lpstr>
      <vt:lpstr>'Bankers Commercial'!ND_FINANCIAL</vt:lpstr>
      <vt:lpstr>Benicorp!ND_FINANCIAL</vt:lpstr>
      <vt:lpstr>'Booker T Washington'!ND_FINANCIAL</vt:lpstr>
      <vt:lpstr>Centennial!ND_FINANCIAL</vt:lpstr>
      <vt:lpstr>'Coastal States'!ND_FINANCIAL</vt:lpstr>
      <vt:lpstr>'Colorado Health'!ND_FINANCIAL</vt:lpstr>
      <vt:lpstr>'Compass (dbs Meritus)'!ND_FINANCIAL</vt:lpstr>
      <vt:lpstr>'Confed Life &amp; Annty (CLIAC)'!ND_FINANCIAL</vt:lpstr>
      <vt:lpstr>'Confed Life (CLIC)'!ND_FINANCIAL</vt:lpstr>
      <vt:lpstr>'Consolidated National'!ND_FINANCIAL</vt:lpstr>
      <vt:lpstr>'Consumers Choice'!ND_FINANCIAL</vt:lpstr>
      <vt:lpstr>'Consumers Mutual'!ND_FINANCIAL</vt:lpstr>
      <vt:lpstr>'Consumers United'!ND_FINANCIAL</vt:lpstr>
      <vt:lpstr>CoOportunity!ND_FINANCIAL</vt:lpstr>
      <vt:lpstr>'Coordinated Hlth'!ND_FINANCIAL</vt:lpstr>
      <vt:lpstr>'Corporate Life'!ND_FINANCIAL</vt:lpstr>
      <vt:lpstr>'Diamond Benefits'!ND_FINANCIAL</vt:lpstr>
      <vt:lpstr>'EBL Life'!ND_FINANCIAL</vt:lpstr>
      <vt:lpstr>ELNY!ND_FINANCIAL</vt:lpstr>
      <vt:lpstr>'Executive Life'!ND_FINANCIAL</vt:lpstr>
      <vt:lpstr>'Family Guaranty'!ND_FINANCIAL</vt:lpstr>
      <vt:lpstr>'Farmers &amp; Ranchers'!ND_FINANCIAL</vt:lpstr>
      <vt:lpstr>'Fidelity Bankers'!ND_FINANCIAL</vt:lpstr>
      <vt:lpstr>'Fidelity Mutual'!ND_FINANCIAL</vt:lpstr>
      <vt:lpstr>'First Capital'!ND_FINANCIAL</vt:lpstr>
      <vt:lpstr>'First Natl'!ND_FINANCIAL</vt:lpstr>
      <vt:lpstr>'First Natl (Thrnr)'!ND_FINANCIAL</vt:lpstr>
      <vt:lpstr>'Franklin American'!ND_FINANCIAL</vt:lpstr>
      <vt:lpstr>'Franklin Protective'!ND_FINANCIAL</vt:lpstr>
      <vt:lpstr>'Freelancers CO-OP'!ND_FINANCIAL</vt:lpstr>
      <vt:lpstr>'George Washington'!ND_FINANCIAL</vt:lpstr>
      <vt:lpstr>'Golden State'!ND_FINANCIAL</vt:lpstr>
      <vt:lpstr>'Guarantee Security'!ND_FINANCIAL</vt:lpstr>
      <vt:lpstr>HealthyCT!ND_FINANCIAL</vt:lpstr>
      <vt:lpstr>Imerica!ND_FINANCIAL</vt:lpstr>
      <vt:lpstr>'Inter-American'!ND_FINANCIAL</vt:lpstr>
      <vt:lpstr>'International Fin'!ND_FINANCIAL</vt:lpstr>
      <vt:lpstr>'Investment Life of America'!ND_FINANCIAL</vt:lpstr>
      <vt:lpstr>'Investors Equity'!ND_FINANCIAL</vt:lpstr>
      <vt:lpstr>'Kentucky Central'!ND_FINANCIAL</vt:lpstr>
      <vt:lpstr>'Land of Lincoln'!ND_FINANCIAL</vt:lpstr>
      <vt:lpstr>Legion!ND_FINANCIAL</vt:lpstr>
      <vt:lpstr>'Life Health America'!ND_FINANCIAL</vt:lpstr>
      <vt:lpstr>'Lincoln Memorial'!ND_FINANCIAL</vt:lpstr>
      <vt:lpstr>'London Pac'!ND_FINANCIAL</vt:lpstr>
      <vt:lpstr>Lumbermens!ND_FINANCIAL</vt:lpstr>
      <vt:lpstr>'Medical Savings'!ND_FINANCIAL</vt:lpstr>
      <vt:lpstr>'Memorial Service'!ND_FINANCIAL</vt:lpstr>
      <vt:lpstr>Midcontinent!ND_FINANCIAL</vt:lpstr>
      <vt:lpstr>'Midwest Life'!ND_FINANCIAL</vt:lpstr>
      <vt:lpstr>'Monarch Life'!ND_FINANCIAL</vt:lpstr>
      <vt:lpstr>'Mutual Benefit'!ND_FINANCIAL</vt:lpstr>
      <vt:lpstr>'Mutual Security'!ND_FINANCIAL</vt:lpstr>
      <vt:lpstr>'National Affiliated'!ND_FINANCIAL</vt:lpstr>
      <vt:lpstr>'National Heritage'!ND_FINANCIAL</vt:lpstr>
      <vt:lpstr>'National States'!ND_FINANCIAL</vt:lpstr>
      <vt:lpstr>'Natl American'!ND_FINANCIAL</vt:lpstr>
      <vt:lpstr>'New Jersey Life'!ND_FINANCIAL</vt:lpstr>
      <vt:lpstr>NNIC!ND_FINANCIAL</vt:lpstr>
      <vt:lpstr>'Old Colony Life'!ND_FINANCIAL</vt:lpstr>
      <vt:lpstr>'Old Faithful'!ND_FINANCIAL</vt:lpstr>
      <vt:lpstr>'Pacific Standard'!ND_FINANCIAL</vt:lpstr>
      <vt:lpstr>'Pen  Treaty'!ND_FINANCIAL</vt:lpstr>
      <vt:lpstr>Reliance!ND_FINANCIAL</vt:lpstr>
      <vt:lpstr>SeeChange!ND_FINANCIAL</vt:lpstr>
      <vt:lpstr>'Senior American'!ND_FINANCIAL</vt:lpstr>
      <vt:lpstr>Settlers!ND_FINANCIAL</vt:lpstr>
      <vt:lpstr>Shenandoah!ND_FINANCIAL</vt:lpstr>
      <vt:lpstr>'Standard Life IN'!ND_FINANCIAL</vt:lpstr>
      <vt:lpstr>'States General'!ND_FINANCIAL</vt:lpstr>
      <vt:lpstr>Statesman!ND_FINANCIAL</vt:lpstr>
      <vt:lpstr>'Summit National'!ND_FINANCIAL</vt:lpstr>
      <vt:lpstr>Supreme!ND_FINANCIAL</vt:lpstr>
      <vt:lpstr>'Total Summary'!ND_FINANCIAL</vt:lpstr>
      <vt:lpstr>Underwriters!ND_FINANCIAL</vt:lpstr>
      <vt:lpstr>Unison!ND_FINANCIAL</vt:lpstr>
      <vt:lpstr>'United Republic'!ND_FINANCIAL</vt:lpstr>
      <vt:lpstr>'Universal Health Care'!ND_FINANCIAL</vt:lpstr>
      <vt:lpstr>'Universal Life'!ND_FINANCIAL</vt:lpstr>
      <vt:lpstr>Universe!ND_FINANCIAL</vt:lpstr>
      <vt:lpstr>Villanova!ND_FINANCIAL</vt:lpstr>
      <vt:lpstr>'Alabama Life'!NE_FINANCIAL</vt:lpstr>
      <vt:lpstr>'Amer Life Asr'!NE_FINANCIAL</vt:lpstr>
      <vt:lpstr>'Amer Std Life Acc'!NE_FINANCIAL</vt:lpstr>
      <vt:lpstr>'American Chambers'!NE_FINANCIAL</vt:lpstr>
      <vt:lpstr>'American Community'!NE_FINANCIAL</vt:lpstr>
      <vt:lpstr>'American Educators'!NE_FINANCIAL</vt:lpstr>
      <vt:lpstr>'American Integrity'!NE_FINANCIAL</vt:lpstr>
      <vt:lpstr>'American Network'!NE_FINANCIAL</vt:lpstr>
      <vt:lpstr>AmerWstrn!NE_FINANCIAL</vt:lpstr>
      <vt:lpstr>'AMS Life'!NE_FINANCIAL</vt:lpstr>
      <vt:lpstr>'Andrew Jackson'!NE_FINANCIAL</vt:lpstr>
      <vt:lpstr>'Bankers Commercial'!NE_FINANCIAL</vt:lpstr>
      <vt:lpstr>Benicorp!NE_FINANCIAL</vt:lpstr>
      <vt:lpstr>'Booker T Washington'!NE_FINANCIAL</vt:lpstr>
      <vt:lpstr>Centennial!NE_FINANCIAL</vt:lpstr>
      <vt:lpstr>'Coastal States'!NE_FINANCIAL</vt:lpstr>
      <vt:lpstr>'Colorado Health'!NE_FINANCIAL</vt:lpstr>
      <vt:lpstr>'Compass (dbs Meritus)'!NE_FINANCIAL</vt:lpstr>
      <vt:lpstr>'Confed Life &amp; Annty (CLIAC)'!NE_FINANCIAL</vt:lpstr>
      <vt:lpstr>'Confed Life (CLIC)'!NE_FINANCIAL</vt:lpstr>
      <vt:lpstr>'Consolidated National'!NE_FINANCIAL</vt:lpstr>
      <vt:lpstr>'Consumers Choice'!NE_FINANCIAL</vt:lpstr>
      <vt:lpstr>'Consumers Mutual'!NE_FINANCIAL</vt:lpstr>
      <vt:lpstr>'Consumers United'!NE_FINANCIAL</vt:lpstr>
      <vt:lpstr>CoOportunity!NE_FINANCIAL</vt:lpstr>
      <vt:lpstr>'Coordinated Hlth'!NE_FINANCIAL</vt:lpstr>
      <vt:lpstr>'Corporate Life'!NE_FINANCIAL</vt:lpstr>
      <vt:lpstr>'Diamond Benefits'!NE_FINANCIAL</vt:lpstr>
      <vt:lpstr>'EBL Life'!NE_FINANCIAL</vt:lpstr>
      <vt:lpstr>ELNY!NE_FINANCIAL</vt:lpstr>
      <vt:lpstr>'Executive Life'!NE_FINANCIAL</vt:lpstr>
      <vt:lpstr>'Family Guaranty'!NE_FINANCIAL</vt:lpstr>
      <vt:lpstr>'Farmers &amp; Ranchers'!NE_FINANCIAL</vt:lpstr>
      <vt:lpstr>'Fidelity Bankers'!NE_FINANCIAL</vt:lpstr>
      <vt:lpstr>'Fidelity Mutual'!NE_FINANCIAL</vt:lpstr>
      <vt:lpstr>'First Capital'!NE_FINANCIAL</vt:lpstr>
      <vt:lpstr>'First Natl'!NE_FINANCIAL</vt:lpstr>
      <vt:lpstr>'First Natl (Thrnr)'!NE_FINANCIAL</vt:lpstr>
      <vt:lpstr>'Franklin American'!NE_FINANCIAL</vt:lpstr>
      <vt:lpstr>'Franklin Protective'!NE_FINANCIAL</vt:lpstr>
      <vt:lpstr>'Freelancers CO-OP'!NE_FINANCIAL</vt:lpstr>
      <vt:lpstr>'George Washington'!NE_FINANCIAL</vt:lpstr>
      <vt:lpstr>'Golden State'!NE_FINANCIAL</vt:lpstr>
      <vt:lpstr>'Guarantee Security'!NE_FINANCIAL</vt:lpstr>
      <vt:lpstr>HealthyCT!NE_FINANCIAL</vt:lpstr>
      <vt:lpstr>Imerica!NE_FINANCIAL</vt:lpstr>
      <vt:lpstr>'Inter-American'!NE_FINANCIAL</vt:lpstr>
      <vt:lpstr>'International Fin'!NE_FINANCIAL</vt:lpstr>
      <vt:lpstr>'Investment Life of America'!NE_FINANCIAL</vt:lpstr>
      <vt:lpstr>'Investors Equity'!NE_FINANCIAL</vt:lpstr>
      <vt:lpstr>'Kentucky Central'!NE_FINANCIAL</vt:lpstr>
      <vt:lpstr>'Land of Lincoln'!NE_FINANCIAL</vt:lpstr>
      <vt:lpstr>Legion!NE_FINANCIAL</vt:lpstr>
      <vt:lpstr>'Life Health America'!NE_FINANCIAL</vt:lpstr>
      <vt:lpstr>'Lincoln Memorial'!NE_FINANCIAL</vt:lpstr>
      <vt:lpstr>'London Pac'!NE_FINANCIAL</vt:lpstr>
      <vt:lpstr>Lumbermens!NE_FINANCIAL</vt:lpstr>
      <vt:lpstr>'Medical Savings'!NE_FINANCIAL</vt:lpstr>
      <vt:lpstr>'Memorial Service'!NE_FINANCIAL</vt:lpstr>
      <vt:lpstr>Midcontinent!NE_FINANCIAL</vt:lpstr>
      <vt:lpstr>'Midwest Life'!NE_FINANCIAL</vt:lpstr>
      <vt:lpstr>'Monarch Life'!NE_FINANCIAL</vt:lpstr>
      <vt:lpstr>'Mutual Benefit'!NE_FINANCIAL</vt:lpstr>
      <vt:lpstr>'Mutual Security'!NE_FINANCIAL</vt:lpstr>
      <vt:lpstr>'National Affiliated'!NE_FINANCIAL</vt:lpstr>
      <vt:lpstr>'National Heritage'!NE_FINANCIAL</vt:lpstr>
      <vt:lpstr>'National States'!NE_FINANCIAL</vt:lpstr>
      <vt:lpstr>'Natl American'!NE_FINANCIAL</vt:lpstr>
      <vt:lpstr>'New Jersey Life'!NE_FINANCIAL</vt:lpstr>
      <vt:lpstr>NNIC!NE_FINANCIAL</vt:lpstr>
      <vt:lpstr>'Old Colony Life'!NE_FINANCIAL</vt:lpstr>
      <vt:lpstr>'Old Faithful'!NE_FINANCIAL</vt:lpstr>
      <vt:lpstr>'Pacific Standard'!NE_FINANCIAL</vt:lpstr>
      <vt:lpstr>'Pen  Treaty'!NE_FINANCIAL</vt:lpstr>
      <vt:lpstr>Reliance!NE_FINANCIAL</vt:lpstr>
      <vt:lpstr>SeeChange!NE_FINANCIAL</vt:lpstr>
      <vt:lpstr>'Senior American'!NE_FINANCIAL</vt:lpstr>
      <vt:lpstr>Settlers!NE_FINANCIAL</vt:lpstr>
      <vt:lpstr>Shenandoah!NE_FINANCIAL</vt:lpstr>
      <vt:lpstr>'Standard Life IN'!NE_FINANCIAL</vt:lpstr>
      <vt:lpstr>'States General'!NE_FINANCIAL</vt:lpstr>
      <vt:lpstr>Statesman!NE_FINANCIAL</vt:lpstr>
      <vt:lpstr>'Summit National'!NE_FINANCIAL</vt:lpstr>
      <vt:lpstr>Supreme!NE_FINANCIAL</vt:lpstr>
      <vt:lpstr>'Total Summary'!NE_FINANCIAL</vt:lpstr>
      <vt:lpstr>Underwriters!NE_FINANCIAL</vt:lpstr>
      <vt:lpstr>Unison!NE_FINANCIAL</vt:lpstr>
      <vt:lpstr>'United Republic'!NE_FINANCIAL</vt:lpstr>
      <vt:lpstr>'Universal Health Care'!NE_FINANCIAL</vt:lpstr>
      <vt:lpstr>'Universal Life'!NE_FINANCIAL</vt:lpstr>
      <vt:lpstr>Universe!NE_FINANCIAL</vt:lpstr>
      <vt:lpstr>Villanova!NE_FINANCIAL</vt:lpstr>
      <vt:lpstr>'Alabama Life'!NH_FINANCIAL</vt:lpstr>
      <vt:lpstr>'Amer Life Asr'!NH_FINANCIAL</vt:lpstr>
      <vt:lpstr>'Amer Std Life Acc'!NH_FINANCIAL</vt:lpstr>
      <vt:lpstr>'American Chambers'!NH_FINANCIAL</vt:lpstr>
      <vt:lpstr>'American Community'!NH_FINANCIAL</vt:lpstr>
      <vt:lpstr>'American Educators'!NH_FINANCIAL</vt:lpstr>
      <vt:lpstr>'American Integrity'!NH_FINANCIAL</vt:lpstr>
      <vt:lpstr>'American Network'!NH_FINANCIAL</vt:lpstr>
      <vt:lpstr>AmerWstrn!NH_FINANCIAL</vt:lpstr>
      <vt:lpstr>'AMS Life'!NH_FINANCIAL</vt:lpstr>
      <vt:lpstr>'Andrew Jackson'!NH_FINANCIAL</vt:lpstr>
      <vt:lpstr>'Bankers Commercial'!NH_FINANCIAL</vt:lpstr>
      <vt:lpstr>Benicorp!NH_FINANCIAL</vt:lpstr>
      <vt:lpstr>'Booker T Washington'!NH_FINANCIAL</vt:lpstr>
      <vt:lpstr>Centennial!NH_FINANCIAL</vt:lpstr>
      <vt:lpstr>'Coastal States'!NH_FINANCIAL</vt:lpstr>
      <vt:lpstr>'Colorado Health'!NH_FINANCIAL</vt:lpstr>
      <vt:lpstr>'Compass (dbs Meritus)'!NH_FINANCIAL</vt:lpstr>
      <vt:lpstr>'Confed Life &amp; Annty (CLIAC)'!NH_FINANCIAL</vt:lpstr>
      <vt:lpstr>'Confed Life (CLIC)'!NH_FINANCIAL</vt:lpstr>
      <vt:lpstr>'Consolidated National'!NH_FINANCIAL</vt:lpstr>
      <vt:lpstr>'Consumers Choice'!NH_FINANCIAL</vt:lpstr>
      <vt:lpstr>'Consumers Mutual'!NH_FINANCIAL</vt:lpstr>
      <vt:lpstr>'Consumers United'!NH_FINANCIAL</vt:lpstr>
      <vt:lpstr>CoOportunity!NH_FINANCIAL</vt:lpstr>
      <vt:lpstr>'Coordinated Hlth'!NH_FINANCIAL</vt:lpstr>
      <vt:lpstr>'Corporate Life'!NH_FINANCIAL</vt:lpstr>
      <vt:lpstr>'Diamond Benefits'!NH_FINANCIAL</vt:lpstr>
      <vt:lpstr>'EBL Life'!NH_FINANCIAL</vt:lpstr>
      <vt:lpstr>ELNY!NH_FINANCIAL</vt:lpstr>
      <vt:lpstr>'Executive Life'!NH_FINANCIAL</vt:lpstr>
      <vt:lpstr>'Family Guaranty'!NH_FINANCIAL</vt:lpstr>
      <vt:lpstr>'Farmers &amp; Ranchers'!NH_FINANCIAL</vt:lpstr>
      <vt:lpstr>'Fidelity Bankers'!NH_FINANCIAL</vt:lpstr>
      <vt:lpstr>'Fidelity Mutual'!NH_FINANCIAL</vt:lpstr>
      <vt:lpstr>'First Capital'!NH_FINANCIAL</vt:lpstr>
      <vt:lpstr>'First Natl'!NH_FINANCIAL</vt:lpstr>
      <vt:lpstr>'First Natl (Thrnr)'!NH_FINANCIAL</vt:lpstr>
      <vt:lpstr>'Franklin American'!NH_FINANCIAL</vt:lpstr>
      <vt:lpstr>'Franklin Protective'!NH_FINANCIAL</vt:lpstr>
      <vt:lpstr>'Freelancers CO-OP'!NH_FINANCIAL</vt:lpstr>
      <vt:lpstr>'George Washington'!NH_FINANCIAL</vt:lpstr>
      <vt:lpstr>'Golden State'!NH_FINANCIAL</vt:lpstr>
      <vt:lpstr>'Guarantee Security'!NH_FINANCIAL</vt:lpstr>
      <vt:lpstr>HealthyCT!NH_FINANCIAL</vt:lpstr>
      <vt:lpstr>Imerica!NH_FINANCIAL</vt:lpstr>
      <vt:lpstr>'Inter-American'!NH_FINANCIAL</vt:lpstr>
      <vt:lpstr>'International Fin'!NH_FINANCIAL</vt:lpstr>
      <vt:lpstr>'Investment Life of America'!NH_FINANCIAL</vt:lpstr>
      <vt:lpstr>'Investors Equity'!NH_FINANCIAL</vt:lpstr>
      <vt:lpstr>'Kentucky Central'!NH_FINANCIAL</vt:lpstr>
      <vt:lpstr>'Land of Lincoln'!NH_FINANCIAL</vt:lpstr>
      <vt:lpstr>Legion!NH_FINANCIAL</vt:lpstr>
      <vt:lpstr>'Life Health America'!NH_FINANCIAL</vt:lpstr>
      <vt:lpstr>'Lincoln Memorial'!NH_FINANCIAL</vt:lpstr>
      <vt:lpstr>'London Pac'!NH_FINANCIAL</vt:lpstr>
      <vt:lpstr>Lumbermens!NH_FINANCIAL</vt:lpstr>
      <vt:lpstr>'Medical Savings'!NH_FINANCIAL</vt:lpstr>
      <vt:lpstr>'Memorial Service'!NH_FINANCIAL</vt:lpstr>
      <vt:lpstr>Midcontinent!NH_FINANCIAL</vt:lpstr>
      <vt:lpstr>'Midwest Life'!NH_FINANCIAL</vt:lpstr>
      <vt:lpstr>'Monarch Life'!NH_FINANCIAL</vt:lpstr>
      <vt:lpstr>'Mutual Benefit'!NH_FINANCIAL</vt:lpstr>
      <vt:lpstr>'Mutual Security'!NH_FINANCIAL</vt:lpstr>
      <vt:lpstr>'National Affiliated'!NH_FINANCIAL</vt:lpstr>
      <vt:lpstr>'National Heritage'!NH_FINANCIAL</vt:lpstr>
      <vt:lpstr>'National States'!NH_FINANCIAL</vt:lpstr>
      <vt:lpstr>'Natl American'!NH_FINANCIAL</vt:lpstr>
      <vt:lpstr>'New Jersey Life'!NH_FINANCIAL</vt:lpstr>
      <vt:lpstr>NNIC!NH_FINANCIAL</vt:lpstr>
      <vt:lpstr>'Old Colony Life'!NH_FINANCIAL</vt:lpstr>
      <vt:lpstr>'Old Faithful'!NH_FINANCIAL</vt:lpstr>
      <vt:lpstr>'Pacific Standard'!NH_FINANCIAL</vt:lpstr>
      <vt:lpstr>'Pen  Treaty'!NH_FINANCIAL</vt:lpstr>
      <vt:lpstr>Reliance!NH_FINANCIAL</vt:lpstr>
      <vt:lpstr>SeeChange!NH_FINANCIAL</vt:lpstr>
      <vt:lpstr>'Senior American'!NH_FINANCIAL</vt:lpstr>
      <vt:lpstr>Settlers!NH_FINANCIAL</vt:lpstr>
      <vt:lpstr>Shenandoah!NH_FINANCIAL</vt:lpstr>
      <vt:lpstr>'Standard Life IN'!NH_FINANCIAL</vt:lpstr>
      <vt:lpstr>'States General'!NH_FINANCIAL</vt:lpstr>
      <vt:lpstr>Statesman!NH_FINANCIAL</vt:lpstr>
      <vt:lpstr>'Summit National'!NH_FINANCIAL</vt:lpstr>
      <vt:lpstr>Supreme!NH_FINANCIAL</vt:lpstr>
      <vt:lpstr>'Total Summary'!NH_FINANCIAL</vt:lpstr>
      <vt:lpstr>Underwriters!NH_FINANCIAL</vt:lpstr>
      <vt:lpstr>Unison!NH_FINANCIAL</vt:lpstr>
      <vt:lpstr>'United Republic'!NH_FINANCIAL</vt:lpstr>
      <vt:lpstr>'Universal Health Care'!NH_FINANCIAL</vt:lpstr>
      <vt:lpstr>'Universal Life'!NH_FINANCIAL</vt:lpstr>
      <vt:lpstr>Universe!NH_FINANCIAL</vt:lpstr>
      <vt:lpstr>Villanova!NH_FINANCIAL</vt:lpstr>
      <vt:lpstr>'Alabama Life'!NJ_FINANCIAL</vt:lpstr>
      <vt:lpstr>'Amer Life Asr'!NJ_FINANCIAL</vt:lpstr>
      <vt:lpstr>'Amer Std Life Acc'!NJ_FINANCIAL</vt:lpstr>
      <vt:lpstr>'American Chambers'!NJ_FINANCIAL</vt:lpstr>
      <vt:lpstr>'American Community'!NJ_FINANCIAL</vt:lpstr>
      <vt:lpstr>'American Educators'!NJ_FINANCIAL</vt:lpstr>
      <vt:lpstr>'American Integrity'!NJ_FINANCIAL</vt:lpstr>
      <vt:lpstr>'American Network'!NJ_FINANCIAL</vt:lpstr>
      <vt:lpstr>AmerWstrn!NJ_FINANCIAL</vt:lpstr>
      <vt:lpstr>'AMS Life'!NJ_FINANCIAL</vt:lpstr>
      <vt:lpstr>'Andrew Jackson'!NJ_FINANCIAL</vt:lpstr>
      <vt:lpstr>'Bankers Commercial'!NJ_FINANCIAL</vt:lpstr>
      <vt:lpstr>Benicorp!NJ_FINANCIAL</vt:lpstr>
      <vt:lpstr>'Booker T Washington'!NJ_FINANCIAL</vt:lpstr>
      <vt:lpstr>Centennial!NJ_FINANCIAL</vt:lpstr>
      <vt:lpstr>'Coastal States'!NJ_FINANCIAL</vt:lpstr>
      <vt:lpstr>'Colorado Health'!NJ_FINANCIAL</vt:lpstr>
      <vt:lpstr>'Compass (dbs Meritus)'!NJ_FINANCIAL</vt:lpstr>
      <vt:lpstr>'Confed Life &amp; Annty (CLIAC)'!NJ_FINANCIAL</vt:lpstr>
      <vt:lpstr>'Confed Life (CLIC)'!NJ_FINANCIAL</vt:lpstr>
      <vt:lpstr>'Consolidated National'!NJ_FINANCIAL</vt:lpstr>
      <vt:lpstr>'Consumers Choice'!NJ_FINANCIAL</vt:lpstr>
      <vt:lpstr>'Consumers Mutual'!NJ_FINANCIAL</vt:lpstr>
      <vt:lpstr>'Consumers United'!NJ_FINANCIAL</vt:lpstr>
      <vt:lpstr>CoOportunity!NJ_FINANCIAL</vt:lpstr>
      <vt:lpstr>'Coordinated Hlth'!NJ_FINANCIAL</vt:lpstr>
      <vt:lpstr>'Corporate Life'!NJ_FINANCIAL</vt:lpstr>
      <vt:lpstr>'Diamond Benefits'!NJ_FINANCIAL</vt:lpstr>
      <vt:lpstr>'EBL Life'!NJ_FINANCIAL</vt:lpstr>
      <vt:lpstr>ELNY!NJ_FINANCIAL</vt:lpstr>
      <vt:lpstr>'Executive Life'!NJ_FINANCIAL</vt:lpstr>
      <vt:lpstr>'Family Guaranty'!NJ_FINANCIAL</vt:lpstr>
      <vt:lpstr>'Farmers &amp; Ranchers'!NJ_FINANCIAL</vt:lpstr>
      <vt:lpstr>'Fidelity Bankers'!NJ_FINANCIAL</vt:lpstr>
      <vt:lpstr>'Fidelity Mutual'!NJ_FINANCIAL</vt:lpstr>
      <vt:lpstr>'First Capital'!NJ_FINANCIAL</vt:lpstr>
      <vt:lpstr>'First Natl'!NJ_FINANCIAL</vt:lpstr>
      <vt:lpstr>'First Natl (Thrnr)'!NJ_FINANCIAL</vt:lpstr>
      <vt:lpstr>'Franklin American'!NJ_FINANCIAL</vt:lpstr>
      <vt:lpstr>'Franklin Protective'!NJ_FINANCIAL</vt:lpstr>
      <vt:lpstr>'Freelancers CO-OP'!NJ_FINANCIAL</vt:lpstr>
      <vt:lpstr>'George Washington'!NJ_FINANCIAL</vt:lpstr>
      <vt:lpstr>'Golden State'!NJ_FINANCIAL</vt:lpstr>
      <vt:lpstr>'Guarantee Security'!NJ_FINANCIAL</vt:lpstr>
      <vt:lpstr>HealthyCT!NJ_FINANCIAL</vt:lpstr>
      <vt:lpstr>Imerica!NJ_FINANCIAL</vt:lpstr>
      <vt:lpstr>'Inter-American'!NJ_FINANCIAL</vt:lpstr>
      <vt:lpstr>'International Fin'!NJ_FINANCIAL</vt:lpstr>
      <vt:lpstr>'Investment Life of America'!NJ_FINANCIAL</vt:lpstr>
      <vt:lpstr>'Investors Equity'!NJ_FINANCIAL</vt:lpstr>
      <vt:lpstr>'Kentucky Central'!NJ_FINANCIAL</vt:lpstr>
      <vt:lpstr>'Land of Lincoln'!NJ_FINANCIAL</vt:lpstr>
      <vt:lpstr>Legion!NJ_FINANCIAL</vt:lpstr>
      <vt:lpstr>'Life Health America'!NJ_FINANCIAL</vt:lpstr>
      <vt:lpstr>'Lincoln Memorial'!NJ_FINANCIAL</vt:lpstr>
      <vt:lpstr>'London Pac'!NJ_FINANCIAL</vt:lpstr>
      <vt:lpstr>Lumbermens!NJ_FINANCIAL</vt:lpstr>
      <vt:lpstr>'Medical Savings'!NJ_FINANCIAL</vt:lpstr>
      <vt:lpstr>'Memorial Service'!NJ_FINANCIAL</vt:lpstr>
      <vt:lpstr>Midcontinent!NJ_FINANCIAL</vt:lpstr>
      <vt:lpstr>'Midwest Life'!NJ_FINANCIAL</vt:lpstr>
      <vt:lpstr>'Monarch Life'!NJ_FINANCIAL</vt:lpstr>
      <vt:lpstr>'Mutual Benefit'!NJ_FINANCIAL</vt:lpstr>
      <vt:lpstr>'Mutual Security'!NJ_FINANCIAL</vt:lpstr>
      <vt:lpstr>'National Affiliated'!NJ_FINANCIAL</vt:lpstr>
      <vt:lpstr>'National Heritage'!NJ_FINANCIAL</vt:lpstr>
      <vt:lpstr>'National States'!NJ_FINANCIAL</vt:lpstr>
      <vt:lpstr>'Natl American'!NJ_FINANCIAL</vt:lpstr>
      <vt:lpstr>'New Jersey Life'!NJ_FINANCIAL</vt:lpstr>
      <vt:lpstr>NNIC!NJ_FINANCIAL</vt:lpstr>
      <vt:lpstr>'Old Colony Life'!NJ_FINANCIAL</vt:lpstr>
      <vt:lpstr>'Old Faithful'!NJ_FINANCIAL</vt:lpstr>
      <vt:lpstr>'Pacific Standard'!NJ_FINANCIAL</vt:lpstr>
      <vt:lpstr>'Pen  Treaty'!NJ_FINANCIAL</vt:lpstr>
      <vt:lpstr>Reliance!NJ_FINANCIAL</vt:lpstr>
      <vt:lpstr>SeeChange!NJ_FINANCIAL</vt:lpstr>
      <vt:lpstr>'Senior American'!NJ_FINANCIAL</vt:lpstr>
      <vt:lpstr>Settlers!NJ_FINANCIAL</vt:lpstr>
      <vt:lpstr>Shenandoah!NJ_FINANCIAL</vt:lpstr>
      <vt:lpstr>'Standard Life IN'!NJ_FINANCIAL</vt:lpstr>
      <vt:lpstr>'States General'!NJ_FINANCIAL</vt:lpstr>
      <vt:lpstr>Statesman!NJ_FINANCIAL</vt:lpstr>
      <vt:lpstr>'Summit National'!NJ_FINANCIAL</vt:lpstr>
      <vt:lpstr>Supreme!NJ_FINANCIAL</vt:lpstr>
      <vt:lpstr>'Total Summary'!NJ_FINANCIAL</vt:lpstr>
      <vt:lpstr>Underwriters!NJ_FINANCIAL</vt:lpstr>
      <vt:lpstr>Unison!NJ_FINANCIAL</vt:lpstr>
      <vt:lpstr>'United Republic'!NJ_FINANCIAL</vt:lpstr>
      <vt:lpstr>'Universal Health Care'!NJ_FINANCIAL</vt:lpstr>
      <vt:lpstr>'Universal Life'!NJ_FINANCIAL</vt:lpstr>
      <vt:lpstr>Universe!NJ_FINANCIAL</vt:lpstr>
      <vt:lpstr>Villanova!NJ_FINANCIAL</vt:lpstr>
      <vt:lpstr>'Alabama Life'!NM_FINANCIAL</vt:lpstr>
      <vt:lpstr>'Amer Life Asr'!NM_FINANCIAL</vt:lpstr>
      <vt:lpstr>'Amer Std Life Acc'!NM_FINANCIAL</vt:lpstr>
      <vt:lpstr>'American Chambers'!NM_FINANCIAL</vt:lpstr>
      <vt:lpstr>'American Community'!NM_FINANCIAL</vt:lpstr>
      <vt:lpstr>'American Educators'!NM_FINANCIAL</vt:lpstr>
      <vt:lpstr>'American Integrity'!NM_FINANCIAL</vt:lpstr>
      <vt:lpstr>'American Network'!NM_FINANCIAL</vt:lpstr>
      <vt:lpstr>AmerWstrn!NM_FINANCIAL</vt:lpstr>
      <vt:lpstr>'AMS Life'!NM_FINANCIAL</vt:lpstr>
      <vt:lpstr>'Andrew Jackson'!NM_FINANCIAL</vt:lpstr>
      <vt:lpstr>'Bankers Commercial'!NM_FINANCIAL</vt:lpstr>
      <vt:lpstr>Benicorp!NM_FINANCIAL</vt:lpstr>
      <vt:lpstr>'Booker T Washington'!NM_FINANCIAL</vt:lpstr>
      <vt:lpstr>Centennial!NM_FINANCIAL</vt:lpstr>
      <vt:lpstr>'Coastal States'!NM_FINANCIAL</vt:lpstr>
      <vt:lpstr>'Colorado Health'!NM_FINANCIAL</vt:lpstr>
      <vt:lpstr>'Compass (dbs Meritus)'!NM_FINANCIAL</vt:lpstr>
      <vt:lpstr>'Confed Life &amp; Annty (CLIAC)'!NM_FINANCIAL</vt:lpstr>
      <vt:lpstr>'Confed Life (CLIC)'!NM_FINANCIAL</vt:lpstr>
      <vt:lpstr>'Consolidated National'!NM_FINANCIAL</vt:lpstr>
      <vt:lpstr>'Consumers Choice'!NM_FINANCIAL</vt:lpstr>
      <vt:lpstr>'Consumers Mutual'!NM_FINANCIAL</vt:lpstr>
      <vt:lpstr>'Consumers United'!NM_FINANCIAL</vt:lpstr>
      <vt:lpstr>CoOportunity!NM_FINANCIAL</vt:lpstr>
      <vt:lpstr>'Coordinated Hlth'!NM_FINANCIAL</vt:lpstr>
      <vt:lpstr>'Corporate Life'!NM_FINANCIAL</vt:lpstr>
      <vt:lpstr>'Diamond Benefits'!NM_FINANCIAL</vt:lpstr>
      <vt:lpstr>'EBL Life'!NM_FINANCIAL</vt:lpstr>
      <vt:lpstr>ELNY!NM_FINANCIAL</vt:lpstr>
      <vt:lpstr>'Executive Life'!NM_FINANCIAL</vt:lpstr>
      <vt:lpstr>'Family Guaranty'!NM_FINANCIAL</vt:lpstr>
      <vt:lpstr>'Farmers &amp; Ranchers'!NM_FINANCIAL</vt:lpstr>
      <vt:lpstr>'Fidelity Bankers'!NM_FINANCIAL</vt:lpstr>
      <vt:lpstr>'Fidelity Mutual'!NM_FINANCIAL</vt:lpstr>
      <vt:lpstr>'First Capital'!NM_FINANCIAL</vt:lpstr>
      <vt:lpstr>'First Natl'!NM_FINANCIAL</vt:lpstr>
      <vt:lpstr>'First Natl (Thrnr)'!NM_FINANCIAL</vt:lpstr>
      <vt:lpstr>'Franklin American'!NM_FINANCIAL</vt:lpstr>
      <vt:lpstr>'Franklin Protective'!NM_FINANCIAL</vt:lpstr>
      <vt:lpstr>'Freelancers CO-OP'!NM_FINANCIAL</vt:lpstr>
      <vt:lpstr>'George Washington'!NM_FINANCIAL</vt:lpstr>
      <vt:lpstr>'Golden State'!NM_FINANCIAL</vt:lpstr>
      <vt:lpstr>'Guarantee Security'!NM_FINANCIAL</vt:lpstr>
      <vt:lpstr>HealthyCT!NM_FINANCIAL</vt:lpstr>
      <vt:lpstr>Imerica!NM_FINANCIAL</vt:lpstr>
      <vt:lpstr>'Inter-American'!NM_FINANCIAL</vt:lpstr>
      <vt:lpstr>'International Fin'!NM_FINANCIAL</vt:lpstr>
      <vt:lpstr>'Investment Life of America'!NM_FINANCIAL</vt:lpstr>
      <vt:lpstr>'Investors Equity'!NM_FINANCIAL</vt:lpstr>
      <vt:lpstr>'Kentucky Central'!NM_FINANCIAL</vt:lpstr>
      <vt:lpstr>'Land of Lincoln'!NM_FINANCIAL</vt:lpstr>
      <vt:lpstr>Legion!NM_FINANCIAL</vt:lpstr>
      <vt:lpstr>'Life Health America'!NM_FINANCIAL</vt:lpstr>
      <vt:lpstr>'Lincoln Memorial'!NM_FINANCIAL</vt:lpstr>
      <vt:lpstr>'London Pac'!NM_FINANCIAL</vt:lpstr>
      <vt:lpstr>Lumbermens!NM_FINANCIAL</vt:lpstr>
      <vt:lpstr>'Medical Savings'!NM_FINANCIAL</vt:lpstr>
      <vt:lpstr>'Memorial Service'!NM_FINANCIAL</vt:lpstr>
      <vt:lpstr>Midcontinent!NM_FINANCIAL</vt:lpstr>
      <vt:lpstr>'Midwest Life'!NM_FINANCIAL</vt:lpstr>
      <vt:lpstr>'Monarch Life'!NM_FINANCIAL</vt:lpstr>
      <vt:lpstr>'Mutual Benefit'!NM_FINANCIAL</vt:lpstr>
      <vt:lpstr>'Mutual Security'!NM_FINANCIAL</vt:lpstr>
      <vt:lpstr>'National Affiliated'!NM_FINANCIAL</vt:lpstr>
      <vt:lpstr>'National Heritage'!NM_FINANCIAL</vt:lpstr>
      <vt:lpstr>'National States'!NM_FINANCIAL</vt:lpstr>
      <vt:lpstr>'Natl American'!NM_FINANCIAL</vt:lpstr>
      <vt:lpstr>'New Jersey Life'!NM_FINANCIAL</vt:lpstr>
      <vt:lpstr>NNIC!NM_FINANCIAL</vt:lpstr>
      <vt:lpstr>'Old Colony Life'!NM_FINANCIAL</vt:lpstr>
      <vt:lpstr>'Old Faithful'!NM_FINANCIAL</vt:lpstr>
      <vt:lpstr>'Pacific Standard'!NM_FINANCIAL</vt:lpstr>
      <vt:lpstr>'Pen  Treaty'!NM_FINANCIAL</vt:lpstr>
      <vt:lpstr>Reliance!NM_FINANCIAL</vt:lpstr>
      <vt:lpstr>SeeChange!NM_FINANCIAL</vt:lpstr>
      <vt:lpstr>'Senior American'!NM_FINANCIAL</vt:lpstr>
      <vt:lpstr>Settlers!NM_FINANCIAL</vt:lpstr>
      <vt:lpstr>Shenandoah!NM_FINANCIAL</vt:lpstr>
      <vt:lpstr>'Standard Life IN'!NM_FINANCIAL</vt:lpstr>
      <vt:lpstr>'States General'!NM_FINANCIAL</vt:lpstr>
      <vt:lpstr>Statesman!NM_FINANCIAL</vt:lpstr>
      <vt:lpstr>'Summit National'!NM_FINANCIAL</vt:lpstr>
      <vt:lpstr>Supreme!NM_FINANCIAL</vt:lpstr>
      <vt:lpstr>'Total Summary'!NM_FINANCIAL</vt:lpstr>
      <vt:lpstr>Underwriters!NM_FINANCIAL</vt:lpstr>
      <vt:lpstr>Unison!NM_FINANCIAL</vt:lpstr>
      <vt:lpstr>'United Republic'!NM_FINANCIAL</vt:lpstr>
      <vt:lpstr>'Universal Health Care'!NM_FINANCIAL</vt:lpstr>
      <vt:lpstr>'Universal Life'!NM_FINANCIAL</vt:lpstr>
      <vt:lpstr>Universe!NM_FINANCIAL</vt:lpstr>
      <vt:lpstr>Villanova!NM_FINANCIAL</vt:lpstr>
      <vt:lpstr>'Alabama Life'!NV_FINANCIAL</vt:lpstr>
      <vt:lpstr>'Amer Life Asr'!NV_FINANCIAL</vt:lpstr>
      <vt:lpstr>'Amer Std Life Acc'!NV_FINANCIAL</vt:lpstr>
      <vt:lpstr>'American Chambers'!NV_FINANCIAL</vt:lpstr>
      <vt:lpstr>'American Community'!NV_FINANCIAL</vt:lpstr>
      <vt:lpstr>'American Educators'!NV_FINANCIAL</vt:lpstr>
      <vt:lpstr>'American Integrity'!NV_FINANCIAL</vt:lpstr>
      <vt:lpstr>'American Network'!NV_FINANCIAL</vt:lpstr>
      <vt:lpstr>AmerWstrn!NV_FINANCIAL</vt:lpstr>
      <vt:lpstr>'AMS Life'!NV_FINANCIAL</vt:lpstr>
      <vt:lpstr>'Andrew Jackson'!NV_FINANCIAL</vt:lpstr>
      <vt:lpstr>'Bankers Commercial'!NV_FINANCIAL</vt:lpstr>
      <vt:lpstr>Benicorp!NV_FINANCIAL</vt:lpstr>
      <vt:lpstr>'Booker T Washington'!NV_FINANCIAL</vt:lpstr>
      <vt:lpstr>Centennial!NV_FINANCIAL</vt:lpstr>
      <vt:lpstr>'Coastal States'!NV_FINANCIAL</vt:lpstr>
      <vt:lpstr>'Colorado Health'!NV_FINANCIAL</vt:lpstr>
      <vt:lpstr>'Compass (dbs Meritus)'!NV_FINANCIAL</vt:lpstr>
      <vt:lpstr>'Confed Life &amp; Annty (CLIAC)'!NV_FINANCIAL</vt:lpstr>
      <vt:lpstr>'Confed Life (CLIC)'!NV_FINANCIAL</vt:lpstr>
      <vt:lpstr>'Consolidated National'!NV_FINANCIAL</vt:lpstr>
      <vt:lpstr>'Consumers Choice'!NV_FINANCIAL</vt:lpstr>
      <vt:lpstr>'Consumers Mutual'!NV_FINANCIAL</vt:lpstr>
      <vt:lpstr>'Consumers United'!NV_FINANCIAL</vt:lpstr>
      <vt:lpstr>CoOportunity!NV_FINANCIAL</vt:lpstr>
      <vt:lpstr>'Coordinated Hlth'!NV_FINANCIAL</vt:lpstr>
      <vt:lpstr>'Corporate Life'!NV_FINANCIAL</vt:lpstr>
      <vt:lpstr>'Diamond Benefits'!NV_FINANCIAL</vt:lpstr>
      <vt:lpstr>'EBL Life'!NV_FINANCIAL</vt:lpstr>
      <vt:lpstr>ELNY!NV_FINANCIAL</vt:lpstr>
      <vt:lpstr>'Executive Life'!NV_FINANCIAL</vt:lpstr>
      <vt:lpstr>'Family Guaranty'!NV_FINANCIAL</vt:lpstr>
      <vt:lpstr>'Farmers &amp; Ranchers'!NV_FINANCIAL</vt:lpstr>
      <vt:lpstr>'Fidelity Bankers'!NV_FINANCIAL</vt:lpstr>
      <vt:lpstr>'Fidelity Mutual'!NV_FINANCIAL</vt:lpstr>
      <vt:lpstr>'First Capital'!NV_FINANCIAL</vt:lpstr>
      <vt:lpstr>'First Natl'!NV_FINANCIAL</vt:lpstr>
      <vt:lpstr>'First Natl (Thrnr)'!NV_FINANCIAL</vt:lpstr>
      <vt:lpstr>'Franklin American'!NV_FINANCIAL</vt:lpstr>
      <vt:lpstr>'Franklin Protective'!NV_FINANCIAL</vt:lpstr>
      <vt:lpstr>'Freelancers CO-OP'!NV_FINANCIAL</vt:lpstr>
      <vt:lpstr>'George Washington'!NV_FINANCIAL</vt:lpstr>
      <vt:lpstr>'Golden State'!NV_FINANCIAL</vt:lpstr>
      <vt:lpstr>'Guarantee Security'!NV_FINANCIAL</vt:lpstr>
      <vt:lpstr>HealthyCT!NV_FINANCIAL</vt:lpstr>
      <vt:lpstr>Imerica!NV_FINANCIAL</vt:lpstr>
      <vt:lpstr>'Inter-American'!NV_FINANCIAL</vt:lpstr>
      <vt:lpstr>'International Fin'!NV_FINANCIAL</vt:lpstr>
      <vt:lpstr>'Investment Life of America'!NV_FINANCIAL</vt:lpstr>
      <vt:lpstr>'Investors Equity'!NV_FINANCIAL</vt:lpstr>
      <vt:lpstr>'Kentucky Central'!NV_FINANCIAL</vt:lpstr>
      <vt:lpstr>'Land of Lincoln'!NV_FINANCIAL</vt:lpstr>
      <vt:lpstr>Legion!NV_FINANCIAL</vt:lpstr>
      <vt:lpstr>'Life Health America'!NV_FINANCIAL</vt:lpstr>
      <vt:lpstr>'Lincoln Memorial'!NV_FINANCIAL</vt:lpstr>
      <vt:lpstr>'London Pac'!NV_FINANCIAL</vt:lpstr>
      <vt:lpstr>Lumbermens!NV_FINANCIAL</vt:lpstr>
      <vt:lpstr>'Medical Savings'!NV_FINANCIAL</vt:lpstr>
      <vt:lpstr>'Memorial Service'!NV_FINANCIAL</vt:lpstr>
      <vt:lpstr>Midcontinent!NV_FINANCIAL</vt:lpstr>
      <vt:lpstr>'Midwest Life'!NV_FINANCIAL</vt:lpstr>
      <vt:lpstr>'Monarch Life'!NV_FINANCIAL</vt:lpstr>
      <vt:lpstr>'Mutual Benefit'!NV_FINANCIAL</vt:lpstr>
      <vt:lpstr>'Mutual Security'!NV_FINANCIAL</vt:lpstr>
      <vt:lpstr>'National Affiliated'!NV_FINANCIAL</vt:lpstr>
      <vt:lpstr>'National Heritage'!NV_FINANCIAL</vt:lpstr>
      <vt:lpstr>'National States'!NV_FINANCIAL</vt:lpstr>
      <vt:lpstr>'Natl American'!NV_FINANCIAL</vt:lpstr>
      <vt:lpstr>'New Jersey Life'!NV_FINANCIAL</vt:lpstr>
      <vt:lpstr>NNIC!NV_FINANCIAL</vt:lpstr>
      <vt:lpstr>'Old Colony Life'!NV_FINANCIAL</vt:lpstr>
      <vt:lpstr>'Old Faithful'!NV_FINANCIAL</vt:lpstr>
      <vt:lpstr>'Pacific Standard'!NV_FINANCIAL</vt:lpstr>
      <vt:lpstr>'Pen  Treaty'!NV_FINANCIAL</vt:lpstr>
      <vt:lpstr>Reliance!NV_FINANCIAL</vt:lpstr>
      <vt:lpstr>SeeChange!NV_FINANCIAL</vt:lpstr>
      <vt:lpstr>'Senior American'!NV_FINANCIAL</vt:lpstr>
      <vt:lpstr>Settlers!NV_FINANCIAL</vt:lpstr>
      <vt:lpstr>Shenandoah!NV_FINANCIAL</vt:lpstr>
      <vt:lpstr>'Standard Life IN'!NV_FINANCIAL</vt:lpstr>
      <vt:lpstr>'States General'!NV_FINANCIAL</vt:lpstr>
      <vt:lpstr>Statesman!NV_FINANCIAL</vt:lpstr>
      <vt:lpstr>'Summit National'!NV_FINANCIAL</vt:lpstr>
      <vt:lpstr>Supreme!NV_FINANCIAL</vt:lpstr>
      <vt:lpstr>'Total Summary'!NV_FINANCIAL</vt:lpstr>
      <vt:lpstr>Underwriters!NV_FINANCIAL</vt:lpstr>
      <vt:lpstr>Unison!NV_FINANCIAL</vt:lpstr>
      <vt:lpstr>'United Republic'!NV_FINANCIAL</vt:lpstr>
      <vt:lpstr>'Universal Health Care'!NV_FINANCIAL</vt:lpstr>
      <vt:lpstr>'Universal Life'!NV_FINANCIAL</vt:lpstr>
      <vt:lpstr>Universe!NV_FINANCIAL</vt:lpstr>
      <vt:lpstr>Villanova!NV_FINANCIAL</vt:lpstr>
      <vt:lpstr>'Alabama Life'!NY_FINANCIAL</vt:lpstr>
      <vt:lpstr>'Amer Life Asr'!NY_FINANCIAL</vt:lpstr>
      <vt:lpstr>'Amer Std Life Acc'!NY_FINANCIAL</vt:lpstr>
      <vt:lpstr>'American Chambers'!NY_FINANCIAL</vt:lpstr>
      <vt:lpstr>'American Community'!NY_FINANCIAL</vt:lpstr>
      <vt:lpstr>'American Educators'!NY_FINANCIAL</vt:lpstr>
      <vt:lpstr>'American Integrity'!NY_FINANCIAL</vt:lpstr>
      <vt:lpstr>'American Network'!NY_FINANCIAL</vt:lpstr>
      <vt:lpstr>AmerWstrn!NY_FINANCIAL</vt:lpstr>
      <vt:lpstr>'AMS Life'!NY_FINANCIAL</vt:lpstr>
      <vt:lpstr>'Andrew Jackson'!NY_FINANCIAL</vt:lpstr>
      <vt:lpstr>'Bankers Commercial'!NY_FINANCIAL</vt:lpstr>
      <vt:lpstr>Benicorp!NY_FINANCIAL</vt:lpstr>
      <vt:lpstr>'Booker T Washington'!NY_FINANCIAL</vt:lpstr>
      <vt:lpstr>Centennial!NY_FINANCIAL</vt:lpstr>
      <vt:lpstr>'Coastal States'!NY_FINANCIAL</vt:lpstr>
      <vt:lpstr>'Colorado Health'!NY_FINANCIAL</vt:lpstr>
      <vt:lpstr>'Compass (dbs Meritus)'!NY_FINANCIAL</vt:lpstr>
      <vt:lpstr>'Confed Life &amp; Annty (CLIAC)'!NY_FINANCIAL</vt:lpstr>
      <vt:lpstr>'Confed Life (CLIC)'!NY_FINANCIAL</vt:lpstr>
      <vt:lpstr>'Consolidated National'!NY_FINANCIAL</vt:lpstr>
      <vt:lpstr>'Consumers Choice'!NY_FINANCIAL</vt:lpstr>
      <vt:lpstr>'Consumers Mutual'!NY_FINANCIAL</vt:lpstr>
      <vt:lpstr>'Consumers United'!NY_FINANCIAL</vt:lpstr>
      <vt:lpstr>CoOportunity!NY_FINANCIAL</vt:lpstr>
      <vt:lpstr>'Coordinated Hlth'!NY_FINANCIAL</vt:lpstr>
      <vt:lpstr>'Corporate Life'!NY_FINANCIAL</vt:lpstr>
      <vt:lpstr>'Diamond Benefits'!NY_FINANCIAL</vt:lpstr>
      <vt:lpstr>'EBL Life'!NY_FINANCIAL</vt:lpstr>
      <vt:lpstr>ELNY!NY_FINANCIAL</vt:lpstr>
      <vt:lpstr>'Executive Life'!NY_FINANCIAL</vt:lpstr>
      <vt:lpstr>'Family Guaranty'!NY_FINANCIAL</vt:lpstr>
      <vt:lpstr>'Farmers &amp; Ranchers'!NY_FINANCIAL</vt:lpstr>
      <vt:lpstr>'Fidelity Bankers'!NY_FINANCIAL</vt:lpstr>
      <vt:lpstr>'Fidelity Mutual'!NY_FINANCIAL</vt:lpstr>
      <vt:lpstr>'First Capital'!NY_FINANCIAL</vt:lpstr>
      <vt:lpstr>'First Natl'!NY_FINANCIAL</vt:lpstr>
      <vt:lpstr>'First Natl (Thrnr)'!NY_FINANCIAL</vt:lpstr>
      <vt:lpstr>'Franklin American'!NY_FINANCIAL</vt:lpstr>
      <vt:lpstr>'Franklin Protective'!NY_FINANCIAL</vt:lpstr>
      <vt:lpstr>'Freelancers CO-OP'!NY_FINANCIAL</vt:lpstr>
      <vt:lpstr>'George Washington'!NY_FINANCIAL</vt:lpstr>
      <vt:lpstr>'Golden State'!NY_FINANCIAL</vt:lpstr>
      <vt:lpstr>'Guarantee Security'!NY_FINANCIAL</vt:lpstr>
      <vt:lpstr>HealthyCT!NY_FINANCIAL</vt:lpstr>
      <vt:lpstr>Imerica!NY_FINANCIAL</vt:lpstr>
      <vt:lpstr>'Inter-American'!NY_FINANCIAL</vt:lpstr>
      <vt:lpstr>'International Fin'!NY_FINANCIAL</vt:lpstr>
      <vt:lpstr>'Investment Life of America'!NY_FINANCIAL</vt:lpstr>
      <vt:lpstr>'Investors Equity'!NY_FINANCIAL</vt:lpstr>
      <vt:lpstr>'Kentucky Central'!NY_FINANCIAL</vt:lpstr>
      <vt:lpstr>'Land of Lincoln'!NY_FINANCIAL</vt:lpstr>
      <vt:lpstr>Legion!NY_FINANCIAL</vt:lpstr>
      <vt:lpstr>'Life Health America'!NY_FINANCIAL</vt:lpstr>
      <vt:lpstr>'Lincoln Memorial'!NY_FINANCIAL</vt:lpstr>
      <vt:lpstr>'London Pac'!NY_FINANCIAL</vt:lpstr>
      <vt:lpstr>Lumbermens!NY_FINANCIAL</vt:lpstr>
      <vt:lpstr>'Medical Savings'!NY_FINANCIAL</vt:lpstr>
      <vt:lpstr>'Memorial Service'!NY_FINANCIAL</vt:lpstr>
      <vt:lpstr>Midcontinent!NY_FINANCIAL</vt:lpstr>
      <vt:lpstr>'Midwest Life'!NY_FINANCIAL</vt:lpstr>
      <vt:lpstr>'Monarch Life'!NY_FINANCIAL</vt:lpstr>
      <vt:lpstr>'Mutual Benefit'!NY_FINANCIAL</vt:lpstr>
      <vt:lpstr>'Mutual Security'!NY_FINANCIAL</vt:lpstr>
      <vt:lpstr>'National Affiliated'!NY_FINANCIAL</vt:lpstr>
      <vt:lpstr>'National Heritage'!NY_FINANCIAL</vt:lpstr>
      <vt:lpstr>'National States'!NY_FINANCIAL</vt:lpstr>
      <vt:lpstr>'Natl American'!NY_FINANCIAL</vt:lpstr>
      <vt:lpstr>'New Jersey Life'!NY_FINANCIAL</vt:lpstr>
      <vt:lpstr>NNIC!NY_FINANCIAL</vt:lpstr>
      <vt:lpstr>'Old Colony Life'!NY_FINANCIAL</vt:lpstr>
      <vt:lpstr>'Old Faithful'!NY_FINANCIAL</vt:lpstr>
      <vt:lpstr>'Pacific Standard'!NY_FINANCIAL</vt:lpstr>
      <vt:lpstr>'Pen  Treaty'!NY_FINANCIAL</vt:lpstr>
      <vt:lpstr>Reliance!NY_FINANCIAL</vt:lpstr>
      <vt:lpstr>SeeChange!NY_FINANCIAL</vt:lpstr>
      <vt:lpstr>'Senior American'!NY_FINANCIAL</vt:lpstr>
      <vt:lpstr>Settlers!NY_FINANCIAL</vt:lpstr>
      <vt:lpstr>Shenandoah!NY_FINANCIAL</vt:lpstr>
      <vt:lpstr>'Standard Life IN'!NY_FINANCIAL</vt:lpstr>
      <vt:lpstr>'States General'!NY_FINANCIAL</vt:lpstr>
      <vt:lpstr>Statesman!NY_FINANCIAL</vt:lpstr>
      <vt:lpstr>'Summit National'!NY_FINANCIAL</vt:lpstr>
      <vt:lpstr>Supreme!NY_FINANCIAL</vt:lpstr>
      <vt:lpstr>'Total Summary'!NY_FINANCIAL</vt:lpstr>
      <vt:lpstr>Underwriters!NY_FINANCIAL</vt:lpstr>
      <vt:lpstr>Unison!NY_FINANCIAL</vt:lpstr>
      <vt:lpstr>'United Republic'!NY_FINANCIAL</vt:lpstr>
      <vt:lpstr>'Universal Health Care'!NY_FINANCIAL</vt:lpstr>
      <vt:lpstr>'Universal Life'!NY_FINANCIAL</vt:lpstr>
      <vt:lpstr>Universe!NY_FINANCIAL</vt:lpstr>
      <vt:lpstr>Villanova!NY_FINANCIAL</vt:lpstr>
      <vt:lpstr>'Alabama Life'!OH_FINANCIAL</vt:lpstr>
      <vt:lpstr>'Amer Life Asr'!OH_FINANCIAL</vt:lpstr>
      <vt:lpstr>'Amer Std Life Acc'!OH_FINANCIAL</vt:lpstr>
      <vt:lpstr>'American Chambers'!OH_FINANCIAL</vt:lpstr>
      <vt:lpstr>'American Community'!OH_FINANCIAL</vt:lpstr>
      <vt:lpstr>'American Educators'!OH_FINANCIAL</vt:lpstr>
      <vt:lpstr>'American Integrity'!OH_FINANCIAL</vt:lpstr>
      <vt:lpstr>'American Network'!OH_FINANCIAL</vt:lpstr>
      <vt:lpstr>AmerWstrn!OH_FINANCIAL</vt:lpstr>
      <vt:lpstr>'AMS Life'!OH_FINANCIAL</vt:lpstr>
      <vt:lpstr>'Andrew Jackson'!OH_FINANCIAL</vt:lpstr>
      <vt:lpstr>'Bankers Commercial'!OH_FINANCIAL</vt:lpstr>
      <vt:lpstr>Benicorp!OH_FINANCIAL</vt:lpstr>
      <vt:lpstr>'Booker T Washington'!OH_FINANCIAL</vt:lpstr>
      <vt:lpstr>Centennial!OH_FINANCIAL</vt:lpstr>
      <vt:lpstr>'Coastal States'!OH_FINANCIAL</vt:lpstr>
      <vt:lpstr>'Colorado Health'!OH_FINANCIAL</vt:lpstr>
      <vt:lpstr>'Compass (dbs Meritus)'!OH_FINANCIAL</vt:lpstr>
      <vt:lpstr>'Confed Life &amp; Annty (CLIAC)'!OH_FINANCIAL</vt:lpstr>
      <vt:lpstr>'Confed Life (CLIC)'!OH_FINANCIAL</vt:lpstr>
      <vt:lpstr>'Consolidated National'!OH_FINANCIAL</vt:lpstr>
      <vt:lpstr>'Consumers Choice'!OH_FINANCIAL</vt:lpstr>
      <vt:lpstr>'Consumers Mutual'!OH_FINANCIAL</vt:lpstr>
      <vt:lpstr>'Consumers United'!OH_FINANCIAL</vt:lpstr>
      <vt:lpstr>CoOportunity!OH_FINANCIAL</vt:lpstr>
      <vt:lpstr>'Coordinated Hlth'!OH_FINANCIAL</vt:lpstr>
      <vt:lpstr>'Corporate Life'!OH_FINANCIAL</vt:lpstr>
      <vt:lpstr>'Diamond Benefits'!OH_FINANCIAL</vt:lpstr>
      <vt:lpstr>'EBL Life'!OH_FINANCIAL</vt:lpstr>
      <vt:lpstr>ELNY!OH_FINANCIAL</vt:lpstr>
      <vt:lpstr>'Executive Life'!OH_FINANCIAL</vt:lpstr>
      <vt:lpstr>'Family Guaranty'!OH_FINANCIAL</vt:lpstr>
      <vt:lpstr>'Farmers &amp; Ranchers'!OH_FINANCIAL</vt:lpstr>
      <vt:lpstr>'Fidelity Bankers'!OH_FINANCIAL</vt:lpstr>
      <vt:lpstr>'Fidelity Mutual'!OH_FINANCIAL</vt:lpstr>
      <vt:lpstr>'First Capital'!OH_FINANCIAL</vt:lpstr>
      <vt:lpstr>'First Natl'!OH_FINANCIAL</vt:lpstr>
      <vt:lpstr>'First Natl (Thrnr)'!OH_FINANCIAL</vt:lpstr>
      <vt:lpstr>'Franklin American'!OH_FINANCIAL</vt:lpstr>
      <vt:lpstr>'Franklin Protective'!OH_FINANCIAL</vt:lpstr>
      <vt:lpstr>'Freelancers CO-OP'!OH_FINANCIAL</vt:lpstr>
      <vt:lpstr>'George Washington'!OH_FINANCIAL</vt:lpstr>
      <vt:lpstr>'Golden State'!OH_FINANCIAL</vt:lpstr>
      <vt:lpstr>'Guarantee Security'!OH_FINANCIAL</vt:lpstr>
      <vt:lpstr>HealthyCT!OH_FINANCIAL</vt:lpstr>
      <vt:lpstr>Imerica!OH_FINANCIAL</vt:lpstr>
      <vt:lpstr>'Inter-American'!OH_FINANCIAL</vt:lpstr>
      <vt:lpstr>'International Fin'!OH_FINANCIAL</vt:lpstr>
      <vt:lpstr>'Investment Life of America'!OH_FINANCIAL</vt:lpstr>
      <vt:lpstr>'Investors Equity'!OH_FINANCIAL</vt:lpstr>
      <vt:lpstr>'Kentucky Central'!OH_FINANCIAL</vt:lpstr>
      <vt:lpstr>'Land of Lincoln'!OH_FINANCIAL</vt:lpstr>
      <vt:lpstr>Legion!OH_FINANCIAL</vt:lpstr>
      <vt:lpstr>'Life Health America'!OH_FINANCIAL</vt:lpstr>
      <vt:lpstr>'Lincoln Memorial'!OH_FINANCIAL</vt:lpstr>
      <vt:lpstr>'London Pac'!OH_FINANCIAL</vt:lpstr>
      <vt:lpstr>Lumbermens!OH_FINANCIAL</vt:lpstr>
      <vt:lpstr>'Medical Savings'!OH_FINANCIAL</vt:lpstr>
      <vt:lpstr>'Memorial Service'!OH_FINANCIAL</vt:lpstr>
      <vt:lpstr>Midcontinent!OH_FINANCIAL</vt:lpstr>
      <vt:lpstr>'Midwest Life'!OH_FINANCIAL</vt:lpstr>
      <vt:lpstr>'Monarch Life'!OH_FINANCIAL</vt:lpstr>
      <vt:lpstr>'Mutual Benefit'!OH_FINANCIAL</vt:lpstr>
      <vt:lpstr>'Mutual Security'!OH_FINANCIAL</vt:lpstr>
      <vt:lpstr>'National Affiliated'!OH_FINANCIAL</vt:lpstr>
      <vt:lpstr>'National Heritage'!OH_FINANCIAL</vt:lpstr>
      <vt:lpstr>'National States'!OH_FINANCIAL</vt:lpstr>
      <vt:lpstr>'Natl American'!OH_FINANCIAL</vt:lpstr>
      <vt:lpstr>'New Jersey Life'!OH_FINANCIAL</vt:lpstr>
      <vt:lpstr>NNIC!OH_FINANCIAL</vt:lpstr>
      <vt:lpstr>'Old Colony Life'!OH_FINANCIAL</vt:lpstr>
      <vt:lpstr>'Old Faithful'!OH_FINANCIAL</vt:lpstr>
      <vt:lpstr>'Pacific Standard'!OH_FINANCIAL</vt:lpstr>
      <vt:lpstr>'Pen  Treaty'!OH_FINANCIAL</vt:lpstr>
      <vt:lpstr>Reliance!OH_FINANCIAL</vt:lpstr>
      <vt:lpstr>SeeChange!OH_FINANCIAL</vt:lpstr>
      <vt:lpstr>'Senior American'!OH_FINANCIAL</vt:lpstr>
      <vt:lpstr>Settlers!OH_FINANCIAL</vt:lpstr>
      <vt:lpstr>Shenandoah!OH_FINANCIAL</vt:lpstr>
      <vt:lpstr>'Standard Life IN'!OH_FINANCIAL</vt:lpstr>
      <vt:lpstr>'States General'!OH_FINANCIAL</vt:lpstr>
      <vt:lpstr>Statesman!OH_FINANCIAL</vt:lpstr>
      <vt:lpstr>'Summit National'!OH_FINANCIAL</vt:lpstr>
      <vt:lpstr>Supreme!OH_FINANCIAL</vt:lpstr>
      <vt:lpstr>'Total Summary'!OH_FINANCIAL</vt:lpstr>
      <vt:lpstr>Underwriters!OH_FINANCIAL</vt:lpstr>
      <vt:lpstr>Unison!OH_FINANCIAL</vt:lpstr>
      <vt:lpstr>'United Republic'!OH_FINANCIAL</vt:lpstr>
      <vt:lpstr>'Universal Health Care'!OH_FINANCIAL</vt:lpstr>
      <vt:lpstr>'Universal Life'!OH_FINANCIAL</vt:lpstr>
      <vt:lpstr>Universe!OH_FINANCIAL</vt:lpstr>
      <vt:lpstr>Villanova!OH_FINANCIAL</vt:lpstr>
      <vt:lpstr>'Alabama Life'!OK_FINANCIAL</vt:lpstr>
      <vt:lpstr>'Amer Life Asr'!OK_FINANCIAL</vt:lpstr>
      <vt:lpstr>'Amer Std Life Acc'!OK_FINANCIAL</vt:lpstr>
      <vt:lpstr>'American Chambers'!OK_FINANCIAL</vt:lpstr>
      <vt:lpstr>'American Community'!OK_FINANCIAL</vt:lpstr>
      <vt:lpstr>'American Educators'!OK_FINANCIAL</vt:lpstr>
      <vt:lpstr>'American Integrity'!OK_FINANCIAL</vt:lpstr>
      <vt:lpstr>'American Network'!OK_FINANCIAL</vt:lpstr>
      <vt:lpstr>AmerWstrn!OK_FINANCIAL</vt:lpstr>
      <vt:lpstr>'AMS Life'!OK_FINANCIAL</vt:lpstr>
      <vt:lpstr>'Andrew Jackson'!OK_FINANCIAL</vt:lpstr>
      <vt:lpstr>'Bankers Commercial'!OK_FINANCIAL</vt:lpstr>
      <vt:lpstr>Benicorp!OK_FINANCIAL</vt:lpstr>
      <vt:lpstr>'Booker T Washington'!OK_FINANCIAL</vt:lpstr>
      <vt:lpstr>Centennial!OK_FINANCIAL</vt:lpstr>
      <vt:lpstr>'Coastal States'!OK_FINANCIAL</vt:lpstr>
      <vt:lpstr>'Colorado Health'!OK_FINANCIAL</vt:lpstr>
      <vt:lpstr>'Compass (dbs Meritus)'!OK_FINANCIAL</vt:lpstr>
      <vt:lpstr>'Confed Life &amp; Annty (CLIAC)'!OK_FINANCIAL</vt:lpstr>
      <vt:lpstr>'Confed Life (CLIC)'!OK_FINANCIAL</vt:lpstr>
      <vt:lpstr>'Consolidated National'!OK_FINANCIAL</vt:lpstr>
      <vt:lpstr>'Consumers Choice'!OK_FINANCIAL</vt:lpstr>
      <vt:lpstr>'Consumers Mutual'!OK_FINANCIAL</vt:lpstr>
      <vt:lpstr>'Consumers United'!OK_FINANCIAL</vt:lpstr>
      <vt:lpstr>CoOportunity!OK_FINANCIAL</vt:lpstr>
      <vt:lpstr>'Coordinated Hlth'!OK_FINANCIAL</vt:lpstr>
      <vt:lpstr>'Corporate Life'!OK_FINANCIAL</vt:lpstr>
      <vt:lpstr>'Diamond Benefits'!OK_FINANCIAL</vt:lpstr>
      <vt:lpstr>'EBL Life'!OK_FINANCIAL</vt:lpstr>
      <vt:lpstr>ELNY!OK_FINANCIAL</vt:lpstr>
      <vt:lpstr>'Executive Life'!OK_FINANCIAL</vt:lpstr>
      <vt:lpstr>'Family Guaranty'!OK_FINANCIAL</vt:lpstr>
      <vt:lpstr>'Farmers &amp; Ranchers'!OK_FINANCIAL</vt:lpstr>
      <vt:lpstr>'Fidelity Bankers'!OK_FINANCIAL</vt:lpstr>
      <vt:lpstr>'Fidelity Mutual'!OK_FINANCIAL</vt:lpstr>
      <vt:lpstr>'First Capital'!OK_FINANCIAL</vt:lpstr>
      <vt:lpstr>'First Natl'!OK_FINANCIAL</vt:lpstr>
      <vt:lpstr>'First Natl (Thrnr)'!OK_FINANCIAL</vt:lpstr>
      <vt:lpstr>'Franklin American'!OK_FINANCIAL</vt:lpstr>
      <vt:lpstr>'Franklin Protective'!OK_FINANCIAL</vt:lpstr>
      <vt:lpstr>'Freelancers CO-OP'!OK_FINANCIAL</vt:lpstr>
      <vt:lpstr>'George Washington'!OK_FINANCIAL</vt:lpstr>
      <vt:lpstr>'Golden State'!OK_FINANCIAL</vt:lpstr>
      <vt:lpstr>'Guarantee Security'!OK_FINANCIAL</vt:lpstr>
      <vt:lpstr>HealthyCT!OK_FINANCIAL</vt:lpstr>
      <vt:lpstr>Imerica!OK_FINANCIAL</vt:lpstr>
      <vt:lpstr>'Inter-American'!OK_FINANCIAL</vt:lpstr>
      <vt:lpstr>'International Fin'!OK_FINANCIAL</vt:lpstr>
      <vt:lpstr>'Investment Life of America'!OK_FINANCIAL</vt:lpstr>
      <vt:lpstr>'Investors Equity'!OK_FINANCIAL</vt:lpstr>
      <vt:lpstr>'Kentucky Central'!OK_FINANCIAL</vt:lpstr>
      <vt:lpstr>'Land of Lincoln'!OK_FINANCIAL</vt:lpstr>
      <vt:lpstr>Legion!OK_FINANCIAL</vt:lpstr>
      <vt:lpstr>'Life Health America'!OK_FINANCIAL</vt:lpstr>
      <vt:lpstr>'Lincoln Memorial'!OK_FINANCIAL</vt:lpstr>
      <vt:lpstr>'London Pac'!OK_FINANCIAL</vt:lpstr>
      <vt:lpstr>Lumbermens!OK_FINANCIAL</vt:lpstr>
      <vt:lpstr>'Medical Savings'!OK_FINANCIAL</vt:lpstr>
      <vt:lpstr>'Memorial Service'!OK_FINANCIAL</vt:lpstr>
      <vt:lpstr>Midcontinent!OK_FINANCIAL</vt:lpstr>
      <vt:lpstr>'Midwest Life'!OK_FINANCIAL</vt:lpstr>
      <vt:lpstr>'Monarch Life'!OK_FINANCIAL</vt:lpstr>
      <vt:lpstr>'Mutual Benefit'!OK_FINANCIAL</vt:lpstr>
      <vt:lpstr>'Mutual Security'!OK_FINANCIAL</vt:lpstr>
      <vt:lpstr>'National Affiliated'!OK_FINANCIAL</vt:lpstr>
      <vt:lpstr>'National Heritage'!OK_FINANCIAL</vt:lpstr>
      <vt:lpstr>'National States'!OK_FINANCIAL</vt:lpstr>
      <vt:lpstr>'Natl American'!OK_FINANCIAL</vt:lpstr>
      <vt:lpstr>'New Jersey Life'!OK_FINANCIAL</vt:lpstr>
      <vt:lpstr>NNIC!OK_FINANCIAL</vt:lpstr>
      <vt:lpstr>'Old Colony Life'!OK_FINANCIAL</vt:lpstr>
      <vt:lpstr>'Old Faithful'!OK_FINANCIAL</vt:lpstr>
      <vt:lpstr>'Pacific Standard'!OK_FINANCIAL</vt:lpstr>
      <vt:lpstr>'Pen  Treaty'!OK_FINANCIAL</vt:lpstr>
      <vt:lpstr>Reliance!OK_FINANCIAL</vt:lpstr>
      <vt:lpstr>SeeChange!OK_FINANCIAL</vt:lpstr>
      <vt:lpstr>'Senior American'!OK_FINANCIAL</vt:lpstr>
      <vt:lpstr>Settlers!OK_FINANCIAL</vt:lpstr>
      <vt:lpstr>Shenandoah!OK_FINANCIAL</vt:lpstr>
      <vt:lpstr>'Standard Life IN'!OK_FINANCIAL</vt:lpstr>
      <vt:lpstr>'States General'!OK_FINANCIAL</vt:lpstr>
      <vt:lpstr>Statesman!OK_FINANCIAL</vt:lpstr>
      <vt:lpstr>'Summit National'!OK_FINANCIAL</vt:lpstr>
      <vt:lpstr>Supreme!OK_FINANCIAL</vt:lpstr>
      <vt:lpstr>'Total Summary'!OK_FINANCIAL</vt:lpstr>
      <vt:lpstr>Underwriters!OK_FINANCIAL</vt:lpstr>
      <vt:lpstr>Unison!OK_FINANCIAL</vt:lpstr>
      <vt:lpstr>'United Republic'!OK_FINANCIAL</vt:lpstr>
      <vt:lpstr>'Universal Health Care'!OK_FINANCIAL</vt:lpstr>
      <vt:lpstr>'Universal Life'!OK_FINANCIAL</vt:lpstr>
      <vt:lpstr>Universe!OK_FINANCIAL</vt:lpstr>
      <vt:lpstr>Villanova!OK_FINANCIAL</vt:lpstr>
      <vt:lpstr>Summary!OP_ALLOC_CALLED</vt:lpstr>
      <vt:lpstr>Summary!OP_ALLOC_REFUNDED</vt:lpstr>
      <vt:lpstr>Summary!OP_ALLOCATED</vt:lpstr>
      <vt:lpstr>Summary!OP_CHANGE</vt:lpstr>
      <vt:lpstr>Summary!OP_HEALTH</vt:lpstr>
      <vt:lpstr>Summary!OP_HEALTH_CALLED</vt:lpstr>
      <vt:lpstr>Summary!OP_HEALTH_REFUNDED</vt:lpstr>
      <vt:lpstr>Summary!OP_LIFE</vt:lpstr>
      <vt:lpstr>Summary!OP_LIFE_CALLED</vt:lpstr>
      <vt:lpstr>Summary!OP_LIFE_REFUNDED</vt:lpstr>
      <vt:lpstr>Summary!OP_LTC</vt:lpstr>
      <vt:lpstr>Summary!OP_RECON</vt:lpstr>
      <vt:lpstr>Summary!OP_TOTAL</vt:lpstr>
      <vt:lpstr>Summary!OP_TOTAL_PREV</vt:lpstr>
      <vt:lpstr>Summary!OP_UNALLOC_CALLED</vt:lpstr>
      <vt:lpstr>Summary!OP_UNALLOC_REFUNDED</vt:lpstr>
      <vt:lpstr>Summary!OP_UNALLOCATED</vt:lpstr>
      <vt:lpstr>'Alabama Life'!OR_FINANCIAL</vt:lpstr>
      <vt:lpstr>'Amer Life Asr'!OR_FINANCIAL</vt:lpstr>
      <vt:lpstr>'Amer Std Life Acc'!OR_FINANCIAL</vt:lpstr>
      <vt:lpstr>'American Chambers'!OR_FINANCIAL</vt:lpstr>
      <vt:lpstr>'American Community'!OR_FINANCIAL</vt:lpstr>
      <vt:lpstr>'American Educators'!OR_FINANCIAL</vt:lpstr>
      <vt:lpstr>'American Integrity'!OR_FINANCIAL</vt:lpstr>
      <vt:lpstr>'American Network'!OR_FINANCIAL</vt:lpstr>
      <vt:lpstr>AmerWstrn!OR_FINANCIAL</vt:lpstr>
      <vt:lpstr>'AMS Life'!OR_FINANCIAL</vt:lpstr>
      <vt:lpstr>'Andrew Jackson'!OR_FINANCIAL</vt:lpstr>
      <vt:lpstr>'Bankers Commercial'!OR_FINANCIAL</vt:lpstr>
      <vt:lpstr>Benicorp!OR_FINANCIAL</vt:lpstr>
      <vt:lpstr>'Booker T Washington'!OR_FINANCIAL</vt:lpstr>
      <vt:lpstr>Centennial!OR_FINANCIAL</vt:lpstr>
      <vt:lpstr>'Coastal States'!OR_FINANCIAL</vt:lpstr>
      <vt:lpstr>'Colorado Health'!OR_FINANCIAL</vt:lpstr>
      <vt:lpstr>'Compass (dbs Meritus)'!OR_FINANCIAL</vt:lpstr>
      <vt:lpstr>'Confed Life &amp; Annty (CLIAC)'!OR_FINANCIAL</vt:lpstr>
      <vt:lpstr>'Confed Life (CLIC)'!OR_FINANCIAL</vt:lpstr>
      <vt:lpstr>'Consolidated National'!OR_FINANCIAL</vt:lpstr>
      <vt:lpstr>'Consumers Choice'!OR_FINANCIAL</vt:lpstr>
      <vt:lpstr>'Consumers Mutual'!OR_FINANCIAL</vt:lpstr>
      <vt:lpstr>'Consumers United'!OR_FINANCIAL</vt:lpstr>
      <vt:lpstr>CoOportunity!OR_FINANCIAL</vt:lpstr>
      <vt:lpstr>'Coordinated Hlth'!OR_FINANCIAL</vt:lpstr>
      <vt:lpstr>'Corporate Life'!OR_FINANCIAL</vt:lpstr>
      <vt:lpstr>'Diamond Benefits'!OR_FINANCIAL</vt:lpstr>
      <vt:lpstr>'EBL Life'!OR_FINANCIAL</vt:lpstr>
      <vt:lpstr>ELNY!OR_FINANCIAL</vt:lpstr>
      <vt:lpstr>'Executive Life'!OR_FINANCIAL</vt:lpstr>
      <vt:lpstr>'Family Guaranty'!OR_FINANCIAL</vt:lpstr>
      <vt:lpstr>'Farmers &amp; Ranchers'!OR_FINANCIAL</vt:lpstr>
      <vt:lpstr>'Fidelity Bankers'!OR_FINANCIAL</vt:lpstr>
      <vt:lpstr>'Fidelity Mutual'!OR_FINANCIAL</vt:lpstr>
      <vt:lpstr>'First Capital'!OR_FINANCIAL</vt:lpstr>
      <vt:lpstr>'First Natl'!OR_FINANCIAL</vt:lpstr>
      <vt:lpstr>'First Natl (Thrnr)'!OR_FINANCIAL</vt:lpstr>
      <vt:lpstr>'Franklin American'!OR_FINANCIAL</vt:lpstr>
      <vt:lpstr>'Franklin Protective'!OR_FINANCIAL</vt:lpstr>
      <vt:lpstr>'Freelancers CO-OP'!OR_FINANCIAL</vt:lpstr>
      <vt:lpstr>'George Washington'!OR_FINANCIAL</vt:lpstr>
      <vt:lpstr>'Golden State'!OR_FINANCIAL</vt:lpstr>
      <vt:lpstr>'Guarantee Security'!OR_FINANCIAL</vt:lpstr>
      <vt:lpstr>HealthyCT!OR_FINANCIAL</vt:lpstr>
      <vt:lpstr>Imerica!OR_FINANCIAL</vt:lpstr>
      <vt:lpstr>'Inter-American'!OR_FINANCIAL</vt:lpstr>
      <vt:lpstr>'International Fin'!OR_FINANCIAL</vt:lpstr>
      <vt:lpstr>'Investment Life of America'!OR_FINANCIAL</vt:lpstr>
      <vt:lpstr>'Investors Equity'!OR_FINANCIAL</vt:lpstr>
      <vt:lpstr>'Kentucky Central'!OR_FINANCIAL</vt:lpstr>
      <vt:lpstr>'Land of Lincoln'!OR_FINANCIAL</vt:lpstr>
      <vt:lpstr>Legion!OR_FINANCIAL</vt:lpstr>
      <vt:lpstr>'Life Health America'!OR_FINANCIAL</vt:lpstr>
      <vt:lpstr>'Lincoln Memorial'!OR_FINANCIAL</vt:lpstr>
      <vt:lpstr>'London Pac'!OR_FINANCIAL</vt:lpstr>
      <vt:lpstr>Lumbermens!OR_FINANCIAL</vt:lpstr>
      <vt:lpstr>'Medical Savings'!OR_FINANCIAL</vt:lpstr>
      <vt:lpstr>'Memorial Service'!OR_FINANCIAL</vt:lpstr>
      <vt:lpstr>Midcontinent!OR_FINANCIAL</vt:lpstr>
      <vt:lpstr>'Midwest Life'!OR_FINANCIAL</vt:lpstr>
      <vt:lpstr>'Monarch Life'!OR_FINANCIAL</vt:lpstr>
      <vt:lpstr>'Mutual Benefit'!OR_FINANCIAL</vt:lpstr>
      <vt:lpstr>'Mutual Security'!OR_FINANCIAL</vt:lpstr>
      <vt:lpstr>'National Affiliated'!OR_FINANCIAL</vt:lpstr>
      <vt:lpstr>'National Heritage'!OR_FINANCIAL</vt:lpstr>
      <vt:lpstr>'National States'!OR_FINANCIAL</vt:lpstr>
      <vt:lpstr>'Natl American'!OR_FINANCIAL</vt:lpstr>
      <vt:lpstr>'New Jersey Life'!OR_FINANCIAL</vt:lpstr>
      <vt:lpstr>NNIC!OR_FINANCIAL</vt:lpstr>
      <vt:lpstr>'Old Colony Life'!OR_FINANCIAL</vt:lpstr>
      <vt:lpstr>'Old Faithful'!OR_FINANCIAL</vt:lpstr>
      <vt:lpstr>'Pacific Standard'!OR_FINANCIAL</vt:lpstr>
      <vt:lpstr>'Pen  Treaty'!OR_FINANCIAL</vt:lpstr>
      <vt:lpstr>Reliance!OR_FINANCIAL</vt:lpstr>
      <vt:lpstr>SeeChange!OR_FINANCIAL</vt:lpstr>
      <vt:lpstr>'Senior American'!OR_FINANCIAL</vt:lpstr>
      <vt:lpstr>Settlers!OR_FINANCIAL</vt:lpstr>
      <vt:lpstr>Shenandoah!OR_FINANCIAL</vt:lpstr>
      <vt:lpstr>'Standard Life IN'!OR_FINANCIAL</vt:lpstr>
      <vt:lpstr>'States General'!OR_FINANCIAL</vt:lpstr>
      <vt:lpstr>Statesman!OR_FINANCIAL</vt:lpstr>
      <vt:lpstr>'Summit National'!OR_FINANCIAL</vt:lpstr>
      <vt:lpstr>Supreme!OR_FINANCIAL</vt:lpstr>
      <vt:lpstr>'Total Summary'!OR_FINANCIAL</vt:lpstr>
      <vt:lpstr>Underwriters!OR_FINANCIAL</vt:lpstr>
      <vt:lpstr>Unison!OR_FINANCIAL</vt:lpstr>
      <vt:lpstr>'United Republic'!OR_FINANCIAL</vt:lpstr>
      <vt:lpstr>'Universal Health Care'!OR_FINANCIAL</vt:lpstr>
      <vt:lpstr>'Universal Life'!OR_FINANCIAL</vt:lpstr>
      <vt:lpstr>Universe!OR_FINANCIAL</vt:lpstr>
      <vt:lpstr>Villanova!OR_FINANCIAL</vt:lpstr>
      <vt:lpstr>'Alabama Life'!OT_FINANCIAL</vt:lpstr>
      <vt:lpstr>'Amer Life Asr'!OT_FINANCIAL</vt:lpstr>
      <vt:lpstr>'Amer Std Life Acc'!OT_FINANCIAL</vt:lpstr>
      <vt:lpstr>'American Chambers'!OT_FINANCIAL</vt:lpstr>
      <vt:lpstr>'American Community'!OT_FINANCIAL</vt:lpstr>
      <vt:lpstr>'American Educators'!OT_FINANCIAL</vt:lpstr>
      <vt:lpstr>'American Integrity'!OT_FINANCIAL</vt:lpstr>
      <vt:lpstr>'American Network'!OT_FINANCIAL</vt:lpstr>
      <vt:lpstr>AmerWstrn!OT_FINANCIAL</vt:lpstr>
      <vt:lpstr>'AMS Life'!OT_FINANCIAL</vt:lpstr>
      <vt:lpstr>'Andrew Jackson'!OT_FINANCIAL</vt:lpstr>
      <vt:lpstr>'Bankers Commercial'!OT_FINANCIAL</vt:lpstr>
      <vt:lpstr>Benicorp!OT_FINANCIAL</vt:lpstr>
      <vt:lpstr>'Booker T Washington'!OT_FINANCIAL</vt:lpstr>
      <vt:lpstr>Centennial!OT_FINANCIAL</vt:lpstr>
      <vt:lpstr>'Coastal States'!OT_FINANCIAL</vt:lpstr>
      <vt:lpstr>'Colorado Health'!OT_FINANCIAL</vt:lpstr>
      <vt:lpstr>'Compass (dbs Meritus)'!OT_FINANCIAL</vt:lpstr>
      <vt:lpstr>'Confed Life &amp; Annty (CLIAC)'!OT_FINANCIAL</vt:lpstr>
      <vt:lpstr>'Confed Life (CLIC)'!OT_FINANCIAL</vt:lpstr>
      <vt:lpstr>'Consolidated National'!OT_FINANCIAL</vt:lpstr>
      <vt:lpstr>'Consumers Choice'!OT_FINANCIAL</vt:lpstr>
      <vt:lpstr>'Consumers Mutual'!OT_FINANCIAL</vt:lpstr>
      <vt:lpstr>'Consumers United'!OT_FINANCIAL</vt:lpstr>
      <vt:lpstr>CoOportunity!OT_FINANCIAL</vt:lpstr>
      <vt:lpstr>'Coordinated Hlth'!OT_FINANCIAL</vt:lpstr>
      <vt:lpstr>'Corporate Life'!OT_FINANCIAL</vt:lpstr>
      <vt:lpstr>'Diamond Benefits'!OT_FINANCIAL</vt:lpstr>
      <vt:lpstr>'EBL Life'!OT_FINANCIAL</vt:lpstr>
      <vt:lpstr>ELNY!OT_FINANCIAL</vt:lpstr>
      <vt:lpstr>'Executive Life'!OT_FINANCIAL</vt:lpstr>
      <vt:lpstr>'Family Guaranty'!OT_FINANCIAL</vt:lpstr>
      <vt:lpstr>'Farmers &amp; Ranchers'!OT_FINANCIAL</vt:lpstr>
      <vt:lpstr>'Fidelity Bankers'!OT_FINANCIAL</vt:lpstr>
      <vt:lpstr>'Fidelity Mutual'!OT_FINANCIAL</vt:lpstr>
      <vt:lpstr>'First Capital'!OT_FINANCIAL</vt:lpstr>
      <vt:lpstr>'First Natl'!OT_FINANCIAL</vt:lpstr>
      <vt:lpstr>'First Natl (Thrnr)'!OT_FINANCIAL</vt:lpstr>
      <vt:lpstr>'Franklin American'!OT_FINANCIAL</vt:lpstr>
      <vt:lpstr>'Franklin Protective'!OT_FINANCIAL</vt:lpstr>
      <vt:lpstr>'Freelancers CO-OP'!OT_FINANCIAL</vt:lpstr>
      <vt:lpstr>'George Washington'!OT_FINANCIAL</vt:lpstr>
      <vt:lpstr>'Golden State'!OT_FINANCIAL</vt:lpstr>
      <vt:lpstr>'Guarantee Security'!OT_FINANCIAL</vt:lpstr>
      <vt:lpstr>HealthyCT!OT_FINANCIAL</vt:lpstr>
      <vt:lpstr>Imerica!OT_FINANCIAL</vt:lpstr>
      <vt:lpstr>'Inter-American'!OT_FINANCIAL</vt:lpstr>
      <vt:lpstr>'International Fin'!OT_FINANCIAL</vt:lpstr>
      <vt:lpstr>'Investment Life of America'!OT_FINANCIAL</vt:lpstr>
      <vt:lpstr>'Investors Equity'!OT_FINANCIAL</vt:lpstr>
      <vt:lpstr>'Kentucky Central'!OT_FINANCIAL</vt:lpstr>
      <vt:lpstr>'Land of Lincoln'!OT_FINANCIAL</vt:lpstr>
      <vt:lpstr>Legion!OT_FINANCIAL</vt:lpstr>
      <vt:lpstr>'Life Health America'!OT_FINANCIAL</vt:lpstr>
      <vt:lpstr>'Lincoln Memorial'!OT_FINANCIAL</vt:lpstr>
      <vt:lpstr>'London Pac'!OT_FINANCIAL</vt:lpstr>
      <vt:lpstr>Lumbermens!OT_FINANCIAL</vt:lpstr>
      <vt:lpstr>'Medical Savings'!OT_FINANCIAL</vt:lpstr>
      <vt:lpstr>'Memorial Service'!OT_FINANCIAL</vt:lpstr>
      <vt:lpstr>Midcontinent!OT_FINANCIAL</vt:lpstr>
      <vt:lpstr>'Midwest Life'!OT_FINANCIAL</vt:lpstr>
      <vt:lpstr>'Monarch Life'!OT_FINANCIAL</vt:lpstr>
      <vt:lpstr>'Mutual Benefit'!OT_FINANCIAL</vt:lpstr>
      <vt:lpstr>'Mutual Security'!OT_FINANCIAL</vt:lpstr>
      <vt:lpstr>'National Affiliated'!OT_FINANCIAL</vt:lpstr>
      <vt:lpstr>'National Heritage'!OT_FINANCIAL</vt:lpstr>
      <vt:lpstr>'National States'!OT_FINANCIAL</vt:lpstr>
      <vt:lpstr>'Natl American'!OT_FINANCIAL</vt:lpstr>
      <vt:lpstr>'New Jersey Life'!OT_FINANCIAL</vt:lpstr>
      <vt:lpstr>NNIC!OT_FINANCIAL</vt:lpstr>
      <vt:lpstr>'Old Colony Life'!OT_FINANCIAL</vt:lpstr>
      <vt:lpstr>'Old Faithful'!OT_FINANCIAL</vt:lpstr>
      <vt:lpstr>'Pacific Standard'!OT_FINANCIAL</vt:lpstr>
      <vt:lpstr>'Pen  Treaty'!OT_FINANCIAL</vt:lpstr>
      <vt:lpstr>Reliance!OT_FINANCIAL</vt:lpstr>
      <vt:lpstr>SeeChange!OT_FINANCIAL</vt:lpstr>
      <vt:lpstr>'Senior American'!OT_FINANCIAL</vt:lpstr>
      <vt:lpstr>Settlers!OT_FINANCIAL</vt:lpstr>
      <vt:lpstr>Shenandoah!OT_FINANCIAL</vt:lpstr>
      <vt:lpstr>'Standard Life IN'!OT_FINANCIAL</vt:lpstr>
      <vt:lpstr>'States General'!OT_FINANCIAL</vt:lpstr>
      <vt:lpstr>Statesman!OT_FINANCIAL</vt:lpstr>
      <vt:lpstr>'Summit National'!OT_FINANCIAL</vt:lpstr>
      <vt:lpstr>Supreme!OT_FINANCIAL</vt:lpstr>
      <vt:lpstr>'Total Summary'!OT_FINANCIAL</vt:lpstr>
      <vt:lpstr>Underwriters!OT_FINANCIAL</vt:lpstr>
      <vt:lpstr>Unison!OT_FINANCIAL</vt:lpstr>
      <vt:lpstr>'United Republic'!OT_FINANCIAL</vt:lpstr>
      <vt:lpstr>'Universal Health Care'!OT_FINANCIAL</vt:lpstr>
      <vt:lpstr>'Universal Life'!OT_FINANCIAL</vt:lpstr>
      <vt:lpstr>Universe!OT_FINANCIAL</vt:lpstr>
      <vt:lpstr>Villanova!OT_FINANCIAL</vt:lpstr>
      <vt:lpstr>'Alabama Life'!PA_FINANCIAL</vt:lpstr>
      <vt:lpstr>'Amer Life Asr'!PA_FINANCIAL</vt:lpstr>
      <vt:lpstr>'Amer Std Life Acc'!PA_FINANCIAL</vt:lpstr>
      <vt:lpstr>'American Chambers'!PA_FINANCIAL</vt:lpstr>
      <vt:lpstr>'American Community'!PA_FINANCIAL</vt:lpstr>
      <vt:lpstr>'American Educators'!PA_FINANCIAL</vt:lpstr>
      <vt:lpstr>'American Integrity'!PA_FINANCIAL</vt:lpstr>
      <vt:lpstr>'American Network'!PA_FINANCIAL</vt:lpstr>
      <vt:lpstr>AmerWstrn!PA_FINANCIAL</vt:lpstr>
      <vt:lpstr>'AMS Life'!PA_FINANCIAL</vt:lpstr>
      <vt:lpstr>'Andrew Jackson'!PA_FINANCIAL</vt:lpstr>
      <vt:lpstr>'Bankers Commercial'!PA_FINANCIAL</vt:lpstr>
      <vt:lpstr>Benicorp!PA_FINANCIAL</vt:lpstr>
      <vt:lpstr>'Booker T Washington'!PA_FINANCIAL</vt:lpstr>
      <vt:lpstr>Centennial!PA_FINANCIAL</vt:lpstr>
      <vt:lpstr>'Coastal States'!PA_FINANCIAL</vt:lpstr>
      <vt:lpstr>'Colorado Health'!PA_FINANCIAL</vt:lpstr>
      <vt:lpstr>'Compass (dbs Meritus)'!PA_FINANCIAL</vt:lpstr>
      <vt:lpstr>'Confed Life &amp; Annty (CLIAC)'!PA_FINANCIAL</vt:lpstr>
      <vt:lpstr>'Confed Life (CLIC)'!PA_FINANCIAL</vt:lpstr>
      <vt:lpstr>'Consolidated National'!PA_FINANCIAL</vt:lpstr>
      <vt:lpstr>'Consumers Choice'!PA_FINANCIAL</vt:lpstr>
      <vt:lpstr>'Consumers Mutual'!PA_FINANCIAL</vt:lpstr>
      <vt:lpstr>'Consumers United'!PA_FINANCIAL</vt:lpstr>
      <vt:lpstr>CoOportunity!PA_FINANCIAL</vt:lpstr>
      <vt:lpstr>'Coordinated Hlth'!PA_FINANCIAL</vt:lpstr>
      <vt:lpstr>'Corporate Life'!PA_FINANCIAL</vt:lpstr>
      <vt:lpstr>'Diamond Benefits'!PA_FINANCIAL</vt:lpstr>
      <vt:lpstr>'EBL Life'!PA_FINANCIAL</vt:lpstr>
      <vt:lpstr>ELNY!PA_FINANCIAL</vt:lpstr>
      <vt:lpstr>'Executive Life'!PA_FINANCIAL</vt:lpstr>
      <vt:lpstr>'Family Guaranty'!PA_FINANCIAL</vt:lpstr>
      <vt:lpstr>'Farmers &amp; Ranchers'!PA_FINANCIAL</vt:lpstr>
      <vt:lpstr>'Fidelity Bankers'!PA_FINANCIAL</vt:lpstr>
      <vt:lpstr>'Fidelity Mutual'!PA_FINANCIAL</vt:lpstr>
      <vt:lpstr>'First Capital'!PA_FINANCIAL</vt:lpstr>
      <vt:lpstr>'First Natl'!PA_FINANCIAL</vt:lpstr>
      <vt:lpstr>'First Natl (Thrnr)'!PA_FINANCIAL</vt:lpstr>
      <vt:lpstr>'Franklin American'!PA_FINANCIAL</vt:lpstr>
      <vt:lpstr>'Franklin Protective'!PA_FINANCIAL</vt:lpstr>
      <vt:lpstr>'Freelancers CO-OP'!PA_FINANCIAL</vt:lpstr>
      <vt:lpstr>'George Washington'!PA_FINANCIAL</vt:lpstr>
      <vt:lpstr>'Golden State'!PA_FINANCIAL</vt:lpstr>
      <vt:lpstr>'Guarantee Security'!PA_FINANCIAL</vt:lpstr>
      <vt:lpstr>HealthyCT!PA_FINANCIAL</vt:lpstr>
      <vt:lpstr>Imerica!PA_FINANCIAL</vt:lpstr>
      <vt:lpstr>'Inter-American'!PA_FINANCIAL</vt:lpstr>
      <vt:lpstr>'International Fin'!PA_FINANCIAL</vt:lpstr>
      <vt:lpstr>'Investment Life of America'!PA_FINANCIAL</vt:lpstr>
      <vt:lpstr>'Investors Equity'!PA_FINANCIAL</vt:lpstr>
      <vt:lpstr>'Kentucky Central'!PA_FINANCIAL</vt:lpstr>
      <vt:lpstr>'Land of Lincoln'!PA_FINANCIAL</vt:lpstr>
      <vt:lpstr>Legion!PA_FINANCIAL</vt:lpstr>
      <vt:lpstr>'Life Health America'!PA_FINANCIAL</vt:lpstr>
      <vt:lpstr>'Lincoln Memorial'!PA_FINANCIAL</vt:lpstr>
      <vt:lpstr>'London Pac'!PA_FINANCIAL</vt:lpstr>
      <vt:lpstr>Lumbermens!PA_FINANCIAL</vt:lpstr>
      <vt:lpstr>'Medical Savings'!PA_FINANCIAL</vt:lpstr>
      <vt:lpstr>'Memorial Service'!PA_FINANCIAL</vt:lpstr>
      <vt:lpstr>Midcontinent!PA_FINANCIAL</vt:lpstr>
      <vt:lpstr>'Midwest Life'!PA_FINANCIAL</vt:lpstr>
      <vt:lpstr>'Monarch Life'!PA_FINANCIAL</vt:lpstr>
      <vt:lpstr>'Mutual Benefit'!PA_FINANCIAL</vt:lpstr>
      <vt:lpstr>'Mutual Security'!PA_FINANCIAL</vt:lpstr>
      <vt:lpstr>'National Affiliated'!PA_FINANCIAL</vt:lpstr>
      <vt:lpstr>'National Heritage'!PA_FINANCIAL</vt:lpstr>
      <vt:lpstr>'National States'!PA_FINANCIAL</vt:lpstr>
      <vt:lpstr>'Natl American'!PA_FINANCIAL</vt:lpstr>
      <vt:lpstr>'New Jersey Life'!PA_FINANCIAL</vt:lpstr>
      <vt:lpstr>NNIC!PA_FINANCIAL</vt:lpstr>
      <vt:lpstr>'Old Colony Life'!PA_FINANCIAL</vt:lpstr>
      <vt:lpstr>'Old Faithful'!PA_FINANCIAL</vt:lpstr>
      <vt:lpstr>'Pacific Standard'!PA_FINANCIAL</vt:lpstr>
      <vt:lpstr>'Pen  Treaty'!PA_FINANCIAL</vt:lpstr>
      <vt:lpstr>Reliance!PA_FINANCIAL</vt:lpstr>
      <vt:lpstr>SeeChange!PA_FINANCIAL</vt:lpstr>
      <vt:lpstr>'Senior American'!PA_FINANCIAL</vt:lpstr>
      <vt:lpstr>Settlers!PA_FINANCIAL</vt:lpstr>
      <vt:lpstr>Shenandoah!PA_FINANCIAL</vt:lpstr>
      <vt:lpstr>'Standard Life IN'!PA_FINANCIAL</vt:lpstr>
      <vt:lpstr>'States General'!PA_FINANCIAL</vt:lpstr>
      <vt:lpstr>Statesman!PA_FINANCIAL</vt:lpstr>
      <vt:lpstr>'Summit National'!PA_FINANCIAL</vt:lpstr>
      <vt:lpstr>Supreme!PA_FINANCIAL</vt:lpstr>
      <vt:lpstr>'Total Summary'!PA_FINANCIAL</vt:lpstr>
      <vt:lpstr>Underwriters!PA_FINANCIAL</vt:lpstr>
      <vt:lpstr>Unison!PA_FINANCIAL</vt:lpstr>
      <vt:lpstr>'United Republic'!PA_FINANCIAL</vt:lpstr>
      <vt:lpstr>'Universal Health Care'!PA_FINANCIAL</vt:lpstr>
      <vt:lpstr>'Universal Life'!PA_FINANCIAL</vt:lpstr>
      <vt:lpstr>Universe!PA_FINANCIAL</vt:lpstr>
      <vt:lpstr>Villanova!PA_FINANCIAL</vt:lpstr>
      <vt:lpstr>Summary!PL_ALLOC_CALLED</vt:lpstr>
      <vt:lpstr>Summary!PL_ALLOC_REFUNDED</vt:lpstr>
      <vt:lpstr>Summary!PL_ALLOCATED</vt:lpstr>
      <vt:lpstr>Summary!PL_CHANGE</vt:lpstr>
      <vt:lpstr>Summary!PL_HEALTH</vt:lpstr>
      <vt:lpstr>Summary!PL_HEALTH_CALLED</vt:lpstr>
      <vt:lpstr>Summary!PL_HEALTH_REFUNDED</vt:lpstr>
      <vt:lpstr>Summary!PL_LIFE</vt:lpstr>
      <vt:lpstr>Summary!PL_LIFE_CALLED</vt:lpstr>
      <vt:lpstr>Summary!PL_LIFE_REFUNDED</vt:lpstr>
      <vt:lpstr>Summary!PL_LTC</vt:lpstr>
      <vt:lpstr>Summary!PL_RECON</vt:lpstr>
      <vt:lpstr>Summary!PL_TOTAL</vt:lpstr>
      <vt:lpstr>Summary!PL_TOTAL_PREV</vt:lpstr>
      <vt:lpstr>Summary!PL_UNALLOC_CALLED</vt:lpstr>
      <vt:lpstr>Summary!PL_UNALLOC_REFUNDED</vt:lpstr>
      <vt:lpstr>Summary!PL_UNALLOCATED</vt:lpstr>
      <vt:lpstr>'Alabama Life'!PR_FINANCIAL</vt:lpstr>
      <vt:lpstr>'Amer Life Asr'!PR_FINANCIAL</vt:lpstr>
      <vt:lpstr>'Amer Std Life Acc'!PR_FINANCIAL</vt:lpstr>
      <vt:lpstr>'American Chambers'!PR_FINANCIAL</vt:lpstr>
      <vt:lpstr>'American Community'!PR_FINANCIAL</vt:lpstr>
      <vt:lpstr>'American Educators'!PR_FINANCIAL</vt:lpstr>
      <vt:lpstr>'American Integrity'!PR_FINANCIAL</vt:lpstr>
      <vt:lpstr>'American Network'!PR_FINANCIAL</vt:lpstr>
      <vt:lpstr>AmerWstrn!PR_FINANCIAL</vt:lpstr>
      <vt:lpstr>'AMS Life'!PR_FINANCIAL</vt:lpstr>
      <vt:lpstr>'Andrew Jackson'!PR_FINANCIAL</vt:lpstr>
      <vt:lpstr>'Bankers Commercial'!PR_FINANCIAL</vt:lpstr>
      <vt:lpstr>Benicorp!PR_FINANCIAL</vt:lpstr>
      <vt:lpstr>'Booker T Washington'!PR_FINANCIAL</vt:lpstr>
      <vt:lpstr>Centennial!PR_FINANCIAL</vt:lpstr>
      <vt:lpstr>'Coastal States'!PR_FINANCIAL</vt:lpstr>
      <vt:lpstr>'Colorado Health'!PR_FINANCIAL</vt:lpstr>
      <vt:lpstr>'Compass (dbs Meritus)'!PR_FINANCIAL</vt:lpstr>
      <vt:lpstr>'Confed Life &amp; Annty (CLIAC)'!PR_FINANCIAL</vt:lpstr>
      <vt:lpstr>'Confed Life (CLIC)'!PR_FINANCIAL</vt:lpstr>
      <vt:lpstr>'Consolidated National'!PR_FINANCIAL</vt:lpstr>
      <vt:lpstr>'Consumers Choice'!PR_FINANCIAL</vt:lpstr>
      <vt:lpstr>'Consumers Mutual'!PR_FINANCIAL</vt:lpstr>
      <vt:lpstr>'Consumers United'!PR_FINANCIAL</vt:lpstr>
      <vt:lpstr>CoOportunity!PR_FINANCIAL</vt:lpstr>
      <vt:lpstr>'Coordinated Hlth'!PR_FINANCIAL</vt:lpstr>
      <vt:lpstr>'Corporate Life'!PR_FINANCIAL</vt:lpstr>
      <vt:lpstr>'Diamond Benefits'!PR_FINANCIAL</vt:lpstr>
      <vt:lpstr>'EBL Life'!PR_FINANCIAL</vt:lpstr>
      <vt:lpstr>ELNY!PR_FINANCIAL</vt:lpstr>
      <vt:lpstr>'Executive Life'!PR_FINANCIAL</vt:lpstr>
      <vt:lpstr>'Family Guaranty'!PR_FINANCIAL</vt:lpstr>
      <vt:lpstr>'Farmers &amp; Ranchers'!PR_FINANCIAL</vt:lpstr>
      <vt:lpstr>'Fidelity Bankers'!PR_FINANCIAL</vt:lpstr>
      <vt:lpstr>'Fidelity Mutual'!PR_FINANCIAL</vt:lpstr>
      <vt:lpstr>'First Capital'!PR_FINANCIAL</vt:lpstr>
      <vt:lpstr>'First Natl'!PR_FINANCIAL</vt:lpstr>
      <vt:lpstr>'First Natl (Thrnr)'!PR_FINANCIAL</vt:lpstr>
      <vt:lpstr>'Franklin American'!PR_FINANCIAL</vt:lpstr>
      <vt:lpstr>'Franklin Protective'!PR_FINANCIAL</vt:lpstr>
      <vt:lpstr>'Freelancers CO-OP'!PR_FINANCIAL</vt:lpstr>
      <vt:lpstr>'George Washington'!PR_FINANCIAL</vt:lpstr>
      <vt:lpstr>'Golden State'!PR_FINANCIAL</vt:lpstr>
      <vt:lpstr>'Guarantee Security'!PR_FINANCIAL</vt:lpstr>
      <vt:lpstr>HealthyCT!PR_FINANCIAL</vt:lpstr>
      <vt:lpstr>Imerica!PR_FINANCIAL</vt:lpstr>
      <vt:lpstr>'Inter-American'!PR_FINANCIAL</vt:lpstr>
      <vt:lpstr>'International Fin'!PR_FINANCIAL</vt:lpstr>
      <vt:lpstr>'Investment Life of America'!PR_FINANCIAL</vt:lpstr>
      <vt:lpstr>'Investors Equity'!PR_FINANCIAL</vt:lpstr>
      <vt:lpstr>'Kentucky Central'!PR_FINANCIAL</vt:lpstr>
      <vt:lpstr>'Land of Lincoln'!PR_FINANCIAL</vt:lpstr>
      <vt:lpstr>Legion!PR_FINANCIAL</vt:lpstr>
      <vt:lpstr>'Life Health America'!PR_FINANCIAL</vt:lpstr>
      <vt:lpstr>'Lincoln Memorial'!PR_FINANCIAL</vt:lpstr>
      <vt:lpstr>'London Pac'!PR_FINANCIAL</vt:lpstr>
      <vt:lpstr>Lumbermens!PR_FINANCIAL</vt:lpstr>
      <vt:lpstr>'Medical Savings'!PR_FINANCIAL</vt:lpstr>
      <vt:lpstr>'Memorial Service'!PR_FINANCIAL</vt:lpstr>
      <vt:lpstr>Midcontinent!PR_FINANCIAL</vt:lpstr>
      <vt:lpstr>'Midwest Life'!PR_FINANCIAL</vt:lpstr>
      <vt:lpstr>'Monarch Life'!PR_FINANCIAL</vt:lpstr>
      <vt:lpstr>'Mutual Benefit'!PR_FINANCIAL</vt:lpstr>
      <vt:lpstr>'Mutual Security'!PR_FINANCIAL</vt:lpstr>
      <vt:lpstr>'National Affiliated'!PR_FINANCIAL</vt:lpstr>
      <vt:lpstr>'National Heritage'!PR_FINANCIAL</vt:lpstr>
      <vt:lpstr>'National States'!PR_FINANCIAL</vt:lpstr>
      <vt:lpstr>'Natl American'!PR_FINANCIAL</vt:lpstr>
      <vt:lpstr>'New Jersey Life'!PR_FINANCIAL</vt:lpstr>
      <vt:lpstr>NNIC!PR_FINANCIAL</vt:lpstr>
      <vt:lpstr>'Old Colony Life'!PR_FINANCIAL</vt:lpstr>
      <vt:lpstr>'Old Faithful'!PR_FINANCIAL</vt:lpstr>
      <vt:lpstr>'Pacific Standard'!PR_FINANCIAL</vt:lpstr>
      <vt:lpstr>'Pen  Treaty'!PR_FINANCIAL</vt:lpstr>
      <vt:lpstr>Reliance!PR_FINANCIAL</vt:lpstr>
      <vt:lpstr>SeeChange!PR_FINANCIAL</vt:lpstr>
      <vt:lpstr>'Senior American'!PR_FINANCIAL</vt:lpstr>
      <vt:lpstr>Settlers!PR_FINANCIAL</vt:lpstr>
      <vt:lpstr>Shenandoah!PR_FINANCIAL</vt:lpstr>
      <vt:lpstr>'Standard Life IN'!PR_FINANCIAL</vt:lpstr>
      <vt:lpstr>'States General'!PR_FINANCIAL</vt:lpstr>
      <vt:lpstr>Statesman!PR_FINANCIAL</vt:lpstr>
      <vt:lpstr>'Summit National'!PR_FINANCIAL</vt:lpstr>
      <vt:lpstr>Supreme!PR_FINANCIAL</vt:lpstr>
      <vt:lpstr>'Total Summary'!PR_FINANCIAL</vt:lpstr>
      <vt:lpstr>Underwriters!PR_FINANCIAL</vt:lpstr>
      <vt:lpstr>Unison!PR_FINANCIAL</vt:lpstr>
      <vt:lpstr>'United Republic'!PR_FINANCIAL</vt:lpstr>
      <vt:lpstr>'Universal Health Care'!PR_FINANCIAL</vt:lpstr>
      <vt:lpstr>'Universal Life'!PR_FINANCIAL</vt:lpstr>
      <vt:lpstr>Universe!PR_FINANCIAL</vt:lpstr>
      <vt:lpstr>Villanova!PR_FINANCIAL</vt:lpstr>
      <vt:lpstr>'ELIC Funding'!Print_Area</vt:lpstr>
      <vt:lpstr>Premium!Print_Area</vt:lpstr>
      <vt:lpstr>Summary!Print_Area</vt:lpstr>
      <vt:lpstr>'ELIC Funding'!Print_Titles</vt:lpstr>
      <vt:lpstr>Premium!Print_Titles</vt:lpstr>
      <vt:lpstr>Summary!Print_Titles</vt:lpstr>
      <vt:lpstr>Summary!RE_ALLOC_CALLED</vt:lpstr>
      <vt:lpstr>Summary!RE_ALLOC_REFUNDED</vt:lpstr>
      <vt:lpstr>Summary!RE_ALLOCATED</vt:lpstr>
      <vt:lpstr>Summary!RE_CHANGE</vt:lpstr>
      <vt:lpstr>Summary!RE_HEALTH</vt:lpstr>
      <vt:lpstr>Summary!RE_HEALTH_CALLED</vt:lpstr>
      <vt:lpstr>Summary!RE_HEALTH_REFUNDED</vt:lpstr>
      <vt:lpstr>Summary!RE_LIFE</vt:lpstr>
      <vt:lpstr>Summary!RE_LIFE_CALLED</vt:lpstr>
      <vt:lpstr>Summary!RE_LIFE_REFUNDED</vt:lpstr>
      <vt:lpstr>Summary!RE_LTC</vt:lpstr>
      <vt:lpstr>Summary!RE_RECON</vt:lpstr>
      <vt:lpstr>Summary!RE_TOTAL</vt:lpstr>
      <vt:lpstr>Summary!RE_TOTAL_PREV</vt:lpstr>
      <vt:lpstr>Summary!RE_UNALLOC_CALLED</vt:lpstr>
      <vt:lpstr>Summary!RE_UNALLOC_REFUNDED</vt:lpstr>
      <vt:lpstr>Summary!RE_UNALLOCATED</vt:lpstr>
      <vt:lpstr>'Closed Summary'!REC_TOTAL</vt:lpstr>
      <vt:lpstr>'Estate Closed Summary'!REC_TOTAL</vt:lpstr>
      <vt:lpstr>'Open Summary'!REC_TOTAL</vt:lpstr>
      <vt:lpstr>'Pre-Liquidation Summary'!REC_TOTAL</vt:lpstr>
      <vt:lpstr>'Released from Oversight Summary'!REC_TOTAL</vt:lpstr>
      <vt:lpstr>'Alabama Life'!RI_FINANCIAL</vt:lpstr>
      <vt:lpstr>'Amer Life Asr'!RI_FINANCIAL</vt:lpstr>
      <vt:lpstr>'Amer Std Life Acc'!RI_FINANCIAL</vt:lpstr>
      <vt:lpstr>'American Chambers'!RI_FINANCIAL</vt:lpstr>
      <vt:lpstr>'American Community'!RI_FINANCIAL</vt:lpstr>
      <vt:lpstr>'American Educators'!RI_FINANCIAL</vt:lpstr>
      <vt:lpstr>'American Integrity'!RI_FINANCIAL</vt:lpstr>
      <vt:lpstr>'American Network'!RI_FINANCIAL</vt:lpstr>
      <vt:lpstr>AmerWstrn!RI_FINANCIAL</vt:lpstr>
      <vt:lpstr>'AMS Life'!RI_FINANCIAL</vt:lpstr>
      <vt:lpstr>'Andrew Jackson'!RI_FINANCIAL</vt:lpstr>
      <vt:lpstr>'Bankers Commercial'!RI_FINANCIAL</vt:lpstr>
      <vt:lpstr>Benicorp!RI_FINANCIAL</vt:lpstr>
      <vt:lpstr>'Booker T Washington'!RI_FINANCIAL</vt:lpstr>
      <vt:lpstr>Centennial!RI_FINANCIAL</vt:lpstr>
      <vt:lpstr>'Coastal States'!RI_FINANCIAL</vt:lpstr>
      <vt:lpstr>'Colorado Health'!RI_FINANCIAL</vt:lpstr>
      <vt:lpstr>'Compass (dbs Meritus)'!RI_FINANCIAL</vt:lpstr>
      <vt:lpstr>'Confed Life &amp; Annty (CLIAC)'!RI_FINANCIAL</vt:lpstr>
      <vt:lpstr>'Confed Life (CLIC)'!RI_FINANCIAL</vt:lpstr>
      <vt:lpstr>'Consolidated National'!RI_FINANCIAL</vt:lpstr>
      <vt:lpstr>'Consumers Choice'!RI_FINANCIAL</vt:lpstr>
      <vt:lpstr>'Consumers Mutual'!RI_FINANCIAL</vt:lpstr>
      <vt:lpstr>'Consumers United'!RI_FINANCIAL</vt:lpstr>
      <vt:lpstr>CoOportunity!RI_FINANCIAL</vt:lpstr>
      <vt:lpstr>'Coordinated Hlth'!RI_FINANCIAL</vt:lpstr>
      <vt:lpstr>'Corporate Life'!RI_FINANCIAL</vt:lpstr>
      <vt:lpstr>'Diamond Benefits'!RI_FINANCIAL</vt:lpstr>
      <vt:lpstr>'EBL Life'!RI_FINANCIAL</vt:lpstr>
      <vt:lpstr>ELNY!RI_FINANCIAL</vt:lpstr>
      <vt:lpstr>'Executive Life'!RI_FINANCIAL</vt:lpstr>
      <vt:lpstr>'Family Guaranty'!RI_FINANCIAL</vt:lpstr>
      <vt:lpstr>'Farmers &amp; Ranchers'!RI_FINANCIAL</vt:lpstr>
      <vt:lpstr>'Fidelity Bankers'!RI_FINANCIAL</vt:lpstr>
      <vt:lpstr>'Fidelity Mutual'!RI_FINANCIAL</vt:lpstr>
      <vt:lpstr>'First Capital'!RI_FINANCIAL</vt:lpstr>
      <vt:lpstr>'First Natl'!RI_FINANCIAL</vt:lpstr>
      <vt:lpstr>'First Natl (Thrnr)'!RI_FINANCIAL</vt:lpstr>
      <vt:lpstr>'Franklin American'!RI_FINANCIAL</vt:lpstr>
      <vt:lpstr>'Franklin Protective'!RI_FINANCIAL</vt:lpstr>
      <vt:lpstr>'Freelancers CO-OP'!RI_FINANCIAL</vt:lpstr>
      <vt:lpstr>'George Washington'!RI_FINANCIAL</vt:lpstr>
      <vt:lpstr>'Golden State'!RI_FINANCIAL</vt:lpstr>
      <vt:lpstr>'Guarantee Security'!RI_FINANCIAL</vt:lpstr>
      <vt:lpstr>HealthyCT!RI_FINANCIAL</vt:lpstr>
      <vt:lpstr>Imerica!RI_FINANCIAL</vt:lpstr>
      <vt:lpstr>'Inter-American'!RI_FINANCIAL</vt:lpstr>
      <vt:lpstr>'International Fin'!RI_FINANCIAL</vt:lpstr>
      <vt:lpstr>'Investment Life of America'!RI_FINANCIAL</vt:lpstr>
      <vt:lpstr>'Investors Equity'!RI_FINANCIAL</vt:lpstr>
      <vt:lpstr>'Kentucky Central'!RI_FINANCIAL</vt:lpstr>
      <vt:lpstr>'Land of Lincoln'!RI_FINANCIAL</vt:lpstr>
      <vt:lpstr>Legion!RI_FINANCIAL</vt:lpstr>
      <vt:lpstr>'Life Health America'!RI_FINANCIAL</vt:lpstr>
      <vt:lpstr>'Lincoln Memorial'!RI_FINANCIAL</vt:lpstr>
      <vt:lpstr>'London Pac'!RI_FINANCIAL</vt:lpstr>
      <vt:lpstr>Lumbermens!RI_FINANCIAL</vt:lpstr>
      <vt:lpstr>'Medical Savings'!RI_FINANCIAL</vt:lpstr>
      <vt:lpstr>'Memorial Service'!RI_FINANCIAL</vt:lpstr>
      <vt:lpstr>Midcontinent!RI_FINANCIAL</vt:lpstr>
      <vt:lpstr>'Midwest Life'!RI_FINANCIAL</vt:lpstr>
      <vt:lpstr>'Monarch Life'!RI_FINANCIAL</vt:lpstr>
      <vt:lpstr>'Mutual Benefit'!RI_FINANCIAL</vt:lpstr>
      <vt:lpstr>'Mutual Security'!RI_FINANCIAL</vt:lpstr>
      <vt:lpstr>'National Affiliated'!RI_FINANCIAL</vt:lpstr>
      <vt:lpstr>'National Heritage'!RI_FINANCIAL</vt:lpstr>
      <vt:lpstr>'National States'!RI_FINANCIAL</vt:lpstr>
      <vt:lpstr>'Natl American'!RI_FINANCIAL</vt:lpstr>
      <vt:lpstr>'New Jersey Life'!RI_FINANCIAL</vt:lpstr>
      <vt:lpstr>NNIC!RI_FINANCIAL</vt:lpstr>
      <vt:lpstr>'Old Colony Life'!RI_FINANCIAL</vt:lpstr>
      <vt:lpstr>'Old Faithful'!RI_FINANCIAL</vt:lpstr>
      <vt:lpstr>'Pacific Standard'!RI_FINANCIAL</vt:lpstr>
      <vt:lpstr>'Pen  Treaty'!RI_FINANCIAL</vt:lpstr>
      <vt:lpstr>Reliance!RI_FINANCIAL</vt:lpstr>
      <vt:lpstr>SeeChange!RI_FINANCIAL</vt:lpstr>
      <vt:lpstr>'Senior American'!RI_FINANCIAL</vt:lpstr>
      <vt:lpstr>Settlers!RI_FINANCIAL</vt:lpstr>
      <vt:lpstr>Shenandoah!RI_FINANCIAL</vt:lpstr>
      <vt:lpstr>'Standard Life IN'!RI_FINANCIAL</vt:lpstr>
      <vt:lpstr>'States General'!RI_FINANCIAL</vt:lpstr>
      <vt:lpstr>Statesman!RI_FINANCIAL</vt:lpstr>
      <vt:lpstr>'Summit National'!RI_FINANCIAL</vt:lpstr>
      <vt:lpstr>Supreme!RI_FINANCIAL</vt:lpstr>
      <vt:lpstr>'Total Summary'!RI_FINANCIAL</vt:lpstr>
      <vt:lpstr>Underwriters!RI_FINANCIAL</vt:lpstr>
      <vt:lpstr>Unison!RI_FINANCIAL</vt:lpstr>
      <vt:lpstr>'United Republic'!RI_FINANCIAL</vt:lpstr>
      <vt:lpstr>'Universal Health Care'!RI_FINANCIAL</vt:lpstr>
      <vt:lpstr>'Universal Life'!RI_FINANCIAL</vt:lpstr>
      <vt:lpstr>Universe!RI_FINANCIAL</vt:lpstr>
      <vt:lpstr>Villanova!RI_FINANCIAL</vt:lpstr>
      <vt:lpstr>'Alabama Life'!SC_FINANCIAL</vt:lpstr>
      <vt:lpstr>'Amer Life Asr'!SC_FINANCIAL</vt:lpstr>
      <vt:lpstr>'Amer Std Life Acc'!SC_FINANCIAL</vt:lpstr>
      <vt:lpstr>'American Chambers'!SC_FINANCIAL</vt:lpstr>
      <vt:lpstr>'American Community'!SC_FINANCIAL</vt:lpstr>
      <vt:lpstr>'American Educators'!SC_FINANCIAL</vt:lpstr>
      <vt:lpstr>'American Integrity'!SC_FINANCIAL</vt:lpstr>
      <vt:lpstr>'American Network'!SC_FINANCIAL</vt:lpstr>
      <vt:lpstr>AmerWstrn!SC_FINANCIAL</vt:lpstr>
      <vt:lpstr>'AMS Life'!SC_FINANCIAL</vt:lpstr>
      <vt:lpstr>'Andrew Jackson'!SC_FINANCIAL</vt:lpstr>
      <vt:lpstr>'Bankers Commercial'!SC_FINANCIAL</vt:lpstr>
      <vt:lpstr>Benicorp!SC_FINANCIAL</vt:lpstr>
      <vt:lpstr>'Booker T Washington'!SC_FINANCIAL</vt:lpstr>
      <vt:lpstr>Centennial!SC_FINANCIAL</vt:lpstr>
      <vt:lpstr>'Coastal States'!SC_FINANCIAL</vt:lpstr>
      <vt:lpstr>'Colorado Health'!SC_FINANCIAL</vt:lpstr>
      <vt:lpstr>'Compass (dbs Meritus)'!SC_FINANCIAL</vt:lpstr>
      <vt:lpstr>'Confed Life &amp; Annty (CLIAC)'!SC_FINANCIAL</vt:lpstr>
      <vt:lpstr>'Confed Life (CLIC)'!SC_FINANCIAL</vt:lpstr>
      <vt:lpstr>'Consolidated National'!SC_FINANCIAL</vt:lpstr>
      <vt:lpstr>'Consumers Choice'!SC_FINANCIAL</vt:lpstr>
      <vt:lpstr>'Consumers Mutual'!SC_FINANCIAL</vt:lpstr>
      <vt:lpstr>'Consumers United'!SC_FINANCIAL</vt:lpstr>
      <vt:lpstr>CoOportunity!SC_FINANCIAL</vt:lpstr>
      <vt:lpstr>'Coordinated Hlth'!SC_FINANCIAL</vt:lpstr>
      <vt:lpstr>'Corporate Life'!SC_FINANCIAL</vt:lpstr>
      <vt:lpstr>'Diamond Benefits'!SC_FINANCIAL</vt:lpstr>
      <vt:lpstr>'EBL Life'!SC_FINANCIAL</vt:lpstr>
      <vt:lpstr>ELNY!SC_FINANCIAL</vt:lpstr>
      <vt:lpstr>'Executive Life'!SC_FINANCIAL</vt:lpstr>
      <vt:lpstr>'Family Guaranty'!SC_FINANCIAL</vt:lpstr>
      <vt:lpstr>'Farmers &amp; Ranchers'!SC_FINANCIAL</vt:lpstr>
      <vt:lpstr>'Fidelity Bankers'!SC_FINANCIAL</vt:lpstr>
      <vt:lpstr>'Fidelity Mutual'!SC_FINANCIAL</vt:lpstr>
      <vt:lpstr>'First Capital'!SC_FINANCIAL</vt:lpstr>
      <vt:lpstr>'First Natl'!SC_FINANCIAL</vt:lpstr>
      <vt:lpstr>'First Natl (Thrnr)'!SC_FINANCIAL</vt:lpstr>
      <vt:lpstr>'Franklin American'!SC_FINANCIAL</vt:lpstr>
      <vt:lpstr>'Franklin Protective'!SC_FINANCIAL</vt:lpstr>
      <vt:lpstr>'Freelancers CO-OP'!SC_FINANCIAL</vt:lpstr>
      <vt:lpstr>'George Washington'!SC_FINANCIAL</vt:lpstr>
      <vt:lpstr>'Golden State'!SC_FINANCIAL</vt:lpstr>
      <vt:lpstr>'Guarantee Security'!SC_FINANCIAL</vt:lpstr>
      <vt:lpstr>HealthyCT!SC_FINANCIAL</vt:lpstr>
      <vt:lpstr>Imerica!SC_FINANCIAL</vt:lpstr>
      <vt:lpstr>'Inter-American'!SC_FINANCIAL</vt:lpstr>
      <vt:lpstr>'International Fin'!SC_FINANCIAL</vt:lpstr>
      <vt:lpstr>'Investment Life of America'!SC_FINANCIAL</vt:lpstr>
      <vt:lpstr>'Investors Equity'!SC_FINANCIAL</vt:lpstr>
      <vt:lpstr>'Kentucky Central'!SC_FINANCIAL</vt:lpstr>
      <vt:lpstr>'Land of Lincoln'!SC_FINANCIAL</vt:lpstr>
      <vt:lpstr>Legion!SC_FINANCIAL</vt:lpstr>
      <vt:lpstr>'Life Health America'!SC_FINANCIAL</vt:lpstr>
      <vt:lpstr>'Lincoln Memorial'!SC_FINANCIAL</vt:lpstr>
      <vt:lpstr>'London Pac'!SC_FINANCIAL</vt:lpstr>
      <vt:lpstr>Lumbermens!SC_FINANCIAL</vt:lpstr>
      <vt:lpstr>'Medical Savings'!SC_FINANCIAL</vt:lpstr>
      <vt:lpstr>'Memorial Service'!SC_FINANCIAL</vt:lpstr>
      <vt:lpstr>Midcontinent!SC_FINANCIAL</vt:lpstr>
      <vt:lpstr>'Midwest Life'!SC_FINANCIAL</vt:lpstr>
      <vt:lpstr>'Monarch Life'!SC_FINANCIAL</vt:lpstr>
      <vt:lpstr>'Mutual Benefit'!SC_FINANCIAL</vt:lpstr>
      <vt:lpstr>'Mutual Security'!SC_FINANCIAL</vt:lpstr>
      <vt:lpstr>'National Affiliated'!SC_FINANCIAL</vt:lpstr>
      <vt:lpstr>'National Heritage'!SC_FINANCIAL</vt:lpstr>
      <vt:lpstr>'National States'!SC_FINANCIAL</vt:lpstr>
      <vt:lpstr>'Natl American'!SC_FINANCIAL</vt:lpstr>
      <vt:lpstr>'New Jersey Life'!SC_FINANCIAL</vt:lpstr>
      <vt:lpstr>NNIC!SC_FINANCIAL</vt:lpstr>
      <vt:lpstr>'Old Colony Life'!SC_FINANCIAL</vt:lpstr>
      <vt:lpstr>'Old Faithful'!SC_FINANCIAL</vt:lpstr>
      <vt:lpstr>'Pacific Standard'!SC_FINANCIAL</vt:lpstr>
      <vt:lpstr>'Pen  Treaty'!SC_FINANCIAL</vt:lpstr>
      <vt:lpstr>Reliance!SC_FINANCIAL</vt:lpstr>
      <vt:lpstr>SeeChange!SC_FINANCIAL</vt:lpstr>
      <vt:lpstr>'Senior American'!SC_FINANCIAL</vt:lpstr>
      <vt:lpstr>Settlers!SC_FINANCIAL</vt:lpstr>
      <vt:lpstr>Shenandoah!SC_FINANCIAL</vt:lpstr>
      <vt:lpstr>'Standard Life IN'!SC_FINANCIAL</vt:lpstr>
      <vt:lpstr>'States General'!SC_FINANCIAL</vt:lpstr>
      <vt:lpstr>Statesman!SC_FINANCIAL</vt:lpstr>
      <vt:lpstr>'Summit National'!SC_FINANCIAL</vt:lpstr>
      <vt:lpstr>Supreme!SC_FINANCIAL</vt:lpstr>
      <vt:lpstr>'Total Summary'!SC_FINANCIAL</vt:lpstr>
      <vt:lpstr>Underwriters!SC_FINANCIAL</vt:lpstr>
      <vt:lpstr>Unison!SC_FINANCIAL</vt:lpstr>
      <vt:lpstr>'United Republic'!SC_FINANCIAL</vt:lpstr>
      <vt:lpstr>'Universal Health Care'!SC_FINANCIAL</vt:lpstr>
      <vt:lpstr>'Universal Life'!SC_FINANCIAL</vt:lpstr>
      <vt:lpstr>Universe!SC_FINANCIAL</vt:lpstr>
      <vt:lpstr>Villanova!SC_FINANCIAL</vt:lpstr>
      <vt:lpstr>'Alabama Life'!SD_FINANCIAL</vt:lpstr>
      <vt:lpstr>'Amer Life Asr'!SD_FINANCIAL</vt:lpstr>
      <vt:lpstr>'Amer Std Life Acc'!SD_FINANCIAL</vt:lpstr>
      <vt:lpstr>'American Chambers'!SD_FINANCIAL</vt:lpstr>
      <vt:lpstr>'American Community'!SD_FINANCIAL</vt:lpstr>
      <vt:lpstr>'American Educators'!SD_FINANCIAL</vt:lpstr>
      <vt:lpstr>'American Integrity'!SD_FINANCIAL</vt:lpstr>
      <vt:lpstr>'American Network'!SD_FINANCIAL</vt:lpstr>
      <vt:lpstr>AmerWstrn!SD_FINANCIAL</vt:lpstr>
      <vt:lpstr>'AMS Life'!SD_FINANCIAL</vt:lpstr>
      <vt:lpstr>'Andrew Jackson'!SD_FINANCIAL</vt:lpstr>
      <vt:lpstr>'Bankers Commercial'!SD_FINANCIAL</vt:lpstr>
      <vt:lpstr>Benicorp!SD_FINANCIAL</vt:lpstr>
      <vt:lpstr>'Booker T Washington'!SD_FINANCIAL</vt:lpstr>
      <vt:lpstr>Centennial!SD_FINANCIAL</vt:lpstr>
      <vt:lpstr>'Coastal States'!SD_FINANCIAL</vt:lpstr>
      <vt:lpstr>'Colorado Health'!SD_FINANCIAL</vt:lpstr>
      <vt:lpstr>'Compass (dbs Meritus)'!SD_FINANCIAL</vt:lpstr>
      <vt:lpstr>'Confed Life &amp; Annty (CLIAC)'!SD_FINANCIAL</vt:lpstr>
      <vt:lpstr>'Confed Life (CLIC)'!SD_FINANCIAL</vt:lpstr>
      <vt:lpstr>'Consolidated National'!SD_FINANCIAL</vt:lpstr>
      <vt:lpstr>'Consumers Choice'!SD_FINANCIAL</vt:lpstr>
      <vt:lpstr>'Consumers Mutual'!SD_FINANCIAL</vt:lpstr>
      <vt:lpstr>'Consumers United'!SD_FINANCIAL</vt:lpstr>
      <vt:lpstr>CoOportunity!SD_FINANCIAL</vt:lpstr>
      <vt:lpstr>'Coordinated Hlth'!SD_FINANCIAL</vt:lpstr>
      <vt:lpstr>'Corporate Life'!SD_FINANCIAL</vt:lpstr>
      <vt:lpstr>'Diamond Benefits'!SD_FINANCIAL</vt:lpstr>
      <vt:lpstr>'EBL Life'!SD_FINANCIAL</vt:lpstr>
      <vt:lpstr>ELNY!SD_FINANCIAL</vt:lpstr>
      <vt:lpstr>'Executive Life'!SD_FINANCIAL</vt:lpstr>
      <vt:lpstr>'Family Guaranty'!SD_FINANCIAL</vt:lpstr>
      <vt:lpstr>'Farmers &amp; Ranchers'!SD_FINANCIAL</vt:lpstr>
      <vt:lpstr>'Fidelity Bankers'!SD_FINANCIAL</vt:lpstr>
      <vt:lpstr>'Fidelity Mutual'!SD_FINANCIAL</vt:lpstr>
      <vt:lpstr>'First Capital'!SD_FINANCIAL</vt:lpstr>
      <vt:lpstr>'First Natl'!SD_FINANCIAL</vt:lpstr>
      <vt:lpstr>'First Natl (Thrnr)'!SD_FINANCIAL</vt:lpstr>
      <vt:lpstr>'Franklin American'!SD_FINANCIAL</vt:lpstr>
      <vt:lpstr>'Franklin Protective'!SD_FINANCIAL</vt:lpstr>
      <vt:lpstr>'Freelancers CO-OP'!SD_FINANCIAL</vt:lpstr>
      <vt:lpstr>'George Washington'!SD_FINANCIAL</vt:lpstr>
      <vt:lpstr>'Golden State'!SD_FINANCIAL</vt:lpstr>
      <vt:lpstr>'Guarantee Security'!SD_FINANCIAL</vt:lpstr>
      <vt:lpstr>HealthyCT!SD_FINANCIAL</vt:lpstr>
      <vt:lpstr>Imerica!SD_FINANCIAL</vt:lpstr>
      <vt:lpstr>'Inter-American'!SD_FINANCIAL</vt:lpstr>
      <vt:lpstr>'International Fin'!SD_FINANCIAL</vt:lpstr>
      <vt:lpstr>'Investment Life of America'!SD_FINANCIAL</vt:lpstr>
      <vt:lpstr>'Investors Equity'!SD_FINANCIAL</vt:lpstr>
      <vt:lpstr>'Kentucky Central'!SD_FINANCIAL</vt:lpstr>
      <vt:lpstr>'Land of Lincoln'!SD_FINANCIAL</vt:lpstr>
      <vt:lpstr>Legion!SD_FINANCIAL</vt:lpstr>
      <vt:lpstr>'Life Health America'!SD_FINANCIAL</vt:lpstr>
      <vt:lpstr>'Lincoln Memorial'!SD_FINANCIAL</vt:lpstr>
      <vt:lpstr>'London Pac'!SD_FINANCIAL</vt:lpstr>
      <vt:lpstr>Lumbermens!SD_FINANCIAL</vt:lpstr>
      <vt:lpstr>'Medical Savings'!SD_FINANCIAL</vt:lpstr>
      <vt:lpstr>'Memorial Service'!SD_FINANCIAL</vt:lpstr>
      <vt:lpstr>Midcontinent!SD_FINANCIAL</vt:lpstr>
      <vt:lpstr>'Midwest Life'!SD_FINANCIAL</vt:lpstr>
      <vt:lpstr>'Monarch Life'!SD_FINANCIAL</vt:lpstr>
      <vt:lpstr>'Mutual Benefit'!SD_FINANCIAL</vt:lpstr>
      <vt:lpstr>'Mutual Security'!SD_FINANCIAL</vt:lpstr>
      <vt:lpstr>'National Affiliated'!SD_FINANCIAL</vt:lpstr>
      <vt:lpstr>'National Heritage'!SD_FINANCIAL</vt:lpstr>
      <vt:lpstr>'National States'!SD_FINANCIAL</vt:lpstr>
      <vt:lpstr>'Natl American'!SD_FINANCIAL</vt:lpstr>
      <vt:lpstr>'New Jersey Life'!SD_FINANCIAL</vt:lpstr>
      <vt:lpstr>NNIC!SD_FINANCIAL</vt:lpstr>
      <vt:lpstr>'Old Colony Life'!SD_FINANCIAL</vt:lpstr>
      <vt:lpstr>'Old Faithful'!SD_FINANCIAL</vt:lpstr>
      <vt:lpstr>'Pacific Standard'!SD_FINANCIAL</vt:lpstr>
      <vt:lpstr>'Pen  Treaty'!SD_FINANCIAL</vt:lpstr>
      <vt:lpstr>Reliance!SD_FINANCIAL</vt:lpstr>
      <vt:lpstr>SeeChange!SD_FINANCIAL</vt:lpstr>
      <vt:lpstr>'Senior American'!SD_FINANCIAL</vt:lpstr>
      <vt:lpstr>Settlers!SD_FINANCIAL</vt:lpstr>
      <vt:lpstr>Shenandoah!SD_FINANCIAL</vt:lpstr>
      <vt:lpstr>'Standard Life IN'!SD_FINANCIAL</vt:lpstr>
      <vt:lpstr>'States General'!SD_FINANCIAL</vt:lpstr>
      <vt:lpstr>Statesman!SD_FINANCIAL</vt:lpstr>
      <vt:lpstr>'Summit National'!SD_FINANCIAL</vt:lpstr>
      <vt:lpstr>Supreme!SD_FINANCIAL</vt:lpstr>
      <vt:lpstr>'Total Summary'!SD_FINANCIAL</vt:lpstr>
      <vt:lpstr>Underwriters!SD_FINANCIAL</vt:lpstr>
      <vt:lpstr>Unison!SD_FINANCIAL</vt:lpstr>
      <vt:lpstr>'United Republic'!SD_FINANCIAL</vt:lpstr>
      <vt:lpstr>'Universal Health Care'!SD_FINANCIAL</vt:lpstr>
      <vt:lpstr>'Universal Life'!SD_FINANCIAL</vt:lpstr>
      <vt:lpstr>Universe!SD_FINANCIAL</vt:lpstr>
      <vt:lpstr>Villanova!SD_FINANCIAL</vt:lpstr>
      <vt:lpstr>'Alabama Life'!TN_FINANCIAL</vt:lpstr>
      <vt:lpstr>'Amer Life Asr'!TN_FINANCIAL</vt:lpstr>
      <vt:lpstr>'Amer Std Life Acc'!TN_FINANCIAL</vt:lpstr>
      <vt:lpstr>'American Chambers'!TN_FINANCIAL</vt:lpstr>
      <vt:lpstr>'American Community'!TN_FINANCIAL</vt:lpstr>
      <vt:lpstr>'American Educators'!TN_FINANCIAL</vt:lpstr>
      <vt:lpstr>'American Integrity'!TN_FINANCIAL</vt:lpstr>
      <vt:lpstr>'American Network'!TN_FINANCIAL</vt:lpstr>
      <vt:lpstr>AmerWstrn!TN_FINANCIAL</vt:lpstr>
      <vt:lpstr>'AMS Life'!TN_FINANCIAL</vt:lpstr>
      <vt:lpstr>'Andrew Jackson'!TN_FINANCIAL</vt:lpstr>
      <vt:lpstr>'Bankers Commercial'!TN_FINANCIAL</vt:lpstr>
      <vt:lpstr>Benicorp!TN_FINANCIAL</vt:lpstr>
      <vt:lpstr>'Booker T Washington'!TN_FINANCIAL</vt:lpstr>
      <vt:lpstr>Centennial!TN_FINANCIAL</vt:lpstr>
      <vt:lpstr>'Coastal States'!TN_FINANCIAL</vt:lpstr>
      <vt:lpstr>'Colorado Health'!TN_FINANCIAL</vt:lpstr>
      <vt:lpstr>'Compass (dbs Meritus)'!TN_FINANCIAL</vt:lpstr>
      <vt:lpstr>'Confed Life &amp; Annty (CLIAC)'!TN_FINANCIAL</vt:lpstr>
      <vt:lpstr>'Confed Life (CLIC)'!TN_FINANCIAL</vt:lpstr>
      <vt:lpstr>'Consolidated National'!TN_FINANCIAL</vt:lpstr>
      <vt:lpstr>'Consumers Choice'!TN_FINANCIAL</vt:lpstr>
      <vt:lpstr>'Consumers Mutual'!TN_FINANCIAL</vt:lpstr>
      <vt:lpstr>'Consumers United'!TN_FINANCIAL</vt:lpstr>
      <vt:lpstr>CoOportunity!TN_FINANCIAL</vt:lpstr>
      <vt:lpstr>'Coordinated Hlth'!TN_FINANCIAL</vt:lpstr>
      <vt:lpstr>'Corporate Life'!TN_FINANCIAL</vt:lpstr>
      <vt:lpstr>'Diamond Benefits'!TN_FINANCIAL</vt:lpstr>
      <vt:lpstr>'EBL Life'!TN_FINANCIAL</vt:lpstr>
      <vt:lpstr>ELNY!TN_FINANCIAL</vt:lpstr>
      <vt:lpstr>'Executive Life'!TN_FINANCIAL</vt:lpstr>
      <vt:lpstr>'Family Guaranty'!TN_FINANCIAL</vt:lpstr>
      <vt:lpstr>'Farmers &amp; Ranchers'!TN_FINANCIAL</vt:lpstr>
      <vt:lpstr>'Fidelity Bankers'!TN_FINANCIAL</vt:lpstr>
      <vt:lpstr>'Fidelity Mutual'!TN_FINANCIAL</vt:lpstr>
      <vt:lpstr>'First Capital'!TN_FINANCIAL</vt:lpstr>
      <vt:lpstr>'First Natl'!TN_FINANCIAL</vt:lpstr>
      <vt:lpstr>'First Natl (Thrnr)'!TN_FINANCIAL</vt:lpstr>
      <vt:lpstr>'Franklin American'!TN_FINANCIAL</vt:lpstr>
      <vt:lpstr>'Franklin Protective'!TN_FINANCIAL</vt:lpstr>
      <vt:lpstr>'Freelancers CO-OP'!TN_FINANCIAL</vt:lpstr>
      <vt:lpstr>'George Washington'!TN_FINANCIAL</vt:lpstr>
      <vt:lpstr>'Golden State'!TN_FINANCIAL</vt:lpstr>
      <vt:lpstr>'Guarantee Security'!TN_FINANCIAL</vt:lpstr>
      <vt:lpstr>HealthyCT!TN_FINANCIAL</vt:lpstr>
      <vt:lpstr>Imerica!TN_FINANCIAL</vt:lpstr>
      <vt:lpstr>'Inter-American'!TN_FINANCIAL</vt:lpstr>
      <vt:lpstr>'International Fin'!TN_FINANCIAL</vt:lpstr>
      <vt:lpstr>'Investment Life of America'!TN_FINANCIAL</vt:lpstr>
      <vt:lpstr>'Investors Equity'!TN_FINANCIAL</vt:lpstr>
      <vt:lpstr>'Kentucky Central'!TN_FINANCIAL</vt:lpstr>
      <vt:lpstr>'Land of Lincoln'!TN_FINANCIAL</vt:lpstr>
      <vt:lpstr>Legion!TN_FINANCIAL</vt:lpstr>
      <vt:lpstr>'Life Health America'!TN_FINANCIAL</vt:lpstr>
      <vt:lpstr>'Lincoln Memorial'!TN_FINANCIAL</vt:lpstr>
      <vt:lpstr>'London Pac'!TN_FINANCIAL</vt:lpstr>
      <vt:lpstr>Lumbermens!TN_FINANCIAL</vt:lpstr>
      <vt:lpstr>'Medical Savings'!TN_FINANCIAL</vt:lpstr>
      <vt:lpstr>'Memorial Service'!TN_FINANCIAL</vt:lpstr>
      <vt:lpstr>Midcontinent!TN_FINANCIAL</vt:lpstr>
      <vt:lpstr>'Midwest Life'!TN_FINANCIAL</vt:lpstr>
      <vt:lpstr>'Monarch Life'!TN_FINANCIAL</vt:lpstr>
      <vt:lpstr>'Mutual Benefit'!TN_FINANCIAL</vt:lpstr>
      <vt:lpstr>'Mutual Security'!TN_FINANCIAL</vt:lpstr>
      <vt:lpstr>'National Affiliated'!TN_FINANCIAL</vt:lpstr>
      <vt:lpstr>'National Heritage'!TN_FINANCIAL</vt:lpstr>
      <vt:lpstr>'National States'!TN_FINANCIAL</vt:lpstr>
      <vt:lpstr>'Natl American'!TN_FINANCIAL</vt:lpstr>
      <vt:lpstr>'New Jersey Life'!TN_FINANCIAL</vt:lpstr>
      <vt:lpstr>NNIC!TN_FINANCIAL</vt:lpstr>
      <vt:lpstr>'Old Colony Life'!TN_FINANCIAL</vt:lpstr>
      <vt:lpstr>'Old Faithful'!TN_FINANCIAL</vt:lpstr>
      <vt:lpstr>'Pacific Standard'!TN_FINANCIAL</vt:lpstr>
      <vt:lpstr>'Pen  Treaty'!TN_FINANCIAL</vt:lpstr>
      <vt:lpstr>Reliance!TN_FINANCIAL</vt:lpstr>
      <vt:lpstr>SeeChange!TN_FINANCIAL</vt:lpstr>
      <vt:lpstr>'Senior American'!TN_FINANCIAL</vt:lpstr>
      <vt:lpstr>Settlers!TN_FINANCIAL</vt:lpstr>
      <vt:lpstr>Shenandoah!TN_FINANCIAL</vt:lpstr>
      <vt:lpstr>'Standard Life IN'!TN_FINANCIAL</vt:lpstr>
      <vt:lpstr>'States General'!TN_FINANCIAL</vt:lpstr>
      <vt:lpstr>Statesman!TN_FINANCIAL</vt:lpstr>
      <vt:lpstr>'Summit National'!TN_FINANCIAL</vt:lpstr>
      <vt:lpstr>Supreme!TN_FINANCIAL</vt:lpstr>
      <vt:lpstr>'Total Summary'!TN_FINANCIAL</vt:lpstr>
      <vt:lpstr>Underwriters!TN_FINANCIAL</vt:lpstr>
      <vt:lpstr>Unison!TN_FINANCIAL</vt:lpstr>
      <vt:lpstr>'United Republic'!TN_FINANCIAL</vt:lpstr>
      <vt:lpstr>'Universal Health Care'!TN_FINANCIAL</vt:lpstr>
      <vt:lpstr>'Universal Life'!TN_FINANCIAL</vt:lpstr>
      <vt:lpstr>Universe!TN_FINANCIAL</vt:lpstr>
      <vt:lpstr>Villanova!TN_FINANCIAL</vt:lpstr>
      <vt:lpstr>'Closed Summary'!TOTAL</vt:lpstr>
      <vt:lpstr>'Estate Closed Summary'!TOTAL</vt:lpstr>
      <vt:lpstr>'Open Summary'!TOTAL</vt:lpstr>
      <vt:lpstr>'Pre-Liquidation Summary'!TOTAL</vt:lpstr>
      <vt:lpstr>'Released from Oversight Summary'!TOTAL</vt:lpstr>
      <vt:lpstr>Summary!TOTAL_10197</vt:lpstr>
      <vt:lpstr>Summary!TOTAL_12577</vt:lpstr>
      <vt:lpstr>Summary!TOTAL_15046</vt:lpstr>
      <vt:lpstr>Summary!TOTAL_15092</vt:lpstr>
      <vt:lpstr>Summary!TOTAL_15093</vt:lpstr>
      <vt:lpstr>Summary!TOTAL_15102</vt:lpstr>
      <vt:lpstr>Summary!TOTAL_15126</vt:lpstr>
      <vt:lpstr>Summary!TOTAL_15128</vt:lpstr>
      <vt:lpstr>Summary!TOTAL_15145</vt:lpstr>
      <vt:lpstr>Summary!TOTAL_15197</vt:lpstr>
      <vt:lpstr>Summary!TOTAL_15314</vt:lpstr>
      <vt:lpstr>Summary!TOTAL_19577</vt:lpstr>
      <vt:lpstr>Summary!TOTAL_22977</vt:lpstr>
      <vt:lpstr>Summary!TOTAL_23914</vt:lpstr>
      <vt:lpstr>Summary!TOTAL_24422</vt:lpstr>
      <vt:lpstr>Summary!TOTAL_24457</vt:lpstr>
      <vt:lpstr>Summary!TOTAL_60305</vt:lpstr>
      <vt:lpstr>Summary!TOTAL_60356</vt:lpstr>
      <vt:lpstr>Summary!TOTAL_60593</vt:lpstr>
      <vt:lpstr>Summary!TOTAL_60917</vt:lpstr>
      <vt:lpstr>Summary!TOTAL_60968</vt:lpstr>
      <vt:lpstr>Summary!TOTAL_61220</vt:lpstr>
      <vt:lpstr>Summary!TOTAL_61468</vt:lpstr>
      <vt:lpstr>Summary!TOTAL_61654</vt:lpstr>
      <vt:lpstr>Summary!TOTAL_61913</vt:lpstr>
      <vt:lpstr>Summary!TOTAL_61980</vt:lpstr>
      <vt:lpstr>Summary!TOTAL_62278</vt:lpstr>
      <vt:lpstr>Summary!TOTAL_63010</vt:lpstr>
      <vt:lpstr>Summary!TOTAL_63185</vt:lpstr>
      <vt:lpstr>Summary!TOTAL_63266</vt:lpstr>
      <vt:lpstr>Summary!TOTAL_63282</vt:lpstr>
      <vt:lpstr>Summary!TOTAL_63304</vt:lpstr>
      <vt:lpstr>Summary!TOTAL_63452</vt:lpstr>
      <vt:lpstr>Summary!TOTAL_63517</vt:lpstr>
      <vt:lpstr>Summary!TOTAL_63525</vt:lpstr>
      <vt:lpstr>Summary!TOTAL_63533</vt:lpstr>
      <vt:lpstr>Summary!TOTAL_63541</vt:lpstr>
      <vt:lpstr>Summary!TOTAL_63770</vt:lpstr>
      <vt:lpstr>Summary!TOTAL_63924</vt:lpstr>
      <vt:lpstr>Summary!TOTAL_64084</vt:lpstr>
      <vt:lpstr>Summary!TOTAL_64220</vt:lpstr>
      <vt:lpstr>Summary!TOTAL_64874</vt:lpstr>
      <vt:lpstr>Summary!TOTAL_65161</vt:lpstr>
      <vt:lpstr>Summary!TOTAL_65188</vt:lpstr>
      <vt:lpstr>Summary!TOTAL_65447</vt:lpstr>
      <vt:lpstr>Summary!TOTAL_66001</vt:lpstr>
      <vt:lpstr>Summary!TOTAL_66060</vt:lpstr>
      <vt:lpstr>Summary!TOTAL_66265</vt:lpstr>
      <vt:lpstr>Summary!TOTAL_66362</vt:lpstr>
      <vt:lpstr>Summary!TOTAL_66400</vt:lpstr>
      <vt:lpstr>Summary!TOTAL_66907</vt:lpstr>
      <vt:lpstr>Summary!TOTAL_67210</vt:lpstr>
      <vt:lpstr>Summary!TOTAL_67229</vt:lpstr>
      <vt:lpstr>Summary!TOTAL_68055</vt:lpstr>
      <vt:lpstr>Summary!TOTAL_68489</vt:lpstr>
      <vt:lpstr>Summary!TOTAL_68845</vt:lpstr>
      <vt:lpstr>Summary!TOTAL_68934</vt:lpstr>
      <vt:lpstr>Summary!TOTAL_69051</vt:lpstr>
      <vt:lpstr>Summary!TOTAL_69175</vt:lpstr>
      <vt:lpstr>Summary!TOTAL_69183</vt:lpstr>
      <vt:lpstr>Summary!TOTAL_69221</vt:lpstr>
      <vt:lpstr>Summary!TOTAL_69302</vt:lpstr>
      <vt:lpstr>Summary!TOTAL_69370</vt:lpstr>
      <vt:lpstr>Summary!TOTAL_69752</vt:lpstr>
      <vt:lpstr>Summary!TOTAL_69833</vt:lpstr>
      <vt:lpstr>Summary!TOTAL_70157</vt:lpstr>
      <vt:lpstr>Summary!TOTAL_70181</vt:lpstr>
      <vt:lpstr>Summary!TOTAL_71080</vt:lpstr>
      <vt:lpstr>Summary!TOTAL_71382</vt:lpstr>
      <vt:lpstr>Summary!TOTAL_72842</vt:lpstr>
      <vt:lpstr>Summary!TOTAL_74217A</vt:lpstr>
      <vt:lpstr>Summary!TOTAL_74705</vt:lpstr>
      <vt:lpstr>Summary!TOTAL_74926</vt:lpstr>
      <vt:lpstr>Summary!TOTAL_74969</vt:lpstr>
      <vt:lpstr>Summary!TOTAL_75302</vt:lpstr>
      <vt:lpstr>Summary!TOTAL_75914</vt:lpstr>
      <vt:lpstr>Summary!TOTAL_76015</vt:lpstr>
      <vt:lpstr>Summary!TOTAL_76759</vt:lpstr>
      <vt:lpstr>Summary!TOTAL_77887</vt:lpstr>
      <vt:lpstr>Summary!TOTAL_80667</vt:lpstr>
      <vt:lpstr>Summary!TOTAL_81078</vt:lpstr>
      <vt:lpstr>Summary!TOTAL_84271</vt:lpstr>
      <vt:lpstr>Summary!TOTAL_86142</vt:lpstr>
      <vt:lpstr>Summary!TOTAL_87033</vt:lpstr>
      <vt:lpstr>Summary!TOTAL_88161</vt:lpstr>
      <vt:lpstr>Summary!TOTAL_88188</vt:lpstr>
      <vt:lpstr>Summary!TOTAL_93238</vt:lpstr>
      <vt:lpstr>Summary!TOTAL_97284</vt:lpstr>
      <vt:lpstr>Summary!TOTAL_98655</vt:lpstr>
      <vt:lpstr>Summary!TOTAL_98825</vt:lpstr>
      <vt:lpstr>Summary!TOTAL_99384</vt:lpstr>
      <vt:lpstr>'Alabama Life'!TX_FINANCIAL</vt:lpstr>
      <vt:lpstr>'Amer Life Asr'!TX_FINANCIAL</vt:lpstr>
      <vt:lpstr>'Amer Std Life Acc'!TX_FINANCIAL</vt:lpstr>
      <vt:lpstr>'American Chambers'!TX_FINANCIAL</vt:lpstr>
      <vt:lpstr>'American Community'!TX_FINANCIAL</vt:lpstr>
      <vt:lpstr>'American Educators'!TX_FINANCIAL</vt:lpstr>
      <vt:lpstr>'American Integrity'!TX_FINANCIAL</vt:lpstr>
      <vt:lpstr>'American Network'!TX_FINANCIAL</vt:lpstr>
      <vt:lpstr>AmerWstrn!TX_FINANCIAL</vt:lpstr>
      <vt:lpstr>'AMS Life'!TX_FINANCIAL</vt:lpstr>
      <vt:lpstr>'Andrew Jackson'!TX_FINANCIAL</vt:lpstr>
      <vt:lpstr>'Bankers Commercial'!TX_FINANCIAL</vt:lpstr>
      <vt:lpstr>Benicorp!TX_FINANCIAL</vt:lpstr>
      <vt:lpstr>'Booker T Washington'!TX_FINANCIAL</vt:lpstr>
      <vt:lpstr>Centennial!TX_FINANCIAL</vt:lpstr>
      <vt:lpstr>'Coastal States'!TX_FINANCIAL</vt:lpstr>
      <vt:lpstr>'Colorado Health'!TX_FINANCIAL</vt:lpstr>
      <vt:lpstr>'Compass (dbs Meritus)'!TX_FINANCIAL</vt:lpstr>
      <vt:lpstr>'Confed Life &amp; Annty (CLIAC)'!TX_FINANCIAL</vt:lpstr>
      <vt:lpstr>'Confed Life (CLIC)'!TX_FINANCIAL</vt:lpstr>
      <vt:lpstr>'Consolidated National'!TX_FINANCIAL</vt:lpstr>
      <vt:lpstr>'Consumers Choice'!TX_FINANCIAL</vt:lpstr>
      <vt:lpstr>'Consumers Mutual'!TX_FINANCIAL</vt:lpstr>
      <vt:lpstr>'Consumers United'!TX_FINANCIAL</vt:lpstr>
      <vt:lpstr>CoOportunity!TX_FINANCIAL</vt:lpstr>
      <vt:lpstr>'Coordinated Hlth'!TX_FINANCIAL</vt:lpstr>
      <vt:lpstr>'Corporate Life'!TX_FINANCIAL</vt:lpstr>
      <vt:lpstr>'Diamond Benefits'!TX_FINANCIAL</vt:lpstr>
      <vt:lpstr>'EBL Life'!TX_FINANCIAL</vt:lpstr>
      <vt:lpstr>ELNY!TX_FINANCIAL</vt:lpstr>
      <vt:lpstr>'Executive Life'!TX_FINANCIAL</vt:lpstr>
      <vt:lpstr>'Family Guaranty'!TX_FINANCIAL</vt:lpstr>
      <vt:lpstr>'Farmers &amp; Ranchers'!TX_FINANCIAL</vt:lpstr>
      <vt:lpstr>'Fidelity Bankers'!TX_FINANCIAL</vt:lpstr>
      <vt:lpstr>'Fidelity Mutual'!TX_FINANCIAL</vt:lpstr>
      <vt:lpstr>'First Capital'!TX_FINANCIAL</vt:lpstr>
      <vt:lpstr>'First Natl'!TX_FINANCIAL</vt:lpstr>
      <vt:lpstr>'First Natl (Thrnr)'!TX_FINANCIAL</vt:lpstr>
      <vt:lpstr>'Franklin American'!TX_FINANCIAL</vt:lpstr>
      <vt:lpstr>'Franklin Protective'!TX_FINANCIAL</vt:lpstr>
      <vt:lpstr>'Freelancers CO-OP'!TX_FINANCIAL</vt:lpstr>
      <vt:lpstr>'George Washington'!TX_FINANCIAL</vt:lpstr>
      <vt:lpstr>'Golden State'!TX_FINANCIAL</vt:lpstr>
      <vt:lpstr>'Guarantee Security'!TX_FINANCIAL</vt:lpstr>
      <vt:lpstr>HealthyCT!TX_FINANCIAL</vt:lpstr>
      <vt:lpstr>Imerica!TX_FINANCIAL</vt:lpstr>
      <vt:lpstr>'Inter-American'!TX_FINANCIAL</vt:lpstr>
      <vt:lpstr>'International Fin'!TX_FINANCIAL</vt:lpstr>
      <vt:lpstr>'Investment Life of America'!TX_FINANCIAL</vt:lpstr>
      <vt:lpstr>'Investors Equity'!TX_FINANCIAL</vt:lpstr>
      <vt:lpstr>'Kentucky Central'!TX_FINANCIAL</vt:lpstr>
      <vt:lpstr>'Land of Lincoln'!TX_FINANCIAL</vt:lpstr>
      <vt:lpstr>Legion!TX_FINANCIAL</vt:lpstr>
      <vt:lpstr>'Life Health America'!TX_FINANCIAL</vt:lpstr>
      <vt:lpstr>'Lincoln Memorial'!TX_FINANCIAL</vt:lpstr>
      <vt:lpstr>'London Pac'!TX_FINANCIAL</vt:lpstr>
      <vt:lpstr>Lumbermens!TX_FINANCIAL</vt:lpstr>
      <vt:lpstr>'Medical Savings'!TX_FINANCIAL</vt:lpstr>
      <vt:lpstr>'Memorial Service'!TX_FINANCIAL</vt:lpstr>
      <vt:lpstr>Midcontinent!TX_FINANCIAL</vt:lpstr>
      <vt:lpstr>'Midwest Life'!TX_FINANCIAL</vt:lpstr>
      <vt:lpstr>'Monarch Life'!TX_FINANCIAL</vt:lpstr>
      <vt:lpstr>'Mutual Benefit'!TX_FINANCIAL</vt:lpstr>
      <vt:lpstr>'Mutual Security'!TX_FINANCIAL</vt:lpstr>
      <vt:lpstr>'National Affiliated'!TX_FINANCIAL</vt:lpstr>
      <vt:lpstr>'National Heritage'!TX_FINANCIAL</vt:lpstr>
      <vt:lpstr>'National States'!TX_FINANCIAL</vt:lpstr>
      <vt:lpstr>'Natl American'!TX_FINANCIAL</vt:lpstr>
      <vt:lpstr>'New Jersey Life'!TX_FINANCIAL</vt:lpstr>
      <vt:lpstr>NNIC!TX_FINANCIAL</vt:lpstr>
      <vt:lpstr>'Old Colony Life'!TX_FINANCIAL</vt:lpstr>
      <vt:lpstr>'Old Faithful'!TX_FINANCIAL</vt:lpstr>
      <vt:lpstr>'Pacific Standard'!TX_FINANCIAL</vt:lpstr>
      <vt:lpstr>'Pen  Treaty'!TX_FINANCIAL</vt:lpstr>
      <vt:lpstr>Reliance!TX_FINANCIAL</vt:lpstr>
      <vt:lpstr>SeeChange!TX_FINANCIAL</vt:lpstr>
      <vt:lpstr>'Senior American'!TX_FINANCIAL</vt:lpstr>
      <vt:lpstr>Settlers!TX_FINANCIAL</vt:lpstr>
      <vt:lpstr>Shenandoah!TX_FINANCIAL</vt:lpstr>
      <vt:lpstr>'Standard Life IN'!TX_FINANCIAL</vt:lpstr>
      <vt:lpstr>'States General'!TX_FINANCIAL</vt:lpstr>
      <vt:lpstr>Statesman!TX_FINANCIAL</vt:lpstr>
      <vt:lpstr>'Summit National'!TX_FINANCIAL</vt:lpstr>
      <vt:lpstr>Supreme!TX_FINANCIAL</vt:lpstr>
      <vt:lpstr>'Total Summary'!TX_FINANCIAL</vt:lpstr>
      <vt:lpstr>Underwriters!TX_FINANCIAL</vt:lpstr>
      <vt:lpstr>Unison!TX_FINANCIAL</vt:lpstr>
      <vt:lpstr>'United Republic'!TX_FINANCIAL</vt:lpstr>
      <vt:lpstr>'Universal Health Care'!TX_FINANCIAL</vt:lpstr>
      <vt:lpstr>'Universal Life'!TX_FINANCIAL</vt:lpstr>
      <vt:lpstr>Universe!TX_FINANCIAL</vt:lpstr>
      <vt:lpstr>Villanova!TX_FINANCIAL</vt:lpstr>
      <vt:lpstr>'Alabama Life'!UNALLOC_CALLED</vt:lpstr>
      <vt:lpstr>'Amer Life Asr'!UNALLOC_CALLED</vt:lpstr>
      <vt:lpstr>'Amer Std Life Acc'!UNALLOC_CALLED</vt:lpstr>
      <vt:lpstr>'American Chambers'!UNALLOC_CALLED</vt:lpstr>
      <vt:lpstr>'American Community'!UNALLOC_CALLED</vt:lpstr>
      <vt:lpstr>'American Educators'!UNALLOC_CALLED</vt:lpstr>
      <vt:lpstr>'American Integrity'!UNALLOC_CALLED</vt:lpstr>
      <vt:lpstr>'American Network'!UNALLOC_CALLED</vt:lpstr>
      <vt:lpstr>AmerWstrn!UNALLOC_CALLED</vt:lpstr>
      <vt:lpstr>'AMS Life'!UNALLOC_CALLED</vt:lpstr>
      <vt:lpstr>'Andrew Jackson'!UNALLOC_CALLED</vt:lpstr>
      <vt:lpstr>'Bankers Commercial'!UNALLOC_CALLED</vt:lpstr>
      <vt:lpstr>Benicorp!UNALLOC_CALLED</vt:lpstr>
      <vt:lpstr>'Booker T Washington'!UNALLOC_CALLED</vt:lpstr>
      <vt:lpstr>Centennial!UNALLOC_CALLED</vt:lpstr>
      <vt:lpstr>'Coastal States'!UNALLOC_CALLED</vt:lpstr>
      <vt:lpstr>'Colorado Health'!UNALLOC_CALLED</vt:lpstr>
      <vt:lpstr>'Compass (dbs Meritus)'!UNALLOC_CALLED</vt:lpstr>
      <vt:lpstr>'Confed Life &amp; Annty (CLIAC)'!UNALLOC_CALLED</vt:lpstr>
      <vt:lpstr>'Confed Life (CLIC)'!UNALLOC_CALLED</vt:lpstr>
      <vt:lpstr>'Consolidated National'!UNALLOC_CALLED</vt:lpstr>
      <vt:lpstr>'Consumers Choice'!UNALLOC_CALLED</vt:lpstr>
      <vt:lpstr>'Consumers Mutual'!UNALLOC_CALLED</vt:lpstr>
      <vt:lpstr>'Consumers United'!UNALLOC_CALLED</vt:lpstr>
      <vt:lpstr>CoOportunity!UNALLOC_CALLED</vt:lpstr>
      <vt:lpstr>'Coordinated Hlth'!UNALLOC_CALLED</vt:lpstr>
      <vt:lpstr>'Corporate Life'!UNALLOC_CALLED</vt:lpstr>
      <vt:lpstr>'Diamond Benefits'!UNALLOC_CALLED</vt:lpstr>
      <vt:lpstr>'EBL Life'!UNALLOC_CALLED</vt:lpstr>
      <vt:lpstr>ELNY!UNALLOC_CALLED</vt:lpstr>
      <vt:lpstr>'Executive Life'!UNALLOC_CALLED</vt:lpstr>
      <vt:lpstr>'Family Guaranty'!UNALLOC_CALLED</vt:lpstr>
      <vt:lpstr>'Farmers &amp; Ranchers'!UNALLOC_CALLED</vt:lpstr>
      <vt:lpstr>'Fidelity Bankers'!UNALLOC_CALLED</vt:lpstr>
      <vt:lpstr>'Fidelity Mutual'!UNALLOC_CALLED</vt:lpstr>
      <vt:lpstr>'First Capital'!UNALLOC_CALLED</vt:lpstr>
      <vt:lpstr>'First Natl'!UNALLOC_CALLED</vt:lpstr>
      <vt:lpstr>'First Natl (Thrnr)'!UNALLOC_CALLED</vt:lpstr>
      <vt:lpstr>'Franklin American'!UNALLOC_CALLED</vt:lpstr>
      <vt:lpstr>'Franklin Protective'!UNALLOC_CALLED</vt:lpstr>
      <vt:lpstr>'Freelancers CO-OP'!UNALLOC_CALLED</vt:lpstr>
      <vt:lpstr>'George Washington'!UNALLOC_CALLED</vt:lpstr>
      <vt:lpstr>'Golden State'!UNALLOC_CALLED</vt:lpstr>
      <vt:lpstr>'Guarantee Security'!UNALLOC_CALLED</vt:lpstr>
      <vt:lpstr>HealthyCT!UNALLOC_CALLED</vt:lpstr>
      <vt:lpstr>Imerica!UNALLOC_CALLED</vt:lpstr>
      <vt:lpstr>'Inter-American'!UNALLOC_CALLED</vt:lpstr>
      <vt:lpstr>'International Fin'!UNALLOC_CALLED</vt:lpstr>
      <vt:lpstr>'Investment Life of America'!UNALLOC_CALLED</vt:lpstr>
      <vt:lpstr>'Investors Equity'!UNALLOC_CALLED</vt:lpstr>
      <vt:lpstr>'Kentucky Central'!UNALLOC_CALLED</vt:lpstr>
      <vt:lpstr>'Land of Lincoln'!UNALLOC_CALLED</vt:lpstr>
      <vt:lpstr>Legion!UNALLOC_CALLED</vt:lpstr>
      <vt:lpstr>'Life Health America'!UNALLOC_CALLED</vt:lpstr>
      <vt:lpstr>'Lincoln Memorial'!UNALLOC_CALLED</vt:lpstr>
      <vt:lpstr>'London Pac'!UNALLOC_CALLED</vt:lpstr>
      <vt:lpstr>Lumbermens!UNALLOC_CALLED</vt:lpstr>
      <vt:lpstr>'Medical Savings'!UNALLOC_CALLED</vt:lpstr>
      <vt:lpstr>'Memorial Service'!UNALLOC_CALLED</vt:lpstr>
      <vt:lpstr>Midcontinent!UNALLOC_CALLED</vt:lpstr>
      <vt:lpstr>'Midwest Life'!UNALLOC_CALLED</vt:lpstr>
      <vt:lpstr>'Monarch Life'!UNALLOC_CALLED</vt:lpstr>
      <vt:lpstr>'Mutual Benefit'!UNALLOC_CALLED</vt:lpstr>
      <vt:lpstr>'Mutual Security'!UNALLOC_CALLED</vt:lpstr>
      <vt:lpstr>'National Affiliated'!UNALLOC_CALLED</vt:lpstr>
      <vt:lpstr>'National Heritage'!UNALLOC_CALLED</vt:lpstr>
      <vt:lpstr>'National States'!UNALLOC_CALLED</vt:lpstr>
      <vt:lpstr>'Natl American'!UNALLOC_CALLED</vt:lpstr>
      <vt:lpstr>'New Jersey Life'!UNALLOC_CALLED</vt:lpstr>
      <vt:lpstr>NNIC!UNALLOC_CALLED</vt:lpstr>
      <vt:lpstr>'Old Colony Life'!UNALLOC_CALLED</vt:lpstr>
      <vt:lpstr>'Old Faithful'!UNALLOC_CALLED</vt:lpstr>
      <vt:lpstr>'Pacific Standard'!UNALLOC_CALLED</vt:lpstr>
      <vt:lpstr>'Pen  Treaty'!UNALLOC_CALLED</vt:lpstr>
      <vt:lpstr>Reliance!UNALLOC_CALLED</vt:lpstr>
      <vt:lpstr>SeeChange!UNALLOC_CALLED</vt:lpstr>
      <vt:lpstr>'Senior American'!UNALLOC_CALLED</vt:lpstr>
      <vt:lpstr>Settlers!UNALLOC_CALLED</vt:lpstr>
      <vt:lpstr>Shenandoah!UNALLOC_CALLED</vt:lpstr>
      <vt:lpstr>'Standard Life IN'!UNALLOC_CALLED</vt:lpstr>
      <vt:lpstr>'States General'!UNALLOC_CALLED</vt:lpstr>
      <vt:lpstr>Statesman!UNALLOC_CALLED</vt:lpstr>
      <vt:lpstr>'Summit National'!UNALLOC_CALLED</vt:lpstr>
      <vt:lpstr>Supreme!UNALLOC_CALLED</vt:lpstr>
      <vt:lpstr>'Total Summary'!UNALLOC_CALLED</vt:lpstr>
      <vt:lpstr>Underwriters!UNALLOC_CALLED</vt:lpstr>
      <vt:lpstr>Unison!UNALLOC_CALLED</vt:lpstr>
      <vt:lpstr>'United Republic'!UNALLOC_CALLED</vt:lpstr>
      <vt:lpstr>'Universal Health Care'!UNALLOC_CALLED</vt:lpstr>
      <vt:lpstr>'Universal Life'!UNALLOC_CALLED</vt:lpstr>
      <vt:lpstr>Universe!UNALLOC_CALLED</vt:lpstr>
      <vt:lpstr>Villanova!UNALLOC_CALLED</vt:lpstr>
      <vt:lpstr>'Alabama Life'!UNALLOC_REFUNDED</vt:lpstr>
      <vt:lpstr>'Amer Life Asr'!UNALLOC_REFUNDED</vt:lpstr>
      <vt:lpstr>'Amer Std Life Acc'!UNALLOC_REFUNDED</vt:lpstr>
      <vt:lpstr>'American Chambers'!UNALLOC_REFUNDED</vt:lpstr>
      <vt:lpstr>'American Community'!UNALLOC_REFUNDED</vt:lpstr>
      <vt:lpstr>'American Educators'!UNALLOC_REFUNDED</vt:lpstr>
      <vt:lpstr>'American Integrity'!UNALLOC_REFUNDED</vt:lpstr>
      <vt:lpstr>'American Network'!UNALLOC_REFUNDED</vt:lpstr>
      <vt:lpstr>AmerWstrn!UNALLOC_REFUNDED</vt:lpstr>
      <vt:lpstr>'AMS Life'!UNALLOC_REFUNDED</vt:lpstr>
      <vt:lpstr>'Andrew Jackson'!UNALLOC_REFUNDED</vt:lpstr>
      <vt:lpstr>'Bankers Commercial'!UNALLOC_REFUNDED</vt:lpstr>
      <vt:lpstr>Benicorp!UNALLOC_REFUNDED</vt:lpstr>
      <vt:lpstr>'Booker T Washington'!UNALLOC_REFUNDED</vt:lpstr>
      <vt:lpstr>Centennial!UNALLOC_REFUNDED</vt:lpstr>
      <vt:lpstr>'Coastal States'!UNALLOC_REFUNDED</vt:lpstr>
      <vt:lpstr>'Colorado Health'!UNALLOC_REFUNDED</vt:lpstr>
      <vt:lpstr>'Compass (dbs Meritus)'!UNALLOC_REFUNDED</vt:lpstr>
      <vt:lpstr>'Confed Life &amp; Annty (CLIAC)'!UNALLOC_REFUNDED</vt:lpstr>
      <vt:lpstr>'Confed Life (CLIC)'!UNALLOC_REFUNDED</vt:lpstr>
      <vt:lpstr>'Consolidated National'!UNALLOC_REFUNDED</vt:lpstr>
      <vt:lpstr>'Consumers Choice'!UNALLOC_REFUNDED</vt:lpstr>
      <vt:lpstr>'Consumers Mutual'!UNALLOC_REFUNDED</vt:lpstr>
      <vt:lpstr>'Consumers United'!UNALLOC_REFUNDED</vt:lpstr>
      <vt:lpstr>CoOportunity!UNALLOC_REFUNDED</vt:lpstr>
      <vt:lpstr>'Coordinated Hlth'!UNALLOC_REFUNDED</vt:lpstr>
      <vt:lpstr>'Corporate Life'!UNALLOC_REFUNDED</vt:lpstr>
      <vt:lpstr>'Diamond Benefits'!UNALLOC_REFUNDED</vt:lpstr>
      <vt:lpstr>'EBL Life'!UNALLOC_REFUNDED</vt:lpstr>
      <vt:lpstr>ELNY!UNALLOC_REFUNDED</vt:lpstr>
      <vt:lpstr>'Executive Life'!UNALLOC_REFUNDED</vt:lpstr>
      <vt:lpstr>'Family Guaranty'!UNALLOC_REFUNDED</vt:lpstr>
      <vt:lpstr>'Farmers &amp; Ranchers'!UNALLOC_REFUNDED</vt:lpstr>
      <vt:lpstr>'Fidelity Bankers'!UNALLOC_REFUNDED</vt:lpstr>
      <vt:lpstr>'Fidelity Mutual'!UNALLOC_REFUNDED</vt:lpstr>
      <vt:lpstr>'First Capital'!UNALLOC_REFUNDED</vt:lpstr>
      <vt:lpstr>'First Natl'!UNALLOC_REFUNDED</vt:lpstr>
      <vt:lpstr>'First Natl (Thrnr)'!UNALLOC_REFUNDED</vt:lpstr>
      <vt:lpstr>'Franklin American'!UNALLOC_REFUNDED</vt:lpstr>
      <vt:lpstr>'Franklin Protective'!UNALLOC_REFUNDED</vt:lpstr>
      <vt:lpstr>'Freelancers CO-OP'!UNALLOC_REFUNDED</vt:lpstr>
      <vt:lpstr>'George Washington'!UNALLOC_REFUNDED</vt:lpstr>
      <vt:lpstr>'Golden State'!UNALLOC_REFUNDED</vt:lpstr>
      <vt:lpstr>'Guarantee Security'!UNALLOC_REFUNDED</vt:lpstr>
      <vt:lpstr>HealthyCT!UNALLOC_REFUNDED</vt:lpstr>
      <vt:lpstr>Imerica!UNALLOC_REFUNDED</vt:lpstr>
      <vt:lpstr>'Inter-American'!UNALLOC_REFUNDED</vt:lpstr>
      <vt:lpstr>'International Fin'!UNALLOC_REFUNDED</vt:lpstr>
      <vt:lpstr>'Investment Life of America'!UNALLOC_REFUNDED</vt:lpstr>
      <vt:lpstr>'Investors Equity'!UNALLOC_REFUNDED</vt:lpstr>
      <vt:lpstr>'Kentucky Central'!UNALLOC_REFUNDED</vt:lpstr>
      <vt:lpstr>'Land of Lincoln'!UNALLOC_REFUNDED</vt:lpstr>
      <vt:lpstr>Legion!UNALLOC_REFUNDED</vt:lpstr>
      <vt:lpstr>'Life Health America'!UNALLOC_REFUNDED</vt:lpstr>
      <vt:lpstr>'Lincoln Memorial'!UNALLOC_REFUNDED</vt:lpstr>
      <vt:lpstr>'London Pac'!UNALLOC_REFUNDED</vt:lpstr>
      <vt:lpstr>Lumbermens!UNALLOC_REFUNDED</vt:lpstr>
      <vt:lpstr>'Medical Savings'!UNALLOC_REFUNDED</vt:lpstr>
      <vt:lpstr>'Memorial Service'!UNALLOC_REFUNDED</vt:lpstr>
      <vt:lpstr>Midcontinent!UNALLOC_REFUNDED</vt:lpstr>
      <vt:lpstr>'Midwest Life'!UNALLOC_REFUNDED</vt:lpstr>
      <vt:lpstr>'Monarch Life'!UNALLOC_REFUNDED</vt:lpstr>
      <vt:lpstr>'Mutual Benefit'!UNALLOC_REFUNDED</vt:lpstr>
      <vt:lpstr>'Mutual Security'!UNALLOC_REFUNDED</vt:lpstr>
      <vt:lpstr>'National Affiliated'!UNALLOC_REFUNDED</vt:lpstr>
      <vt:lpstr>'National Heritage'!UNALLOC_REFUNDED</vt:lpstr>
      <vt:lpstr>'National States'!UNALLOC_REFUNDED</vt:lpstr>
      <vt:lpstr>'Natl American'!UNALLOC_REFUNDED</vt:lpstr>
      <vt:lpstr>'New Jersey Life'!UNALLOC_REFUNDED</vt:lpstr>
      <vt:lpstr>NNIC!UNALLOC_REFUNDED</vt:lpstr>
      <vt:lpstr>'Old Colony Life'!UNALLOC_REFUNDED</vt:lpstr>
      <vt:lpstr>'Old Faithful'!UNALLOC_REFUNDED</vt:lpstr>
      <vt:lpstr>'Pacific Standard'!UNALLOC_REFUNDED</vt:lpstr>
      <vt:lpstr>'Pen  Treaty'!UNALLOC_REFUNDED</vt:lpstr>
      <vt:lpstr>Reliance!UNALLOC_REFUNDED</vt:lpstr>
      <vt:lpstr>SeeChange!UNALLOC_REFUNDED</vt:lpstr>
      <vt:lpstr>'Senior American'!UNALLOC_REFUNDED</vt:lpstr>
      <vt:lpstr>Settlers!UNALLOC_REFUNDED</vt:lpstr>
      <vt:lpstr>Shenandoah!UNALLOC_REFUNDED</vt:lpstr>
      <vt:lpstr>'Standard Life IN'!UNALLOC_REFUNDED</vt:lpstr>
      <vt:lpstr>'States General'!UNALLOC_REFUNDED</vt:lpstr>
      <vt:lpstr>Statesman!UNALLOC_REFUNDED</vt:lpstr>
      <vt:lpstr>'Summit National'!UNALLOC_REFUNDED</vt:lpstr>
      <vt:lpstr>Supreme!UNALLOC_REFUNDED</vt:lpstr>
      <vt:lpstr>'Total Summary'!UNALLOC_REFUNDED</vt:lpstr>
      <vt:lpstr>Underwriters!UNALLOC_REFUNDED</vt:lpstr>
      <vt:lpstr>Unison!UNALLOC_REFUNDED</vt:lpstr>
      <vt:lpstr>'United Republic'!UNALLOC_REFUNDED</vt:lpstr>
      <vt:lpstr>'Universal Health Care'!UNALLOC_REFUNDED</vt:lpstr>
      <vt:lpstr>'Universal Life'!UNALLOC_REFUNDED</vt:lpstr>
      <vt:lpstr>Universe!UNALLOC_REFUNDED</vt:lpstr>
      <vt:lpstr>Villanova!UNALLOC_REFUNDED</vt:lpstr>
      <vt:lpstr>'Alabama Life'!UNALLOCATED</vt:lpstr>
      <vt:lpstr>'Amer Life Asr'!UNALLOCATED</vt:lpstr>
      <vt:lpstr>'Amer Std Life Acc'!UNALLOCATED</vt:lpstr>
      <vt:lpstr>'American Chambers'!UNALLOCATED</vt:lpstr>
      <vt:lpstr>'American Community'!UNALLOCATED</vt:lpstr>
      <vt:lpstr>'American Educators'!UNALLOCATED</vt:lpstr>
      <vt:lpstr>'American Integrity'!UNALLOCATED</vt:lpstr>
      <vt:lpstr>'American Network'!UNALLOCATED</vt:lpstr>
      <vt:lpstr>AmerWstrn!UNALLOCATED</vt:lpstr>
      <vt:lpstr>'AMS Life'!UNALLOCATED</vt:lpstr>
      <vt:lpstr>'Andrew Jackson'!UNALLOCATED</vt:lpstr>
      <vt:lpstr>'Bankers Commercial'!UNALLOCATED</vt:lpstr>
      <vt:lpstr>Benicorp!UNALLOCATED</vt:lpstr>
      <vt:lpstr>'Booker T Washington'!UNALLOCATED</vt:lpstr>
      <vt:lpstr>Centennial!UNALLOCATED</vt:lpstr>
      <vt:lpstr>'Closed Summary'!UNALLOCATED</vt:lpstr>
      <vt:lpstr>'Coastal States'!UNALLOCATED</vt:lpstr>
      <vt:lpstr>'Colorado Health'!UNALLOCATED</vt:lpstr>
      <vt:lpstr>'Compass (dbs Meritus)'!UNALLOCATED</vt:lpstr>
      <vt:lpstr>'Confed Life &amp; Annty (CLIAC)'!UNALLOCATED</vt:lpstr>
      <vt:lpstr>'Confed Life (CLIC)'!UNALLOCATED</vt:lpstr>
      <vt:lpstr>'Consolidated National'!UNALLOCATED</vt:lpstr>
      <vt:lpstr>'Consumers Choice'!UNALLOCATED</vt:lpstr>
      <vt:lpstr>'Consumers Mutual'!UNALLOCATED</vt:lpstr>
      <vt:lpstr>'Consumers United'!UNALLOCATED</vt:lpstr>
      <vt:lpstr>CoOportunity!UNALLOCATED</vt:lpstr>
      <vt:lpstr>'Coordinated Hlth'!UNALLOCATED</vt:lpstr>
      <vt:lpstr>'Corporate Life'!UNALLOCATED</vt:lpstr>
      <vt:lpstr>'Diamond Benefits'!UNALLOCATED</vt:lpstr>
      <vt:lpstr>'EBL Life'!UNALLOCATED</vt:lpstr>
      <vt:lpstr>ELNY!UNALLOCATED</vt:lpstr>
      <vt:lpstr>'Estate Closed Summary'!UNALLOCATED</vt:lpstr>
      <vt:lpstr>'Executive Life'!UNALLOCATED</vt:lpstr>
      <vt:lpstr>'Family Guaranty'!UNALLOCATED</vt:lpstr>
      <vt:lpstr>'Farmers &amp; Ranchers'!UNALLOCATED</vt:lpstr>
      <vt:lpstr>'Fidelity Bankers'!UNALLOCATED</vt:lpstr>
      <vt:lpstr>'Fidelity Mutual'!UNALLOCATED</vt:lpstr>
      <vt:lpstr>'First Capital'!UNALLOCATED</vt:lpstr>
      <vt:lpstr>'First Natl'!UNALLOCATED</vt:lpstr>
      <vt:lpstr>'First Natl (Thrnr)'!UNALLOCATED</vt:lpstr>
      <vt:lpstr>'Franklin American'!UNALLOCATED</vt:lpstr>
      <vt:lpstr>'Franklin Protective'!UNALLOCATED</vt:lpstr>
      <vt:lpstr>'Freelancers CO-OP'!UNALLOCATED</vt:lpstr>
      <vt:lpstr>'George Washington'!UNALLOCATED</vt:lpstr>
      <vt:lpstr>'Golden State'!UNALLOCATED</vt:lpstr>
      <vt:lpstr>'Guarantee Security'!UNALLOCATED</vt:lpstr>
      <vt:lpstr>HealthyCT!UNALLOCATED</vt:lpstr>
      <vt:lpstr>Imerica!UNALLOCATED</vt:lpstr>
      <vt:lpstr>'Inter-American'!UNALLOCATED</vt:lpstr>
      <vt:lpstr>'International Fin'!UNALLOCATED</vt:lpstr>
      <vt:lpstr>'Investment Life of America'!UNALLOCATED</vt:lpstr>
      <vt:lpstr>'Investors Equity'!UNALLOCATED</vt:lpstr>
      <vt:lpstr>'Kentucky Central'!UNALLOCATED</vt:lpstr>
      <vt:lpstr>'Land of Lincoln'!UNALLOCATED</vt:lpstr>
      <vt:lpstr>Legion!UNALLOCATED</vt:lpstr>
      <vt:lpstr>'Life Health America'!UNALLOCATED</vt:lpstr>
      <vt:lpstr>'Lincoln Memorial'!UNALLOCATED</vt:lpstr>
      <vt:lpstr>'London Pac'!UNALLOCATED</vt:lpstr>
      <vt:lpstr>Lumbermens!UNALLOCATED</vt:lpstr>
      <vt:lpstr>'Medical Savings'!UNALLOCATED</vt:lpstr>
      <vt:lpstr>'Memorial Service'!UNALLOCATED</vt:lpstr>
      <vt:lpstr>Midcontinent!UNALLOCATED</vt:lpstr>
      <vt:lpstr>'Midwest Life'!UNALLOCATED</vt:lpstr>
      <vt:lpstr>'Monarch Life'!UNALLOCATED</vt:lpstr>
      <vt:lpstr>'Mutual Benefit'!UNALLOCATED</vt:lpstr>
      <vt:lpstr>'Mutual Security'!UNALLOCATED</vt:lpstr>
      <vt:lpstr>'National Affiliated'!UNALLOCATED</vt:lpstr>
      <vt:lpstr>'National Heritage'!UNALLOCATED</vt:lpstr>
      <vt:lpstr>'National States'!UNALLOCATED</vt:lpstr>
      <vt:lpstr>'Natl American'!UNALLOCATED</vt:lpstr>
      <vt:lpstr>'New Jersey Life'!UNALLOCATED</vt:lpstr>
      <vt:lpstr>NNIC!UNALLOCATED</vt:lpstr>
      <vt:lpstr>'Old Colony Life'!UNALLOCATED</vt:lpstr>
      <vt:lpstr>'Old Faithful'!UNALLOCATED</vt:lpstr>
      <vt:lpstr>'Open Summary'!UNALLOCATED</vt:lpstr>
      <vt:lpstr>'Pacific Standard'!UNALLOCATED</vt:lpstr>
      <vt:lpstr>'Pen  Treaty'!UNALLOCATED</vt:lpstr>
      <vt:lpstr>'Pre-Liquidation Summary'!UNALLOCATED</vt:lpstr>
      <vt:lpstr>'Released from Oversight Summary'!UNALLOCATED</vt:lpstr>
      <vt:lpstr>Reliance!UNALLOCATED</vt:lpstr>
      <vt:lpstr>SeeChange!UNALLOCATED</vt:lpstr>
      <vt:lpstr>'Senior American'!UNALLOCATED</vt:lpstr>
      <vt:lpstr>Settlers!UNALLOCATED</vt:lpstr>
      <vt:lpstr>Shenandoah!UNALLOCATED</vt:lpstr>
      <vt:lpstr>'Standard Life IN'!UNALLOCATED</vt:lpstr>
      <vt:lpstr>'States General'!UNALLOCATED</vt:lpstr>
      <vt:lpstr>Statesman!UNALLOCATED</vt:lpstr>
      <vt:lpstr>'Summit National'!UNALLOCATED</vt:lpstr>
      <vt:lpstr>Supreme!UNALLOCATED</vt:lpstr>
      <vt:lpstr>'Total Summary'!UNALLOCATED</vt:lpstr>
      <vt:lpstr>Underwriters!UNALLOCATED</vt:lpstr>
      <vt:lpstr>Unison!UNALLOCATED</vt:lpstr>
      <vt:lpstr>'United Republic'!UNALLOCATED</vt:lpstr>
      <vt:lpstr>'Universal Health Care'!UNALLOCATED</vt:lpstr>
      <vt:lpstr>'Universal Life'!UNALLOCATED</vt:lpstr>
      <vt:lpstr>Universe!UNALLOCATED</vt:lpstr>
      <vt:lpstr>Villanova!UNALLOCATED</vt:lpstr>
      <vt:lpstr>'Alabama Life'!UT_FINANCIAL</vt:lpstr>
      <vt:lpstr>'Amer Life Asr'!UT_FINANCIAL</vt:lpstr>
      <vt:lpstr>'Amer Std Life Acc'!UT_FINANCIAL</vt:lpstr>
      <vt:lpstr>'American Chambers'!UT_FINANCIAL</vt:lpstr>
      <vt:lpstr>'American Community'!UT_FINANCIAL</vt:lpstr>
      <vt:lpstr>'American Educators'!UT_FINANCIAL</vt:lpstr>
      <vt:lpstr>'American Integrity'!UT_FINANCIAL</vt:lpstr>
      <vt:lpstr>'American Network'!UT_FINANCIAL</vt:lpstr>
      <vt:lpstr>AmerWstrn!UT_FINANCIAL</vt:lpstr>
      <vt:lpstr>'AMS Life'!UT_FINANCIAL</vt:lpstr>
      <vt:lpstr>'Andrew Jackson'!UT_FINANCIAL</vt:lpstr>
      <vt:lpstr>'Bankers Commercial'!UT_FINANCIAL</vt:lpstr>
      <vt:lpstr>Benicorp!UT_FINANCIAL</vt:lpstr>
      <vt:lpstr>'Booker T Washington'!UT_FINANCIAL</vt:lpstr>
      <vt:lpstr>Centennial!UT_FINANCIAL</vt:lpstr>
      <vt:lpstr>'Coastal States'!UT_FINANCIAL</vt:lpstr>
      <vt:lpstr>'Colorado Health'!UT_FINANCIAL</vt:lpstr>
      <vt:lpstr>'Compass (dbs Meritus)'!UT_FINANCIAL</vt:lpstr>
      <vt:lpstr>'Confed Life &amp; Annty (CLIAC)'!UT_FINANCIAL</vt:lpstr>
      <vt:lpstr>'Confed Life (CLIC)'!UT_FINANCIAL</vt:lpstr>
      <vt:lpstr>'Consolidated National'!UT_FINANCIAL</vt:lpstr>
      <vt:lpstr>'Consumers Choice'!UT_FINANCIAL</vt:lpstr>
      <vt:lpstr>'Consumers Mutual'!UT_FINANCIAL</vt:lpstr>
      <vt:lpstr>'Consumers United'!UT_FINANCIAL</vt:lpstr>
      <vt:lpstr>CoOportunity!UT_FINANCIAL</vt:lpstr>
      <vt:lpstr>'Coordinated Hlth'!UT_FINANCIAL</vt:lpstr>
      <vt:lpstr>'Corporate Life'!UT_FINANCIAL</vt:lpstr>
      <vt:lpstr>'Diamond Benefits'!UT_FINANCIAL</vt:lpstr>
      <vt:lpstr>'EBL Life'!UT_FINANCIAL</vt:lpstr>
      <vt:lpstr>ELNY!UT_FINANCIAL</vt:lpstr>
      <vt:lpstr>'Executive Life'!UT_FINANCIAL</vt:lpstr>
      <vt:lpstr>'Family Guaranty'!UT_FINANCIAL</vt:lpstr>
      <vt:lpstr>'Farmers &amp; Ranchers'!UT_FINANCIAL</vt:lpstr>
      <vt:lpstr>'Fidelity Bankers'!UT_FINANCIAL</vt:lpstr>
      <vt:lpstr>'Fidelity Mutual'!UT_FINANCIAL</vt:lpstr>
      <vt:lpstr>'First Capital'!UT_FINANCIAL</vt:lpstr>
      <vt:lpstr>'First Natl'!UT_FINANCIAL</vt:lpstr>
      <vt:lpstr>'First Natl (Thrnr)'!UT_FINANCIAL</vt:lpstr>
      <vt:lpstr>'Franklin American'!UT_FINANCIAL</vt:lpstr>
      <vt:lpstr>'Franklin Protective'!UT_FINANCIAL</vt:lpstr>
      <vt:lpstr>'Freelancers CO-OP'!UT_FINANCIAL</vt:lpstr>
      <vt:lpstr>'George Washington'!UT_FINANCIAL</vt:lpstr>
      <vt:lpstr>'Golden State'!UT_FINANCIAL</vt:lpstr>
      <vt:lpstr>'Guarantee Security'!UT_FINANCIAL</vt:lpstr>
      <vt:lpstr>HealthyCT!UT_FINANCIAL</vt:lpstr>
      <vt:lpstr>Imerica!UT_FINANCIAL</vt:lpstr>
      <vt:lpstr>'Inter-American'!UT_FINANCIAL</vt:lpstr>
      <vt:lpstr>'International Fin'!UT_FINANCIAL</vt:lpstr>
      <vt:lpstr>'Investment Life of America'!UT_FINANCIAL</vt:lpstr>
      <vt:lpstr>'Investors Equity'!UT_FINANCIAL</vt:lpstr>
      <vt:lpstr>'Kentucky Central'!UT_FINANCIAL</vt:lpstr>
      <vt:lpstr>'Land of Lincoln'!UT_FINANCIAL</vt:lpstr>
      <vt:lpstr>Legion!UT_FINANCIAL</vt:lpstr>
      <vt:lpstr>'Life Health America'!UT_FINANCIAL</vt:lpstr>
      <vt:lpstr>'Lincoln Memorial'!UT_FINANCIAL</vt:lpstr>
      <vt:lpstr>'London Pac'!UT_FINANCIAL</vt:lpstr>
      <vt:lpstr>Lumbermens!UT_FINANCIAL</vt:lpstr>
      <vt:lpstr>'Medical Savings'!UT_FINANCIAL</vt:lpstr>
      <vt:lpstr>'Memorial Service'!UT_FINANCIAL</vt:lpstr>
      <vt:lpstr>Midcontinent!UT_FINANCIAL</vt:lpstr>
      <vt:lpstr>'Midwest Life'!UT_FINANCIAL</vt:lpstr>
      <vt:lpstr>'Monarch Life'!UT_FINANCIAL</vt:lpstr>
      <vt:lpstr>'Mutual Benefit'!UT_FINANCIAL</vt:lpstr>
      <vt:lpstr>'Mutual Security'!UT_FINANCIAL</vt:lpstr>
      <vt:lpstr>'National Affiliated'!UT_FINANCIAL</vt:lpstr>
      <vt:lpstr>'National Heritage'!UT_FINANCIAL</vt:lpstr>
      <vt:lpstr>'National States'!UT_FINANCIAL</vt:lpstr>
      <vt:lpstr>'Natl American'!UT_FINANCIAL</vt:lpstr>
      <vt:lpstr>'New Jersey Life'!UT_FINANCIAL</vt:lpstr>
      <vt:lpstr>NNIC!UT_FINANCIAL</vt:lpstr>
      <vt:lpstr>'Old Colony Life'!UT_FINANCIAL</vt:lpstr>
      <vt:lpstr>'Old Faithful'!UT_FINANCIAL</vt:lpstr>
      <vt:lpstr>'Pacific Standard'!UT_FINANCIAL</vt:lpstr>
      <vt:lpstr>'Pen  Treaty'!UT_FINANCIAL</vt:lpstr>
      <vt:lpstr>Reliance!UT_FINANCIAL</vt:lpstr>
      <vt:lpstr>SeeChange!UT_FINANCIAL</vt:lpstr>
      <vt:lpstr>'Senior American'!UT_FINANCIAL</vt:lpstr>
      <vt:lpstr>Settlers!UT_FINANCIAL</vt:lpstr>
      <vt:lpstr>Shenandoah!UT_FINANCIAL</vt:lpstr>
      <vt:lpstr>'Standard Life IN'!UT_FINANCIAL</vt:lpstr>
      <vt:lpstr>'States General'!UT_FINANCIAL</vt:lpstr>
      <vt:lpstr>Statesman!UT_FINANCIAL</vt:lpstr>
      <vt:lpstr>'Summit National'!UT_FINANCIAL</vt:lpstr>
      <vt:lpstr>Supreme!UT_FINANCIAL</vt:lpstr>
      <vt:lpstr>'Total Summary'!UT_FINANCIAL</vt:lpstr>
      <vt:lpstr>Underwriters!UT_FINANCIAL</vt:lpstr>
      <vt:lpstr>Unison!UT_FINANCIAL</vt:lpstr>
      <vt:lpstr>'United Republic'!UT_FINANCIAL</vt:lpstr>
      <vt:lpstr>'Universal Health Care'!UT_FINANCIAL</vt:lpstr>
      <vt:lpstr>'Universal Life'!UT_FINANCIAL</vt:lpstr>
      <vt:lpstr>Universe!UT_FINANCIAL</vt:lpstr>
      <vt:lpstr>Villanova!UT_FINANCIAL</vt:lpstr>
      <vt:lpstr>'Alabama Life'!VA_FINANCIAL</vt:lpstr>
      <vt:lpstr>'Amer Life Asr'!VA_FINANCIAL</vt:lpstr>
      <vt:lpstr>'Amer Std Life Acc'!VA_FINANCIAL</vt:lpstr>
      <vt:lpstr>'American Chambers'!VA_FINANCIAL</vt:lpstr>
      <vt:lpstr>'American Community'!VA_FINANCIAL</vt:lpstr>
      <vt:lpstr>'American Educators'!VA_FINANCIAL</vt:lpstr>
      <vt:lpstr>'American Integrity'!VA_FINANCIAL</vt:lpstr>
      <vt:lpstr>'American Network'!VA_FINANCIAL</vt:lpstr>
      <vt:lpstr>AmerWstrn!VA_FINANCIAL</vt:lpstr>
      <vt:lpstr>'AMS Life'!VA_FINANCIAL</vt:lpstr>
      <vt:lpstr>'Andrew Jackson'!VA_FINANCIAL</vt:lpstr>
      <vt:lpstr>'Bankers Commercial'!VA_FINANCIAL</vt:lpstr>
      <vt:lpstr>Benicorp!VA_FINANCIAL</vt:lpstr>
      <vt:lpstr>'Booker T Washington'!VA_FINANCIAL</vt:lpstr>
      <vt:lpstr>Centennial!VA_FINANCIAL</vt:lpstr>
      <vt:lpstr>'Coastal States'!VA_FINANCIAL</vt:lpstr>
      <vt:lpstr>'Colorado Health'!VA_FINANCIAL</vt:lpstr>
      <vt:lpstr>'Compass (dbs Meritus)'!VA_FINANCIAL</vt:lpstr>
      <vt:lpstr>'Confed Life &amp; Annty (CLIAC)'!VA_FINANCIAL</vt:lpstr>
      <vt:lpstr>'Confed Life (CLIC)'!VA_FINANCIAL</vt:lpstr>
      <vt:lpstr>'Consolidated National'!VA_FINANCIAL</vt:lpstr>
      <vt:lpstr>'Consumers Choice'!VA_FINANCIAL</vt:lpstr>
      <vt:lpstr>'Consumers Mutual'!VA_FINANCIAL</vt:lpstr>
      <vt:lpstr>'Consumers United'!VA_FINANCIAL</vt:lpstr>
      <vt:lpstr>CoOportunity!VA_FINANCIAL</vt:lpstr>
      <vt:lpstr>'Coordinated Hlth'!VA_FINANCIAL</vt:lpstr>
      <vt:lpstr>'Corporate Life'!VA_FINANCIAL</vt:lpstr>
      <vt:lpstr>'Diamond Benefits'!VA_FINANCIAL</vt:lpstr>
      <vt:lpstr>'EBL Life'!VA_FINANCIAL</vt:lpstr>
      <vt:lpstr>ELNY!VA_FINANCIAL</vt:lpstr>
      <vt:lpstr>'Executive Life'!VA_FINANCIAL</vt:lpstr>
      <vt:lpstr>'Family Guaranty'!VA_FINANCIAL</vt:lpstr>
      <vt:lpstr>'Farmers &amp; Ranchers'!VA_FINANCIAL</vt:lpstr>
      <vt:lpstr>'Fidelity Bankers'!VA_FINANCIAL</vt:lpstr>
      <vt:lpstr>'Fidelity Mutual'!VA_FINANCIAL</vt:lpstr>
      <vt:lpstr>'First Capital'!VA_FINANCIAL</vt:lpstr>
      <vt:lpstr>'First Natl'!VA_FINANCIAL</vt:lpstr>
      <vt:lpstr>'First Natl (Thrnr)'!VA_FINANCIAL</vt:lpstr>
      <vt:lpstr>'Franklin American'!VA_FINANCIAL</vt:lpstr>
      <vt:lpstr>'Franklin Protective'!VA_FINANCIAL</vt:lpstr>
      <vt:lpstr>'Freelancers CO-OP'!VA_FINANCIAL</vt:lpstr>
      <vt:lpstr>'George Washington'!VA_FINANCIAL</vt:lpstr>
      <vt:lpstr>'Golden State'!VA_FINANCIAL</vt:lpstr>
      <vt:lpstr>'Guarantee Security'!VA_FINANCIAL</vt:lpstr>
      <vt:lpstr>HealthyCT!VA_FINANCIAL</vt:lpstr>
      <vt:lpstr>Imerica!VA_FINANCIAL</vt:lpstr>
      <vt:lpstr>'Inter-American'!VA_FINANCIAL</vt:lpstr>
      <vt:lpstr>'International Fin'!VA_FINANCIAL</vt:lpstr>
      <vt:lpstr>'Investment Life of America'!VA_FINANCIAL</vt:lpstr>
      <vt:lpstr>'Investors Equity'!VA_FINANCIAL</vt:lpstr>
      <vt:lpstr>'Kentucky Central'!VA_FINANCIAL</vt:lpstr>
      <vt:lpstr>'Land of Lincoln'!VA_FINANCIAL</vt:lpstr>
      <vt:lpstr>Legion!VA_FINANCIAL</vt:lpstr>
      <vt:lpstr>'Life Health America'!VA_FINANCIAL</vt:lpstr>
      <vt:lpstr>'Lincoln Memorial'!VA_FINANCIAL</vt:lpstr>
      <vt:lpstr>'London Pac'!VA_FINANCIAL</vt:lpstr>
      <vt:lpstr>Lumbermens!VA_FINANCIAL</vt:lpstr>
      <vt:lpstr>'Medical Savings'!VA_FINANCIAL</vt:lpstr>
      <vt:lpstr>'Memorial Service'!VA_FINANCIAL</vt:lpstr>
      <vt:lpstr>Midcontinent!VA_FINANCIAL</vt:lpstr>
      <vt:lpstr>'Midwest Life'!VA_FINANCIAL</vt:lpstr>
      <vt:lpstr>'Monarch Life'!VA_FINANCIAL</vt:lpstr>
      <vt:lpstr>'Mutual Benefit'!VA_FINANCIAL</vt:lpstr>
      <vt:lpstr>'Mutual Security'!VA_FINANCIAL</vt:lpstr>
      <vt:lpstr>'National Affiliated'!VA_FINANCIAL</vt:lpstr>
      <vt:lpstr>'National Heritage'!VA_FINANCIAL</vt:lpstr>
      <vt:lpstr>'National States'!VA_FINANCIAL</vt:lpstr>
      <vt:lpstr>'Natl American'!VA_FINANCIAL</vt:lpstr>
      <vt:lpstr>'New Jersey Life'!VA_FINANCIAL</vt:lpstr>
      <vt:lpstr>NNIC!VA_FINANCIAL</vt:lpstr>
      <vt:lpstr>'Old Colony Life'!VA_FINANCIAL</vt:lpstr>
      <vt:lpstr>'Old Faithful'!VA_FINANCIAL</vt:lpstr>
      <vt:lpstr>'Pacific Standard'!VA_FINANCIAL</vt:lpstr>
      <vt:lpstr>'Pen  Treaty'!VA_FINANCIAL</vt:lpstr>
      <vt:lpstr>Reliance!VA_FINANCIAL</vt:lpstr>
      <vt:lpstr>SeeChange!VA_FINANCIAL</vt:lpstr>
      <vt:lpstr>'Senior American'!VA_FINANCIAL</vt:lpstr>
      <vt:lpstr>Settlers!VA_FINANCIAL</vt:lpstr>
      <vt:lpstr>Shenandoah!VA_FINANCIAL</vt:lpstr>
      <vt:lpstr>'Standard Life IN'!VA_FINANCIAL</vt:lpstr>
      <vt:lpstr>'States General'!VA_FINANCIAL</vt:lpstr>
      <vt:lpstr>Statesman!VA_FINANCIAL</vt:lpstr>
      <vt:lpstr>'Summit National'!VA_FINANCIAL</vt:lpstr>
      <vt:lpstr>Supreme!VA_FINANCIAL</vt:lpstr>
      <vt:lpstr>'Total Summary'!VA_FINANCIAL</vt:lpstr>
      <vt:lpstr>Underwriters!VA_FINANCIAL</vt:lpstr>
      <vt:lpstr>Unison!VA_FINANCIAL</vt:lpstr>
      <vt:lpstr>'United Republic'!VA_FINANCIAL</vt:lpstr>
      <vt:lpstr>'Universal Health Care'!VA_FINANCIAL</vt:lpstr>
      <vt:lpstr>'Universal Life'!VA_FINANCIAL</vt:lpstr>
      <vt:lpstr>Universe!VA_FINANCIAL</vt:lpstr>
      <vt:lpstr>Villanova!VA_FINANCIAL</vt:lpstr>
      <vt:lpstr>'Alabama Life'!VT_FINANCIAL</vt:lpstr>
      <vt:lpstr>'Amer Life Asr'!VT_FINANCIAL</vt:lpstr>
      <vt:lpstr>'Amer Std Life Acc'!VT_FINANCIAL</vt:lpstr>
      <vt:lpstr>'American Chambers'!VT_FINANCIAL</vt:lpstr>
      <vt:lpstr>'American Community'!VT_FINANCIAL</vt:lpstr>
      <vt:lpstr>'American Educators'!VT_FINANCIAL</vt:lpstr>
      <vt:lpstr>'American Integrity'!VT_FINANCIAL</vt:lpstr>
      <vt:lpstr>'American Network'!VT_FINANCIAL</vt:lpstr>
      <vt:lpstr>AmerWstrn!VT_FINANCIAL</vt:lpstr>
      <vt:lpstr>'AMS Life'!VT_FINANCIAL</vt:lpstr>
      <vt:lpstr>'Andrew Jackson'!VT_FINANCIAL</vt:lpstr>
      <vt:lpstr>'Bankers Commercial'!VT_FINANCIAL</vt:lpstr>
      <vt:lpstr>Benicorp!VT_FINANCIAL</vt:lpstr>
      <vt:lpstr>'Booker T Washington'!VT_FINANCIAL</vt:lpstr>
      <vt:lpstr>Centennial!VT_FINANCIAL</vt:lpstr>
      <vt:lpstr>'Coastal States'!VT_FINANCIAL</vt:lpstr>
      <vt:lpstr>'Colorado Health'!VT_FINANCIAL</vt:lpstr>
      <vt:lpstr>'Compass (dbs Meritus)'!VT_FINANCIAL</vt:lpstr>
      <vt:lpstr>'Confed Life &amp; Annty (CLIAC)'!VT_FINANCIAL</vt:lpstr>
      <vt:lpstr>'Confed Life (CLIC)'!VT_FINANCIAL</vt:lpstr>
      <vt:lpstr>'Consolidated National'!VT_FINANCIAL</vt:lpstr>
      <vt:lpstr>'Consumers Choice'!VT_FINANCIAL</vt:lpstr>
      <vt:lpstr>'Consumers Mutual'!VT_FINANCIAL</vt:lpstr>
      <vt:lpstr>'Consumers United'!VT_FINANCIAL</vt:lpstr>
      <vt:lpstr>CoOportunity!VT_FINANCIAL</vt:lpstr>
      <vt:lpstr>'Coordinated Hlth'!VT_FINANCIAL</vt:lpstr>
      <vt:lpstr>'Corporate Life'!VT_FINANCIAL</vt:lpstr>
      <vt:lpstr>'Diamond Benefits'!VT_FINANCIAL</vt:lpstr>
      <vt:lpstr>'EBL Life'!VT_FINANCIAL</vt:lpstr>
      <vt:lpstr>ELNY!VT_FINANCIAL</vt:lpstr>
      <vt:lpstr>'Executive Life'!VT_FINANCIAL</vt:lpstr>
      <vt:lpstr>'Family Guaranty'!VT_FINANCIAL</vt:lpstr>
      <vt:lpstr>'Farmers &amp; Ranchers'!VT_FINANCIAL</vt:lpstr>
      <vt:lpstr>'Fidelity Bankers'!VT_FINANCIAL</vt:lpstr>
      <vt:lpstr>'Fidelity Mutual'!VT_FINANCIAL</vt:lpstr>
      <vt:lpstr>'First Capital'!VT_FINANCIAL</vt:lpstr>
      <vt:lpstr>'First Natl'!VT_FINANCIAL</vt:lpstr>
      <vt:lpstr>'First Natl (Thrnr)'!VT_FINANCIAL</vt:lpstr>
      <vt:lpstr>'Franklin American'!VT_FINANCIAL</vt:lpstr>
      <vt:lpstr>'Franklin Protective'!VT_FINANCIAL</vt:lpstr>
      <vt:lpstr>'Freelancers CO-OP'!VT_FINANCIAL</vt:lpstr>
      <vt:lpstr>'George Washington'!VT_FINANCIAL</vt:lpstr>
      <vt:lpstr>'Golden State'!VT_FINANCIAL</vt:lpstr>
      <vt:lpstr>'Guarantee Security'!VT_FINANCIAL</vt:lpstr>
      <vt:lpstr>HealthyCT!VT_FINANCIAL</vt:lpstr>
      <vt:lpstr>Imerica!VT_FINANCIAL</vt:lpstr>
      <vt:lpstr>'Inter-American'!VT_FINANCIAL</vt:lpstr>
      <vt:lpstr>'International Fin'!VT_FINANCIAL</vt:lpstr>
      <vt:lpstr>'Investment Life of America'!VT_FINANCIAL</vt:lpstr>
      <vt:lpstr>'Investors Equity'!VT_FINANCIAL</vt:lpstr>
      <vt:lpstr>'Kentucky Central'!VT_FINANCIAL</vt:lpstr>
      <vt:lpstr>'Land of Lincoln'!VT_FINANCIAL</vt:lpstr>
      <vt:lpstr>Legion!VT_FINANCIAL</vt:lpstr>
      <vt:lpstr>'Life Health America'!VT_FINANCIAL</vt:lpstr>
      <vt:lpstr>'Lincoln Memorial'!VT_FINANCIAL</vt:lpstr>
      <vt:lpstr>'London Pac'!VT_FINANCIAL</vt:lpstr>
      <vt:lpstr>Lumbermens!VT_FINANCIAL</vt:lpstr>
      <vt:lpstr>'Medical Savings'!VT_FINANCIAL</vt:lpstr>
      <vt:lpstr>'Memorial Service'!VT_FINANCIAL</vt:lpstr>
      <vt:lpstr>Midcontinent!VT_FINANCIAL</vt:lpstr>
      <vt:lpstr>'Midwest Life'!VT_FINANCIAL</vt:lpstr>
      <vt:lpstr>'Monarch Life'!VT_FINANCIAL</vt:lpstr>
      <vt:lpstr>'Mutual Benefit'!VT_FINANCIAL</vt:lpstr>
      <vt:lpstr>'Mutual Security'!VT_FINANCIAL</vt:lpstr>
      <vt:lpstr>'National Affiliated'!VT_FINANCIAL</vt:lpstr>
      <vt:lpstr>'National Heritage'!VT_FINANCIAL</vt:lpstr>
      <vt:lpstr>'National States'!VT_FINANCIAL</vt:lpstr>
      <vt:lpstr>'Natl American'!VT_FINANCIAL</vt:lpstr>
      <vt:lpstr>'New Jersey Life'!VT_FINANCIAL</vt:lpstr>
      <vt:lpstr>NNIC!VT_FINANCIAL</vt:lpstr>
      <vt:lpstr>'Old Colony Life'!VT_FINANCIAL</vt:lpstr>
      <vt:lpstr>'Old Faithful'!VT_FINANCIAL</vt:lpstr>
      <vt:lpstr>'Pacific Standard'!VT_FINANCIAL</vt:lpstr>
      <vt:lpstr>'Pen  Treaty'!VT_FINANCIAL</vt:lpstr>
      <vt:lpstr>Reliance!VT_FINANCIAL</vt:lpstr>
      <vt:lpstr>SeeChange!VT_FINANCIAL</vt:lpstr>
      <vt:lpstr>'Senior American'!VT_FINANCIAL</vt:lpstr>
      <vt:lpstr>Settlers!VT_FINANCIAL</vt:lpstr>
      <vt:lpstr>Shenandoah!VT_FINANCIAL</vt:lpstr>
      <vt:lpstr>'Standard Life IN'!VT_FINANCIAL</vt:lpstr>
      <vt:lpstr>'States General'!VT_FINANCIAL</vt:lpstr>
      <vt:lpstr>Statesman!VT_FINANCIAL</vt:lpstr>
      <vt:lpstr>'Summit National'!VT_FINANCIAL</vt:lpstr>
      <vt:lpstr>Supreme!VT_FINANCIAL</vt:lpstr>
      <vt:lpstr>'Total Summary'!VT_FINANCIAL</vt:lpstr>
      <vt:lpstr>Underwriters!VT_FINANCIAL</vt:lpstr>
      <vt:lpstr>Unison!VT_FINANCIAL</vt:lpstr>
      <vt:lpstr>'United Republic'!VT_FINANCIAL</vt:lpstr>
      <vt:lpstr>'Universal Health Care'!VT_FINANCIAL</vt:lpstr>
      <vt:lpstr>'Universal Life'!VT_FINANCIAL</vt:lpstr>
      <vt:lpstr>Universe!VT_FINANCIAL</vt:lpstr>
      <vt:lpstr>Villanova!VT_FINANCIAL</vt:lpstr>
      <vt:lpstr>'Alabama Life'!WA_FINANCIAL</vt:lpstr>
      <vt:lpstr>'Amer Life Asr'!WA_FINANCIAL</vt:lpstr>
      <vt:lpstr>'Amer Std Life Acc'!WA_FINANCIAL</vt:lpstr>
      <vt:lpstr>'American Chambers'!WA_FINANCIAL</vt:lpstr>
      <vt:lpstr>'American Community'!WA_FINANCIAL</vt:lpstr>
      <vt:lpstr>'American Educators'!WA_FINANCIAL</vt:lpstr>
      <vt:lpstr>'American Integrity'!WA_FINANCIAL</vt:lpstr>
      <vt:lpstr>'American Network'!WA_FINANCIAL</vt:lpstr>
      <vt:lpstr>AmerWstrn!WA_FINANCIAL</vt:lpstr>
      <vt:lpstr>'AMS Life'!WA_FINANCIAL</vt:lpstr>
      <vt:lpstr>'Andrew Jackson'!WA_FINANCIAL</vt:lpstr>
      <vt:lpstr>'Bankers Commercial'!WA_FINANCIAL</vt:lpstr>
      <vt:lpstr>Benicorp!WA_FINANCIAL</vt:lpstr>
      <vt:lpstr>'Booker T Washington'!WA_FINANCIAL</vt:lpstr>
      <vt:lpstr>Centennial!WA_FINANCIAL</vt:lpstr>
      <vt:lpstr>'Coastal States'!WA_FINANCIAL</vt:lpstr>
      <vt:lpstr>'Colorado Health'!WA_FINANCIAL</vt:lpstr>
      <vt:lpstr>'Compass (dbs Meritus)'!WA_FINANCIAL</vt:lpstr>
      <vt:lpstr>'Confed Life &amp; Annty (CLIAC)'!WA_FINANCIAL</vt:lpstr>
      <vt:lpstr>'Confed Life (CLIC)'!WA_FINANCIAL</vt:lpstr>
      <vt:lpstr>'Consolidated National'!WA_FINANCIAL</vt:lpstr>
      <vt:lpstr>'Consumers Choice'!WA_FINANCIAL</vt:lpstr>
      <vt:lpstr>'Consumers Mutual'!WA_FINANCIAL</vt:lpstr>
      <vt:lpstr>'Consumers United'!WA_FINANCIAL</vt:lpstr>
      <vt:lpstr>CoOportunity!WA_FINANCIAL</vt:lpstr>
      <vt:lpstr>'Coordinated Hlth'!WA_FINANCIAL</vt:lpstr>
      <vt:lpstr>'Corporate Life'!WA_FINANCIAL</vt:lpstr>
      <vt:lpstr>'Diamond Benefits'!WA_FINANCIAL</vt:lpstr>
      <vt:lpstr>'EBL Life'!WA_FINANCIAL</vt:lpstr>
      <vt:lpstr>ELNY!WA_FINANCIAL</vt:lpstr>
      <vt:lpstr>'Executive Life'!WA_FINANCIAL</vt:lpstr>
      <vt:lpstr>'Family Guaranty'!WA_FINANCIAL</vt:lpstr>
      <vt:lpstr>'Farmers &amp; Ranchers'!WA_FINANCIAL</vt:lpstr>
      <vt:lpstr>'Fidelity Bankers'!WA_FINANCIAL</vt:lpstr>
      <vt:lpstr>'Fidelity Mutual'!WA_FINANCIAL</vt:lpstr>
      <vt:lpstr>'First Capital'!WA_FINANCIAL</vt:lpstr>
      <vt:lpstr>'First Natl'!WA_FINANCIAL</vt:lpstr>
      <vt:lpstr>'First Natl (Thrnr)'!WA_FINANCIAL</vt:lpstr>
      <vt:lpstr>'Franklin American'!WA_FINANCIAL</vt:lpstr>
      <vt:lpstr>'Franklin Protective'!WA_FINANCIAL</vt:lpstr>
      <vt:lpstr>'Freelancers CO-OP'!WA_FINANCIAL</vt:lpstr>
      <vt:lpstr>'George Washington'!WA_FINANCIAL</vt:lpstr>
      <vt:lpstr>'Golden State'!WA_FINANCIAL</vt:lpstr>
      <vt:lpstr>'Guarantee Security'!WA_FINANCIAL</vt:lpstr>
      <vt:lpstr>HealthyCT!WA_FINANCIAL</vt:lpstr>
      <vt:lpstr>Imerica!WA_FINANCIAL</vt:lpstr>
      <vt:lpstr>'Inter-American'!WA_FINANCIAL</vt:lpstr>
      <vt:lpstr>'International Fin'!WA_FINANCIAL</vt:lpstr>
      <vt:lpstr>'Investment Life of America'!WA_FINANCIAL</vt:lpstr>
      <vt:lpstr>'Investors Equity'!WA_FINANCIAL</vt:lpstr>
      <vt:lpstr>'Kentucky Central'!WA_FINANCIAL</vt:lpstr>
      <vt:lpstr>'Land of Lincoln'!WA_FINANCIAL</vt:lpstr>
      <vt:lpstr>Legion!WA_FINANCIAL</vt:lpstr>
      <vt:lpstr>'Life Health America'!WA_FINANCIAL</vt:lpstr>
      <vt:lpstr>'Lincoln Memorial'!WA_FINANCIAL</vt:lpstr>
      <vt:lpstr>'London Pac'!WA_FINANCIAL</vt:lpstr>
      <vt:lpstr>Lumbermens!WA_FINANCIAL</vt:lpstr>
      <vt:lpstr>'Medical Savings'!WA_FINANCIAL</vt:lpstr>
      <vt:lpstr>'Memorial Service'!WA_FINANCIAL</vt:lpstr>
      <vt:lpstr>Midcontinent!WA_FINANCIAL</vt:lpstr>
      <vt:lpstr>'Midwest Life'!WA_FINANCIAL</vt:lpstr>
      <vt:lpstr>'Monarch Life'!WA_FINANCIAL</vt:lpstr>
      <vt:lpstr>'Mutual Benefit'!WA_FINANCIAL</vt:lpstr>
      <vt:lpstr>'Mutual Security'!WA_FINANCIAL</vt:lpstr>
      <vt:lpstr>'National Affiliated'!WA_FINANCIAL</vt:lpstr>
      <vt:lpstr>'National Heritage'!WA_FINANCIAL</vt:lpstr>
      <vt:lpstr>'National States'!WA_FINANCIAL</vt:lpstr>
      <vt:lpstr>'Natl American'!WA_FINANCIAL</vt:lpstr>
      <vt:lpstr>'New Jersey Life'!WA_FINANCIAL</vt:lpstr>
      <vt:lpstr>NNIC!WA_FINANCIAL</vt:lpstr>
      <vt:lpstr>'Old Colony Life'!WA_FINANCIAL</vt:lpstr>
      <vt:lpstr>'Old Faithful'!WA_FINANCIAL</vt:lpstr>
      <vt:lpstr>'Pacific Standard'!WA_FINANCIAL</vt:lpstr>
      <vt:lpstr>'Pen  Treaty'!WA_FINANCIAL</vt:lpstr>
      <vt:lpstr>Reliance!WA_FINANCIAL</vt:lpstr>
      <vt:lpstr>SeeChange!WA_FINANCIAL</vt:lpstr>
      <vt:lpstr>'Senior American'!WA_FINANCIAL</vt:lpstr>
      <vt:lpstr>Settlers!WA_FINANCIAL</vt:lpstr>
      <vt:lpstr>Shenandoah!WA_FINANCIAL</vt:lpstr>
      <vt:lpstr>'Standard Life IN'!WA_FINANCIAL</vt:lpstr>
      <vt:lpstr>'States General'!WA_FINANCIAL</vt:lpstr>
      <vt:lpstr>Statesman!WA_FINANCIAL</vt:lpstr>
      <vt:lpstr>'Summit National'!WA_FINANCIAL</vt:lpstr>
      <vt:lpstr>Supreme!WA_FINANCIAL</vt:lpstr>
      <vt:lpstr>'Total Summary'!WA_FINANCIAL</vt:lpstr>
      <vt:lpstr>Underwriters!WA_FINANCIAL</vt:lpstr>
      <vt:lpstr>Unison!WA_FINANCIAL</vt:lpstr>
      <vt:lpstr>'United Republic'!WA_FINANCIAL</vt:lpstr>
      <vt:lpstr>'Universal Health Care'!WA_FINANCIAL</vt:lpstr>
      <vt:lpstr>'Universal Life'!WA_FINANCIAL</vt:lpstr>
      <vt:lpstr>Universe!WA_FINANCIAL</vt:lpstr>
      <vt:lpstr>Villanova!WA_FINANCIAL</vt:lpstr>
      <vt:lpstr>'Alabama Life'!WI_FINANCIAL</vt:lpstr>
      <vt:lpstr>'Amer Life Asr'!WI_FINANCIAL</vt:lpstr>
      <vt:lpstr>'Amer Std Life Acc'!WI_FINANCIAL</vt:lpstr>
      <vt:lpstr>'American Chambers'!WI_FINANCIAL</vt:lpstr>
      <vt:lpstr>'American Community'!WI_FINANCIAL</vt:lpstr>
      <vt:lpstr>'American Educators'!WI_FINANCIAL</vt:lpstr>
      <vt:lpstr>'American Integrity'!WI_FINANCIAL</vt:lpstr>
      <vt:lpstr>'American Network'!WI_FINANCIAL</vt:lpstr>
      <vt:lpstr>AmerWstrn!WI_FINANCIAL</vt:lpstr>
      <vt:lpstr>'AMS Life'!WI_FINANCIAL</vt:lpstr>
      <vt:lpstr>'Andrew Jackson'!WI_FINANCIAL</vt:lpstr>
      <vt:lpstr>'Bankers Commercial'!WI_FINANCIAL</vt:lpstr>
      <vt:lpstr>Benicorp!WI_FINANCIAL</vt:lpstr>
      <vt:lpstr>'Booker T Washington'!WI_FINANCIAL</vt:lpstr>
      <vt:lpstr>Centennial!WI_FINANCIAL</vt:lpstr>
      <vt:lpstr>'Coastal States'!WI_FINANCIAL</vt:lpstr>
      <vt:lpstr>'Colorado Health'!WI_FINANCIAL</vt:lpstr>
      <vt:lpstr>'Compass (dbs Meritus)'!WI_FINANCIAL</vt:lpstr>
      <vt:lpstr>'Confed Life &amp; Annty (CLIAC)'!WI_FINANCIAL</vt:lpstr>
      <vt:lpstr>'Confed Life (CLIC)'!WI_FINANCIAL</vt:lpstr>
      <vt:lpstr>'Consolidated National'!WI_FINANCIAL</vt:lpstr>
      <vt:lpstr>'Consumers Choice'!WI_FINANCIAL</vt:lpstr>
      <vt:lpstr>'Consumers Mutual'!WI_FINANCIAL</vt:lpstr>
      <vt:lpstr>'Consumers United'!WI_FINANCIAL</vt:lpstr>
      <vt:lpstr>CoOportunity!WI_FINANCIAL</vt:lpstr>
      <vt:lpstr>'Coordinated Hlth'!WI_FINANCIAL</vt:lpstr>
      <vt:lpstr>'Corporate Life'!WI_FINANCIAL</vt:lpstr>
      <vt:lpstr>'Diamond Benefits'!WI_FINANCIAL</vt:lpstr>
      <vt:lpstr>'EBL Life'!WI_FINANCIAL</vt:lpstr>
      <vt:lpstr>ELNY!WI_FINANCIAL</vt:lpstr>
      <vt:lpstr>'Executive Life'!WI_FINANCIAL</vt:lpstr>
      <vt:lpstr>'Family Guaranty'!WI_FINANCIAL</vt:lpstr>
      <vt:lpstr>'Farmers &amp; Ranchers'!WI_FINANCIAL</vt:lpstr>
      <vt:lpstr>'Fidelity Bankers'!WI_FINANCIAL</vt:lpstr>
      <vt:lpstr>'Fidelity Mutual'!WI_FINANCIAL</vt:lpstr>
      <vt:lpstr>'First Capital'!WI_FINANCIAL</vt:lpstr>
      <vt:lpstr>'First Natl'!WI_FINANCIAL</vt:lpstr>
      <vt:lpstr>'First Natl (Thrnr)'!WI_FINANCIAL</vt:lpstr>
      <vt:lpstr>'Franklin American'!WI_FINANCIAL</vt:lpstr>
      <vt:lpstr>'Franklin Protective'!WI_FINANCIAL</vt:lpstr>
      <vt:lpstr>'Freelancers CO-OP'!WI_FINANCIAL</vt:lpstr>
      <vt:lpstr>'George Washington'!WI_FINANCIAL</vt:lpstr>
      <vt:lpstr>'Golden State'!WI_FINANCIAL</vt:lpstr>
      <vt:lpstr>'Guarantee Security'!WI_FINANCIAL</vt:lpstr>
      <vt:lpstr>HealthyCT!WI_FINANCIAL</vt:lpstr>
      <vt:lpstr>Imerica!WI_FINANCIAL</vt:lpstr>
      <vt:lpstr>'Inter-American'!WI_FINANCIAL</vt:lpstr>
      <vt:lpstr>'International Fin'!WI_FINANCIAL</vt:lpstr>
      <vt:lpstr>'Investment Life of America'!WI_FINANCIAL</vt:lpstr>
      <vt:lpstr>'Investors Equity'!WI_FINANCIAL</vt:lpstr>
      <vt:lpstr>'Kentucky Central'!WI_FINANCIAL</vt:lpstr>
      <vt:lpstr>'Land of Lincoln'!WI_FINANCIAL</vt:lpstr>
      <vt:lpstr>Legion!WI_FINANCIAL</vt:lpstr>
      <vt:lpstr>'Life Health America'!WI_FINANCIAL</vt:lpstr>
      <vt:lpstr>'Lincoln Memorial'!WI_FINANCIAL</vt:lpstr>
      <vt:lpstr>'London Pac'!WI_FINANCIAL</vt:lpstr>
      <vt:lpstr>Lumbermens!WI_FINANCIAL</vt:lpstr>
      <vt:lpstr>'Medical Savings'!WI_FINANCIAL</vt:lpstr>
      <vt:lpstr>'Memorial Service'!WI_FINANCIAL</vt:lpstr>
      <vt:lpstr>Midcontinent!WI_FINANCIAL</vt:lpstr>
      <vt:lpstr>'Midwest Life'!WI_FINANCIAL</vt:lpstr>
      <vt:lpstr>'Monarch Life'!WI_FINANCIAL</vt:lpstr>
      <vt:lpstr>'Mutual Benefit'!WI_FINANCIAL</vt:lpstr>
      <vt:lpstr>'Mutual Security'!WI_FINANCIAL</vt:lpstr>
      <vt:lpstr>'National Affiliated'!WI_FINANCIAL</vt:lpstr>
      <vt:lpstr>'National Heritage'!WI_FINANCIAL</vt:lpstr>
      <vt:lpstr>'National States'!WI_FINANCIAL</vt:lpstr>
      <vt:lpstr>'Natl American'!WI_FINANCIAL</vt:lpstr>
      <vt:lpstr>'New Jersey Life'!WI_FINANCIAL</vt:lpstr>
      <vt:lpstr>NNIC!WI_FINANCIAL</vt:lpstr>
      <vt:lpstr>'Old Colony Life'!WI_FINANCIAL</vt:lpstr>
      <vt:lpstr>'Old Faithful'!WI_FINANCIAL</vt:lpstr>
      <vt:lpstr>'Pacific Standard'!WI_FINANCIAL</vt:lpstr>
      <vt:lpstr>'Pen  Treaty'!WI_FINANCIAL</vt:lpstr>
      <vt:lpstr>Reliance!WI_FINANCIAL</vt:lpstr>
      <vt:lpstr>SeeChange!WI_FINANCIAL</vt:lpstr>
      <vt:lpstr>'Senior American'!WI_FINANCIAL</vt:lpstr>
      <vt:lpstr>Settlers!WI_FINANCIAL</vt:lpstr>
      <vt:lpstr>Shenandoah!WI_FINANCIAL</vt:lpstr>
      <vt:lpstr>'Standard Life IN'!WI_FINANCIAL</vt:lpstr>
      <vt:lpstr>'States General'!WI_FINANCIAL</vt:lpstr>
      <vt:lpstr>Statesman!WI_FINANCIAL</vt:lpstr>
      <vt:lpstr>'Summit National'!WI_FINANCIAL</vt:lpstr>
      <vt:lpstr>Supreme!WI_FINANCIAL</vt:lpstr>
      <vt:lpstr>'Total Summary'!WI_FINANCIAL</vt:lpstr>
      <vt:lpstr>Underwriters!WI_FINANCIAL</vt:lpstr>
      <vt:lpstr>Unison!WI_FINANCIAL</vt:lpstr>
      <vt:lpstr>'United Republic'!WI_FINANCIAL</vt:lpstr>
      <vt:lpstr>'Universal Health Care'!WI_FINANCIAL</vt:lpstr>
      <vt:lpstr>'Universal Life'!WI_FINANCIAL</vt:lpstr>
      <vt:lpstr>Universe!WI_FINANCIAL</vt:lpstr>
      <vt:lpstr>Villanova!WI_FINANCIAL</vt:lpstr>
      <vt:lpstr>'Alabama Life'!WV_FINANCIAL</vt:lpstr>
      <vt:lpstr>'Amer Life Asr'!WV_FINANCIAL</vt:lpstr>
      <vt:lpstr>'Amer Std Life Acc'!WV_FINANCIAL</vt:lpstr>
      <vt:lpstr>'American Chambers'!WV_FINANCIAL</vt:lpstr>
      <vt:lpstr>'American Community'!WV_FINANCIAL</vt:lpstr>
      <vt:lpstr>'American Educators'!WV_FINANCIAL</vt:lpstr>
      <vt:lpstr>'American Integrity'!WV_FINANCIAL</vt:lpstr>
      <vt:lpstr>'American Network'!WV_FINANCIAL</vt:lpstr>
      <vt:lpstr>AmerWstrn!WV_FINANCIAL</vt:lpstr>
      <vt:lpstr>'AMS Life'!WV_FINANCIAL</vt:lpstr>
      <vt:lpstr>'Andrew Jackson'!WV_FINANCIAL</vt:lpstr>
      <vt:lpstr>'Bankers Commercial'!WV_FINANCIAL</vt:lpstr>
      <vt:lpstr>Benicorp!WV_FINANCIAL</vt:lpstr>
      <vt:lpstr>'Booker T Washington'!WV_FINANCIAL</vt:lpstr>
      <vt:lpstr>Centennial!WV_FINANCIAL</vt:lpstr>
      <vt:lpstr>'Coastal States'!WV_FINANCIAL</vt:lpstr>
      <vt:lpstr>'Colorado Health'!WV_FINANCIAL</vt:lpstr>
      <vt:lpstr>'Compass (dbs Meritus)'!WV_FINANCIAL</vt:lpstr>
      <vt:lpstr>'Confed Life &amp; Annty (CLIAC)'!WV_FINANCIAL</vt:lpstr>
      <vt:lpstr>'Confed Life (CLIC)'!WV_FINANCIAL</vt:lpstr>
      <vt:lpstr>'Consolidated National'!WV_FINANCIAL</vt:lpstr>
      <vt:lpstr>'Consumers Choice'!WV_FINANCIAL</vt:lpstr>
      <vt:lpstr>'Consumers Mutual'!WV_FINANCIAL</vt:lpstr>
      <vt:lpstr>'Consumers United'!WV_FINANCIAL</vt:lpstr>
      <vt:lpstr>CoOportunity!WV_FINANCIAL</vt:lpstr>
      <vt:lpstr>'Coordinated Hlth'!WV_FINANCIAL</vt:lpstr>
      <vt:lpstr>'Corporate Life'!WV_FINANCIAL</vt:lpstr>
      <vt:lpstr>'Diamond Benefits'!WV_FINANCIAL</vt:lpstr>
      <vt:lpstr>'EBL Life'!WV_FINANCIAL</vt:lpstr>
      <vt:lpstr>ELNY!WV_FINANCIAL</vt:lpstr>
      <vt:lpstr>'Executive Life'!WV_FINANCIAL</vt:lpstr>
      <vt:lpstr>'Family Guaranty'!WV_FINANCIAL</vt:lpstr>
      <vt:lpstr>'Farmers &amp; Ranchers'!WV_FINANCIAL</vt:lpstr>
      <vt:lpstr>'Fidelity Bankers'!WV_FINANCIAL</vt:lpstr>
      <vt:lpstr>'Fidelity Mutual'!WV_FINANCIAL</vt:lpstr>
      <vt:lpstr>'First Capital'!WV_FINANCIAL</vt:lpstr>
      <vt:lpstr>'First Natl'!WV_FINANCIAL</vt:lpstr>
      <vt:lpstr>'First Natl (Thrnr)'!WV_FINANCIAL</vt:lpstr>
      <vt:lpstr>'Franklin American'!WV_FINANCIAL</vt:lpstr>
      <vt:lpstr>'Franklin Protective'!WV_FINANCIAL</vt:lpstr>
      <vt:lpstr>'Freelancers CO-OP'!WV_FINANCIAL</vt:lpstr>
      <vt:lpstr>'George Washington'!WV_FINANCIAL</vt:lpstr>
      <vt:lpstr>'Golden State'!WV_FINANCIAL</vt:lpstr>
      <vt:lpstr>'Guarantee Security'!WV_FINANCIAL</vt:lpstr>
      <vt:lpstr>HealthyCT!WV_FINANCIAL</vt:lpstr>
      <vt:lpstr>Imerica!WV_FINANCIAL</vt:lpstr>
      <vt:lpstr>'Inter-American'!WV_FINANCIAL</vt:lpstr>
      <vt:lpstr>'International Fin'!WV_FINANCIAL</vt:lpstr>
      <vt:lpstr>'Investment Life of America'!WV_FINANCIAL</vt:lpstr>
      <vt:lpstr>'Investors Equity'!WV_FINANCIAL</vt:lpstr>
      <vt:lpstr>'Kentucky Central'!WV_FINANCIAL</vt:lpstr>
      <vt:lpstr>'Land of Lincoln'!WV_FINANCIAL</vt:lpstr>
      <vt:lpstr>Legion!WV_FINANCIAL</vt:lpstr>
      <vt:lpstr>'Life Health America'!WV_FINANCIAL</vt:lpstr>
      <vt:lpstr>'Lincoln Memorial'!WV_FINANCIAL</vt:lpstr>
      <vt:lpstr>'London Pac'!WV_FINANCIAL</vt:lpstr>
      <vt:lpstr>Lumbermens!WV_FINANCIAL</vt:lpstr>
      <vt:lpstr>'Medical Savings'!WV_FINANCIAL</vt:lpstr>
      <vt:lpstr>'Memorial Service'!WV_FINANCIAL</vt:lpstr>
      <vt:lpstr>Midcontinent!WV_FINANCIAL</vt:lpstr>
      <vt:lpstr>'Midwest Life'!WV_FINANCIAL</vt:lpstr>
      <vt:lpstr>'Monarch Life'!WV_FINANCIAL</vt:lpstr>
      <vt:lpstr>'Mutual Benefit'!WV_FINANCIAL</vt:lpstr>
      <vt:lpstr>'Mutual Security'!WV_FINANCIAL</vt:lpstr>
      <vt:lpstr>'National Affiliated'!WV_FINANCIAL</vt:lpstr>
      <vt:lpstr>'National Heritage'!WV_FINANCIAL</vt:lpstr>
      <vt:lpstr>'National States'!WV_FINANCIAL</vt:lpstr>
      <vt:lpstr>'Natl American'!WV_FINANCIAL</vt:lpstr>
      <vt:lpstr>'New Jersey Life'!WV_FINANCIAL</vt:lpstr>
      <vt:lpstr>NNIC!WV_FINANCIAL</vt:lpstr>
      <vt:lpstr>'Old Colony Life'!WV_FINANCIAL</vt:lpstr>
      <vt:lpstr>'Old Faithful'!WV_FINANCIAL</vt:lpstr>
      <vt:lpstr>'Pacific Standard'!WV_FINANCIAL</vt:lpstr>
      <vt:lpstr>'Pen  Treaty'!WV_FINANCIAL</vt:lpstr>
      <vt:lpstr>Reliance!WV_FINANCIAL</vt:lpstr>
      <vt:lpstr>SeeChange!WV_FINANCIAL</vt:lpstr>
      <vt:lpstr>'Senior American'!WV_FINANCIAL</vt:lpstr>
      <vt:lpstr>Settlers!WV_FINANCIAL</vt:lpstr>
      <vt:lpstr>Shenandoah!WV_FINANCIAL</vt:lpstr>
      <vt:lpstr>'Standard Life IN'!WV_FINANCIAL</vt:lpstr>
      <vt:lpstr>'States General'!WV_FINANCIAL</vt:lpstr>
      <vt:lpstr>Statesman!WV_FINANCIAL</vt:lpstr>
      <vt:lpstr>'Summit National'!WV_FINANCIAL</vt:lpstr>
      <vt:lpstr>Supreme!WV_FINANCIAL</vt:lpstr>
      <vt:lpstr>'Total Summary'!WV_FINANCIAL</vt:lpstr>
      <vt:lpstr>Underwriters!WV_FINANCIAL</vt:lpstr>
      <vt:lpstr>Unison!WV_FINANCIAL</vt:lpstr>
      <vt:lpstr>'United Republic'!WV_FINANCIAL</vt:lpstr>
      <vt:lpstr>'Universal Health Care'!WV_FINANCIAL</vt:lpstr>
      <vt:lpstr>'Universal Life'!WV_FINANCIAL</vt:lpstr>
      <vt:lpstr>Universe!WV_FINANCIAL</vt:lpstr>
      <vt:lpstr>Villanova!WV_FINANCIAL</vt:lpstr>
      <vt:lpstr>'Alabama Life'!WY_FINANCIAL</vt:lpstr>
      <vt:lpstr>'Amer Life Asr'!WY_FINANCIAL</vt:lpstr>
      <vt:lpstr>'Amer Std Life Acc'!WY_FINANCIAL</vt:lpstr>
      <vt:lpstr>'American Chambers'!WY_FINANCIAL</vt:lpstr>
      <vt:lpstr>'American Community'!WY_FINANCIAL</vt:lpstr>
      <vt:lpstr>'American Educators'!WY_FINANCIAL</vt:lpstr>
      <vt:lpstr>'American Integrity'!WY_FINANCIAL</vt:lpstr>
      <vt:lpstr>'American Network'!WY_FINANCIAL</vt:lpstr>
      <vt:lpstr>AmerWstrn!WY_FINANCIAL</vt:lpstr>
      <vt:lpstr>'AMS Life'!WY_FINANCIAL</vt:lpstr>
      <vt:lpstr>'Andrew Jackson'!WY_FINANCIAL</vt:lpstr>
      <vt:lpstr>'Bankers Commercial'!WY_FINANCIAL</vt:lpstr>
      <vt:lpstr>Benicorp!WY_FINANCIAL</vt:lpstr>
      <vt:lpstr>'Booker T Washington'!WY_FINANCIAL</vt:lpstr>
      <vt:lpstr>Centennial!WY_FINANCIAL</vt:lpstr>
      <vt:lpstr>'Coastal States'!WY_FINANCIAL</vt:lpstr>
      <vt:lpstr>'Colorado Health'!WY_FINANCIAL</vt:lpstr>
      <vt:lpstr>'Compass (dbs Meritus)'!WY_FINANCIAL</vt:lpstr>
      <vt:lpstr>'Confed Life &amp; Annty (CLIAC)'!WY_FINANCIAL</vt:lpstr>
      <vt:lpstr>'Confed Life (CLIC)'!WY_FINANCIAL</vt:lpstr>
      <vt:lpstr>'Consolidated National'!WY_FINANCIAL</vt:lpstr>
      <vt:lpstr>'Consumers Choice'!WY_FINANCIAL</vt:lpstr>
      <vt:lpstr>'Consumers Mutual'!WY_FINANCIAL</vt:lpstr>
      <vt:lpstr>'Consumers United'!WY_FINANCIAL</vt:lpstr>
      <vt:lpstr>CoOportunity!WY_FINANCIAL</vt:lpstr>
      <vt:lpstr>'Coordinated Hlth'!WY_FINANCIAL</vt:lpstr>
      <vt:lpstr>'Corporate Life'!WY_FINANCIAL</vt:lpstr>
      <vt:lpstr>'Diamond Benefits'!WY_FINANCIAL</vt:lpstr>
      <vt:lpstr>'EBL Life'!WY_FINANCIAL</vt:lpstr>
      <vt:lpstr>ELNY!WY_FINANCIAL</vt:lpstr>
      <vt:lpstr>'Executive Life'!WY_FINANCIAL</vt:lpstr>
      <vt:lpstr>'Family Guaranty'!WY_FINANCIAL</vt:lpstr>
      <vt:lpstr>'Farmers &amp; Ranchers'!WY_FINANCIAL</vt:lpstr>
      <vt:lpstr>'Fidelity Bankers'!WY_FINANCIAL</vt:lpstr>
      <vt:lpstr>'Fidelity Mutual'!WY_FINANCIAL</vt:lpstr>
      <vt:lpstr>'First Capital'!WY_FINANCIAL</vt:lpstr>
      <vt:lpstr>'First Natl'!WY_FINANCIAL</vt:lpstr>
      <vt:lpstr>'First Natl (Thrnr)'!WY_FINANCIAL</vt:lpstr>
      <vt:lpstr>'Franklin American'!WY_FINANCIAL</vt:lpstr>
      <vt:lpstr>'Franklin Protective'!WY_FINANCIAL</vt:lpstr>
      <vt:lpstr>'Freelancers CO-OP'!WY_FINANCIAL</vt:lpstr>
      <vt:lpstr>'George Washington'!WY_FINANCIAL</vt:lpstr>
      <vt:lpstr>'Golden State'!WY_FINANCIAL</vt:lpstr>
      <vt:lpstr>'Guarantee Security'!WY_FINANCIAL</vt:lpstr>
      <vt:lpstr>HealthyCT!WY_FINANCIAL</vt:lpstr>
      <vt:lpstr>Imerica!WY_FINANCIAL</vt:lpstr>
      <vt:lpstr>'Inter-American'!WY_FINANCIAL</vt:lpstr>
      <vt:lpstr>'International Fin'!WY_FINANCIAL</vt:lpstr>
      <vt:lpstr>'Investment Life of America'!WY_FINANCIAL</vt:lpstr>
      <vt:lpstr>'Investors Equity'!WY_FINANCIAL</vt:lpstr>
      <vt:lpstr>'Kentucky Central'!WY_FINANCIAL</vt:lpstr>
      <vt:lpstr>'Land of Lincoln'!WY_FINANCIAL</vt:lpstr>
      <vt:lpstr>Legion!WY_FINANCIAL</vt:lpstr>
      <vt:lpstr>'Life Health America'!WY_FINANCIAL</vt:lpstr>
      <vt:lpstr>'Lincoln Memorial'!WY_FINANCIAL</vt:lpstr>
      <vt:lpstr>'London Pac'!WY_FINANCIAL</vt:lpstr>
      <vt:lpstr>Lumbermens!WY_FINANCIAL</vt:lpstr>
      <vt:lpstr>'Medical Savings'!WY_FINANCIAL</vt:lpstr>
      <vt:lpstr>'Memorial Service'!WY_FINANCIAL</vt:lpstr>
      <vt:lpstr>Midcontinent!WY_FINANCIAL</vt:lpstr>
      <vt:lpstr>'Midwest Life'!WY_FINANCIAL</vt:lpstr>
      <vt:lpstr>'Monarch Life'!WY_FINANCIAL</vt:lpstr>
      <vt:lpstr>'Mutual Benefit'!WY_FINANCIAL</vt:lpstr>
      <vt:lpstr>'Mutual Security'!WY_FINANCIAL</vt:lpstr>
      <vt:lpstr>'National Affiliated'!WY_FINANCIAL</vt:lpstr>
      <vt:lpstr>'National Heritage'!WY_FINANCIAL</vt:lpstr>
      <vt:lpstr>'National States'!WY_FINANCIAL</vt:lpstr>
      <vt:lpstr>'Natl American'!WY_FINANCIAL</vt:lpstr>
      <vt:lpstr>'New Jersey Life'!WY_FINANCIAL</vt:lpstr>
      <vt:lpstr>NNIC!WY_FINANCIAL</vt:lpstr>
      <vt:lpstr>'Old Colony Life'!WY_FINANCIAL</vt:lpstr>
      <vt:lpstr>'Old Faithful'!WY_FINANCIAL</vt:lpstr>
      <vt:lpstr>'Pacific Standard'!WY_FINANCIAL</vt:lpstr>
      <vt:lpstr>'Pen  Treaty'!WY_FINANCIAL</vt:lpstr>
      <vt:lpstr>Reliance!WY_FINANCIAL</vt:lpstr>
      <vt:lpstr>SeeChange!WY_FINANCIAL</vt:lpstr>
      <vt:lpstr>'Senior American'!WY_FINANCIAL</vt:lpstr>
      <vt:lpstr>Settlers!WY_FINANCIAL</vt:lpstr>
      <vt:lpstr>Shenandoah!WY_FINANCIAL</vt:lpstr>
      <vt:lpstr>'Standard Life IN'!WY_FINANCIAL</vt:lpstr>
      <vt:lpstr>'States General'!WY_FINANCIAL</vt:lpstr>
      <vt:lpstr>Statesman!WY_FINANCIAL</vt:lpstr>
      <vt:lpstr>'Summit National'!WY_FINANCIAL</vt:lpstr>
      <vt:lpstr>Supreme!WY_FINANCIAL</vt:lpstr>
      <vt:lpstr>'Total Summary'!WY_FINANCIAL</vt:lpstr>
      <vt:lpstr>Underwriters!WY_FINANCIAL</vt:lpstr>
      <vt:lpstr>Unison!WY_FINANCIAL</vt:lpstr>
      <vt:lpstr>'United Republic'!WY_FINANCIAL</vt:lpstr>
      <vt:lpstr>'Universal Health Care'!WY_FINANCIAL</vt:lpstr>
      <vt:lpstr>'Universal Life'!WY_FINANCIAL</vt:lpstr>
      <vt:lpstr>Universe!WY_FINANCIAL</vt:lpstr>
      <vt:lpstr>Villanova!WY_FINANCIAL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 Peterson</dc:creator>
  <cp:lastModifiedBy>Paul Peterson</cp:lastModifiedBy>
  <cp:lastPrinted>2021-11-15T21:15:22Z</cp:lastPrinted>
  <dcterms:created xsi:type="dcterms:W3CDTF">2021-11-15T20:25:59Z</dcterms:created>
  <dcterms:modified xsi:type="dcterms:W3CDTF">2021-12-10T17:59:19Z</dcterms:modified>
</cp:coreProperties>
</file>